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aklcouncil-my.sharepoint.com/personal/tinkerr_aklc_govt_nz/Documents/Queue requests/Contribution etc/Supporting/"/>
    </mc:Choice>
  </mc:AlternateContent>
  <xr:revisionPtr revIDLastSave="272" documentId="8_{FD4B266C-CA13-4BB7-AF8C-3511B40FF051}" xr6:coauthVersionLast="47" xr6:coauthVersionMax="47" xr10:uidLastSave="{A6CCD7B5-46AB-4B5D-A08C-33F5D1AA574A}"/>
  <bookViews>
    <workbookView xWindow="-108" yWindow="-108" windowWidth="23256" windowHeight="12456" tabRatio="727" xr2:uid="{70E04796-AAA8-4196-A901-B2525FEBD8B4}"/>
  </bookViews>
  <sheets>
    <sheet name="Auckland Council README" sheetId="27" r:id="rId1"/>
    <sheet name="Cost inputs" sheetId="1" r:id="rId2"/>
    <sheet name="Park spec inputs" sheetId="26" r:id="rId3"/>
    <sheet name="Land Price Phase Sc1&amp;2" sheetId="21" r:id="rId4"/>
    <sheet name="OS Acq model" sheetId="25" r:id="rId5"/>
    <sheet name="Opaheke earlier" sheetId="30" r:id="rId6"/>
    <sheet name="Summary" sheetId="29" r:id="rId7"/>
  </sheets>
  <externalReferences>
    <externalReference r:id="rId8"/>
  </externalReferences>
  <definedNames>
    <definedName name="AU_ERP_2019">#REF!</definedName>
    <definedName name="AvgPriceByAreaStage">#REF!</definedName>
    <definedName name="AvgPriceColCount">#REF!</definedName>
    <definedName name="NAME">#REF!</definedName>
    <definedName name="POLICE_AREA_FINAL">#REF!</definedName>
    <definedName name="POLICE_DISTRICT_FINAL">#REF!</definedName>
    <definedName name="PROJ">#REF!</definedName>
    <definedName name="RC_ERP_2019">#REF!</definedName>
    <definedName name="SA2_ERP_2019">#REF!</definedName>
    <definedName name="Sheet1">#REF!</definedName>
    <definedName name="TA_ERP_2019">#REF!</definedName>
    <definedName name="TAB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13" i="25" l="1"/>
  <c r="BH14" i="25"/>
  <c r="BH15" i="25"/>
  <c r="BH16" i="25"/>
  <c r="BH17" i="25"/>
  <c r="BH18" i="25"/>
  <c r="BI19" i="25"/>
  <c r="BI20" i="25"/>
  <c r="BI21" i="25"/>
  <c r="BH22" i="25"/>
  <c r="BH23" i="25"/>
  <c r="BH24" i="25"/>
  <c r="BH25" i="25"/>
  <c r="BH30" i="25"/>
  <c r="BH31" i="25"/>
  <c r="BH34" i="25"/>
  <c r="BH35" i="25"/>
  <c r="BH36" i="25"/>
  <c r="BI36" i="25"/>
  <c r="BH37" i="25"/>
  <c r="BI37" i="25"/>
  <c r="BH38" i="25"/>
  <c r="BH39" i="25"/>
  <c r="BI39" i="25"/>
  <c r="BH40" i="25"/>
  <c r="BI41" i="25"/>
  <c r="BH43" i="25"/>
  <c r="BI43" i="25"/>
  <c r="BH46" i="25"/>
  <c r="BI46" i="25"/>
  <c r="BH51" i="25"/>
  <c r="BH52" i="25"/>
  <c r="BH53" i="25"/>
  <c r="BH54" i="25"/>
  <c r="BI54" i="25"/>
  <c r="BH55" i="25"/>
  <c r="BI55" i="25"/>
  <c r="BI56" i="25"/>
  <c r="BI57" i="25"/>
  <c r="BH58" i="25"/>
  <c r="BH59" i="25"/>
  <c r="BI59" i="25"/>
  <c r="BH60" i="25"/>
  <c r="BH61" i="25"/>
  <c r="BH62" i="25"/>
  <c r="BH64" i="25"/>
  <c r="BI64" i="25"/>
  <c r="BH66" i="25"/>
  <c r="BI66" i="25"/>
  <c r="BH67" i="25"/>
  <c r="BI67" i="25"/>
  <c r="BH72" i="25"/>
  <c r="BH73" i="25"/>
  <c r="BH74" i="25"/>
  <c r="BI74" i="25"/>
  <c r="BH75" i="25"/>
  <c r="BH76" i="25"/>
  <c r="BH77" i="25"/>
  <c r="BH78" i="25"/>
  <c r="BH79" i="25"/>
  <c r="BH80" i="25"/>
  <c r="BH81" i="25"/>
  <c r="BH82" i="25"/>
  <c r="BI82" i="25"/>
  <c r="BH86" i="25"/>
  <c r="BH88" i="25"/>
  <c r="BH93" i="25"/>
  <c r="BH94" i="25"/>
  <c r="BI94" i="25"/>
  <c r="AD110" i="25" l="1"/>
  <c r="AD111" i="25" s="1"/>
  <c r="AD112" i="25" s="1"/>
  <c r="AD113" i="25" s="1"/>
  <c r="AD114" i="25" s="1"/>
  <c r="AE110" i="25"/>
  <c r="AE111" i="25" s="1"/>
  <c r="AE112" i="25" s="1"/>
  <c r="AE113" i="25" s="1"/>
  <c r="AE114" i="25" s="1"/>
  <c r="AF110" i="25"/>
  <c r="AF111" i="25" s="1"/>
  <c r="AF112" i="25" s="1"/>
  <c r="AF113" i="25" s="1"/>
  <c r="AF114" i="25" s="1"/>
  <c r="AG110" i="25"/>
  <c r="AG111" i="25" s="1"/>
  <c r="AG112" i="25" s="1"/>
  <c r="AG113" i="25" s="1"/>
  <c r="AG114" i="25" s="1"/>
  <c r="AH110" i="25"/>
  <c r="AH111" i="25" s="1"/>
  <c r="AH112" i="25" s="1"/>
  <c r="AH113" i="25" s="1"/>
  <c r="AH114" i="25" s="1"/>
  <c r="AI110" i="25"/>
  <c r="AI111" i="25" s="1"/>
  <c r="AI112" i="25" s="1"/>
  <c r="AI113" i="25" s="1"/>
  <c r="AI114" i="25" s="1"/>
  <c r="AJ110" i="25"/>
  <c r="AJ111" i="25" s="1"/>
  <c r="AJ112" i="25" s="1"/>
  <c r="AJ113" i="25" s="1"/>
  <c r="AJ114" i="25" s="1"/>
  <c r="AK110" i="25"/>
  <c r="AK111" i="25" s="1"/>
  <c r="AK112" i="25" s="1"/>
  <c r="AK113" i="25" s="1"/>
  <c r="AK114" i="25" s="1"/>
  <c r="AC110" i="25"/>
  <c r="AC111" i="25" s="1"/>
  <c r="AC112" i="25" s="1"/>
  <c r="AC113" i="25" s="1"/>
  <c r="AC114" i="25" s="1"/>
  <c r="AB110" i="25"/>
  <c r="AB111" i="25" s="1"/>
  <c r="AB112" i="25" s="1"/>
  <c r="AB113" i="25" s="1"/>
  <c r="AB114" i="25" s="1"/>
  <c r="K113" i="21"/>
  <c r="L113" i="21"/>
  <c r="M113" i="21"/>
  <c r="J113" i="21"/>
  <c r="U112" i="21"/>
  <c r="V112" i="21"/>
  <c r="W112" i="21"/>
  <c r="X112" i="21"/>
  <c r="Y112" i="21"/>
  <c r="Z112" i="21"/>
  <c r="AA112" i="21"/>
  <c r="AB112" i="21"/>
  <c r="AC112" i="21"/>
  <c r="AD112" i="21"/>
  <c r="AE112" i="21"/>
  <c r="AF112" i="21"/>
  <c r="AG112" i="21"/>
  <c r="AH112" i="21"/>
  <c r="AI112" i="21"/>
  <c r="AJ112" i="21"/>
  <c r="AK112" i="21"/>
  <c r="AL112" i="21"/>
  <c r="AM112" i="21"/>
  <c r="AN112" i="21"/>
  <c r="AO112" i="21"/>
  <c r="AP112" i="21"/>
  <c r="AQ112" i="21"/>
  <c r="AR112" i="21"/>
  <c r="AS112" i="21"/>
  <c r="AT112" i="21"/>
  <c r="AU112" i="21"/>
  <c r="D33" i="27"/>
  <c r="E33" i="27" s="1"/>
  <c r="D32" i="27"/>
  <c r="E32" i="27" s="1"/>
  <c r="F32" i="27" s="1"/>
  <c r="G32" i="27" s="1"/>
  <c r="H32" i="27" s="1"/>
  <c r="I32" i="27" s="1"/>
  <c r="J32" i="27" s="1"/>
  <c r="K32" i="27" s="1"/>
  <c r="L32" i="27" s="1"/>
  <c r="M32" i="27" s="1"/>
  <c r="N32" i="27" s="1"/>
  <c r="O32" i="27" s="1"/>
  <c r="P32" i="27" s="1"/>
  <c r="Q32" i="27" s="1"/>
  <c r="R32" i="27" s="1"/>
  <c r="S32" i="27" s="1"/>
  <c r="T32" i="27" s="1"/>
  <c r="U32" i="27" s="1"/>
  <c r="V32" i="27" s="1"/>
  <c r="W32" i="27" s="1"/>
  <c r="X32" i="27" s="1"/>
  <c r="Y32" i="27" s="1"/>
  <c r="Z32" i="27" s="1"/>
  <c r="AA32" i="27" s="1"/>
  <c r="AB32" i="27" s="1"/>
  <c r="AC32" i="27" s="1"/>
  <c r="AD32" i="27" s="1"/>
  <c r="AE32" i="27" s="1"/>
  <c r="AF32" i="27" s="1"/>
  <c r="AG32" i="27" s="1"/>
  <c r="AH32" i="27" s="1"/>
  <c r="AI32" i="27" s="1"/>
  <c r="J112" i="21"/>
  <c r="K112" i="21"/>
  <c r="L112" i="21"/>
  <c r="M112" i="21"/>
  <c r="N112" i="21"/>
  <c r="O112" i="21"/>
  <c r="P112" i="21"/>
  <c r="Q112" i="21"/>
  <c r="R112" i="21"/>
  <c r="S112" i="21"/>
  <c r="T112" i="21"/>
  <c r="I112" i="21"/>
  <c r="F33" i="27" l="1"/>
  <c r="E34" i="27"/>
  <c r="D34" i="27"/>
  <c r="G33" i="27" l="1"/>
  <c r="F34" i="27"/>
  <c r="F59" i="29"/>
  <c r="E26" i="29" s="1"/>
  <c r="G34" i="27" l="1"/>
  <c r="H33" i="27"/>
  <c r="D26" i="29"/>
  <c r="F26" i="29" s="1"/>
  <c r="A270" i="25"/>
  <c r="B270" i="25"/>
  <c r="C270" i="25"/>
  <c r="D270" i="25"/>
  <c r="E270" i="25"/>
  <c r="F270" i="25"/>
  <c r="G270" i="25"/>
  <c r="H270" i="25"/>
  <c r="I270" i="25"/>
  <c r="A173" i="25"/>
  <c r="B173" i="25"/>
  <c r="C173" i="25"/>
  <c r="D173" i="25"/>
  <c r="Q173" i="25" s="1"/>
  <c r="E173" i="25"/>
  <c r="R173" i="25" s="1"/>
  <c r="F173" i="25"/>
  <c r="G173" i="25"/>
  <c r="H173" i="25"/>
  <c r="I173" i="25"/>
  <c r="J173" i="25"/>
  <c r="K173" i="25"/>
  <c r="L173" i="25"/>
  <c r="M173" i="25"/>
  <c r="N173" i="25"/>
  <c r="AB173" i="25"/>
  <c r="AC173" i="25"/>
  <c r="AD173" i="25"/>
  <c r="AE173" i="25"/>
  <c r="AF173" i="25"/>
  <c r="AG173" i="25"/>
  <c r="AH173" i="25"/>
  <c r="AI173" i="25"/>
  <c r="AJ173" i="25"/>
  <c r="AT173" i="25"/>
  <c r="AU173" i="25"/>
  <c r="AV173" i="25"/>
  <c r="AW173" i="25"/>
  <c r="AX173" i="25"/>
  <c r="AY173" i="25"/>
  <c r="AZ173" i="25"/>
  <c r="BA173" i="25"/>
  <c r="BB173" i="25"/>
  <c r="BC173" i="25"/>
  <c r="BD173" i="25"/>
  <c r="BE173" i="25"/>
  <c r="BF173" i="25"/>
  <c r="BG173" i="25"/>
  <c r="AK173" i="25"/>
  <c r="O173" i="25" l="1"/>
  <c r="BM173" i="25" s="1"/>
  <c r="H34" i="27"/>
  <c r="I33" i="27"/>
  <c r="CJ173" i="25" l="1"/>
  <c r="CM173" i="25"/>
  <c r="CE173" i="25"/>
  <c r="CL173" i="25"/>
  <c r="BL173" i="25"/>
  <c r="BO173" i="25"/>
  <c r="CI173" i="25"/>
  <c r="CF173" i="25"/>
  <c r="BT173" i="25"/>
  <c r="BU173" i="25"/>
  <c r="CN173" i="25"/>
  <c r="BP173" i="25"/>
  <c r="CD173" i="25"/>
  <c r="CQ173" i="25"/>
  <c r="CP173" i="25"/>
  <c r="BN173" i="25"/>
  <c r="CH173" i="25"/>
  <c r="CK173" i="25"/>
  <c r="BS173" i="25"/>
  <c r="CG173" i="25"/>
  <c r="BR173" i="25"/>
  <c r="BQ173" i="25"/>
  <c r="CO173" i="25"/>
  <c r="I34" i="27"/>
  <c r="J33" i="27"/>
  <c r="K33" i="27" l="1"/>
  <c r="J34" i="27"/>
  <c r="AN110" i="25"/>
  <c r="AN112" i="25" s="1"/>
  <c r="AO110" i="25"/>
  <c r="AO26" i="25" s="1"/>
  <c r="AP110" i="25"/>
  <c r="AP112" i="25" s="1"/>
  <c r="AP65" i="25" s="1"/>
  <c r="AQ110" i="25"/>
  <c r="AQ26" i="25" s="1"/>
  <c r="AM110" i="25"/>
  <c r="AM112" i="25" s="1"/>
  <c r="AL110" i="25"/>
  <c r="AL26" i="25" s="1"/>
  <c r="AS111" i="25"/>
  <c r="AS109" i="25"/>
  <c r="AL44" i="25"/>
  <c r="AM44" i="25"/>
  <c r="AN44" i="25"/>
  <c r="AO44" i="25"/>
  <c r="AP44" i="25"/>
  <c r="AQ44" i="25"/>
  <c r="L33" i="27" l="1"/>
  <c r="K34" i="27"/>
  <c r="AQ112" i="25"/>
  <c r="AQ65" i="25" s="1"/>
  <c r="AP26" i="25"/>
  <c r="AO112" i="25"/>
  <c r="AN26" i="25"/>
  <c r="AM26" i="25"/>
  <c r="AN113" i="25"/>
  <c r="AN65" i="25"/>
  <c r="AP113" i="25"/>
  <c r="AM113" i="25"/>
  <c r="AM65" i="25"/>
  <c r="AS110" i="25"/>
  <c r="AL112" i="25"/>
  <c r="M33" i="27" l="1"/>
  <c r="L34" i="27"/>
  <c r="AQ113" i="25"/>
  <c r="AQ70" i="25" s="1"/>
  <c r="AO113" i="25"/>
  <c r="AO65" i="25"/>
  <c r="AP70" i="25"/>
  <c r="AP69" i="25" s="1"/>
  <c r="AP68" i="25" s="1"/>
  <c r="AP114" i="25"/>
  <c r="AN70" i="25"/>
  <c r="AN69" i="25" s="1"/>
  <c r="AN68" i="25" s="1"/>
  <c r="AN114" i="25"/>
  <c r="AM70" i="25"/>
  <c r="AM69" i="25" s="1"/>
  <c r="AM68" i="25" s="1"/>
  <c r="AM114" i="25"/>
  <c r="AL65" i="25"/>
  <c r="AL113" i="25"/>
  <c r="AS112" i="25"/>
  <c r="N33" i="27" l="1"/>
  <c r="M34" i="27"/>
  <c r="AQ69" i="25"/>
  <c r="AQ114" i="25"/>
  <c r="AQ115" i="25" s="1"/>
  <c r="AP83" i="25"/>
  <c r="AP115" i="25"/>
  <c r="AN83" i="25"/>
  <c r="AN115" i="25"/>
  <c r="AM83" i="25"/>
  <c r="AM115" i="25"/>
  <c r="AO70" i="25"/>
  <c r="AO69" i="25" s="1"/>
  <c r="AO68" i="25" s="1"/>
  <c r="AO114" i="25"/>
  <c r="AL70" i="25"/>
  <c r="AL114" i="25"/>
  <c r="AL115" i="25" s="1"/>
  <c r="AS113" i="25"/>
  <c r="O33" i="27" l="1"/>
  <c r="N34" i="27"/>
  <c r="AQ83" i="25"/>
  <c r="AQ68" i="25"/>
  <c r="AQ22" i="25"/>
  <c r="AQ116" i="25"/>
  <c r="AP116" i="25"/>
  <c r="AP22" i="25"/>
  <c r="AO83" i="25"/>
  <c r="AO115" i="25"/>
  <c r="AS115" i="25" s="1"/>
  <c r="AN22" i="25"/>
  <c r="AN116" i="25"/>
  <c r="AM22" i="25"/>
  <c r="AM116" i="25"/>
  <c r="AL22" i="25"/>
  <c r="AL116" i="25"/>
  <c r="AL69" i="25"/>
  <c r="AL83" i="25"/>
  <c r="AS114" i="25"/>
  <c r="P33" i="27" l="1"/>
  <c r="O34" i="27"/>
  <c r="AQ117" i="25"/>
  <c r="AQ40" i="25"/>
  <c r="AP40" i="25"/>
  <c r="AP117" i="25"/>
  <c r="AP58" i="25" s="1"/>
  <c r="AP173" i="25" s="1"/>
  <c r="BZ173" i="25" s="1"/>
  <c r="AO116" i="25"/>
  <c r="AS116" i="25" s="1"/>
  <c r="AO22" i="25"/>
  <c r="AR22" i="25" s="1"/>
  <c r="AN40" i="25"/>
  <c r="AN117" i="25"/>
  <c r="AN58" i="25" s="1"/>
  <c r="AN173" i="25" s="1"/>
  <c r="BX173" i="25" s="1"/>
  <c r="AM40" i="25"/>
  <c r="AM117" i="25"/>
  <c r="AM58" i="25" s="1"/>
  <c r="AM173" i="25" s="1"/>
  <c r="BW173" i="25" s="1"/>
  <c r="AL117" i="25"/>
  <c r="AL58" i="25" s="1"/>
  <c r="AL40" i="25"/>
  <c r="AL68" i="25"/>
  <c r="Q33" i="27" l="1"/>
  <c r="P34" i="27"/>
  <c r="AS22" i="25"/>
  <c r="AQ58" i="25"/>
  <c r="AO40" i="25"/>
  <c r="AR40" i="25" s="1"/>
  <c r="AS40" i="25" s="1"/>
  <c r="AO117" i="25"/>
  <c r="AO58" i="25" s="1"/>
  <c r="AO173" i="25" s="1"/>
  <c r="BY173" i="25" s="1"/>
  <c r="AL173" i="25"/>
  <c r="BV173" i="25" s="1"/>
  <c r="AE137" i="25"/>
  <c r="AG137" i="25"/>
  <c r="AN137" i="25"/>
  <c r="AM137" i="25"/>
  <c r="AL137" i="25"/>
  <c r="AS183" i="25"/>
  <c r="AT183" i="25"/>
  <c r="AU183" i="25"/>
  <c r="AV183" i="25"/>
  <c r="AW183" i="25"/>
  <c r="AX183" i="25"/>
  <c r="AY183" i="25"/>
  <c r="AZ183" i="25"/>
  <c r="BA183" i="25"/>
  <c r="BB183" i="25"/>
  <c r="BC183" i="25"/>
  <c r="BD183" i="25"/>
  <c r="BE183" i="25"/>
  <c r="BF183" i="25"/>
  <c r="BG183" i="25"/>
  <c r="AS184" i="25"/>
  <c r="AT184" i="25"/>
  <c r="AU184" i="25"/>
  <c r="AV184" i="25"/>
  <c r="AW184" i="25"/>
  <c r="AX184" i="25"/>
  <c r="AY184" i="25"/>
  <c r="AZ184" i="25"/>
  <c r="BA184" i="25"/>
  <c r="BB184" i="25"/>
  <c r="BC184" i="25"/>
  <c r="BD184" i="25"/>
  <c r="BE184" i="25"/>
  <c r="BF184" i="25"/>
  <c r="BG184" i="25"/>
  <c r="AC183" i="25"/>
  <c r="AD183" i="25"/>
  <c r="AE183" i="25"/>
  <c r="AN183" i="25"/>
  <c r="AO183" i="25"/>
  <c r="AP183" i="25"/>
  <c r="AN184" i="25"/>
  <c r="AO184" i="25"/>
  <c r="AP184" i="25"/>
  <c r="AB183" i="25"/>
  <c r="AQ183" i="25"/>
  <c r="AB184" i="25"/>
  <c r="AQ184" i="25"/>
  <c r="P69" i="25"/>
  <c r="Q69" i="25"/>
  <c r="O69" i="25"/>
  <c r="A234" i="25"/>
  <c r="B234" i="25"/>
  <c r="C234" i="25"/>
  <c r="D234" i="25"/>
  <c r="E234" i="25"/>
  <c r="F234" i="25"/>
  <c r="G234" i="25"/>
  <c r="H234" i="25"/>
  <c r="I234" i="25"/>
  <c r="A137" i="25"/>
  <c r="B137" i="25"/>
  <c r="C137" i="25"/>
  <c r="D137" i="25"/>
  <c r="E137" i="25"/>
  <c r="F137" i="25"/>
  <c r="G137" i="25"/>
  <c r="H137" i="25"/>
  <c r="I137" i="25"/>
  <c r="K137" i="25"/>
  <c r="L137" i="25"/>
  <c r="M137" i="25"/>
  <c r="N137" i="25"/>
  <c r="AC137" i="25"/>
  <c r="AD137" i="25"/>
  <c r="AH137" i="25"/>
  <c r="AI137" i="25"/>
  <c r="AJ137" i="25"/>
  <c r="AK137" i="25"/>
  <c r="AO137" i="25"/>
  <c r="AP137" i="25"/>
  <c r="AQ137" i="25"/>
  <c r="AR137" i="25"/>
  <c r="AT137" i="25"/>
  <c r="AU137" i="25"/>
  <c r="AV137" i="25"/>
  <c r="AW137" i="25"/>
  <c r="AX137" i="25"/>
  <c r="AY137" i="25"/>
  <c r="AZ137" i="25"/>
  <c r="BA137" i="25"/>
  <c r="BB137" i="25"/>
  <c r="BC137" i="25"/>
  <c r="BD137" i="25"/>
  <c r="BE137" i="25"/>
  <c r="BF137" i="25"/>
  <c r="BG137" i="25"/>
  <c r="AF137" i="25"/>
  <c r="R33" i="27" l="1"/>
  <c r="Q34" i="27"/>
  <c r="BI40" i="25"/>
  <c r="BI22" i="25"/>
  <c r="AS137" i="25"/>
  <c r="P137" i="25" s="1" a="1"/>
  <c r="P137" i="25" s="1"/>
  <c r="R22" i="25"/>
  <c r="AS117" i="25"/>
  <c r="AQ173" i="25"/>
  <c r="AR58" i="25"/>
  <c r="O137" i="25"/>
  <c r="BU137" i="25" s="1"/>
  <c r="S33" i="27" l="1"/>
  <c r="R34" i="27"/>
  <c r="AS58" i="25"/>
  <c r="AR173" i="25"/>
  <c r="CB173" i="25" s="1"/>
  <c r="CA173" i="25"/>
  <c r="BT137" i="25"/>
  <c r="CI137" i="25"/>
  <c r="CF137" i="25"/>
  <c r="CD137" i="25"/>
  <c r="BQ137" i="25"/>
  <c r="BR137" i="25"/>
  <c r="BO137" i="25"/>
  <c r="BM137" i="25"/>
  <c r="CJ137" i="25"/>
  <c r="CB137" i="25"/>
  <c r="CN137" i="25"/>
  <c r="CL137" i="25"/>
  <c r="CA137" i="25"/>
  <c r="BX137" i="25"/>
  <c r="BV137" i="25"/>
  <c r="CP137" i="25"/>
  <c r="CK137" i="25"/>
  <c r="CG137" i="25"/>
  <c r="CH137" i="25"/>
  <c r="CE137" i="25"/>
  <c r="CC137" i="25"/>
  <c r="CQ137" i="25"/>
  <c r="BS137" i="25"/>
  <c r="BP137" i="25"/>
  <c r="BN137" i="25"/>
  <c r="CO137" i="25"/>
  <c r="CM137" i="25"/>
  <c r="BY137" i="25"/>
  <c r="BZ137" i="25"/>
  <c r="BW137" i="25"/>
  <c r="T33" i="27" l="1"/>
  <c r="S34" i="27"/>
  <c r="BI58" i="25"/>
  <c r="AS173" i="25"/>
  <c r="R58" i="25"/>
  <c r="J22" i="25"/>
  <c r="J137" i="25" s="1"/>
  <c r="U33" i="27" l="1"/>
  <c r="T34" i="27"/>
  <c r="CC173" i="25"/>
  <c r="CR173" i="25" s="1"/>
  <c r="P173" i="25" a="1"/>
  <c r="P173" i="25" s="1"/>
  <c r="B49" i="25"/>
  <c r="V33" i="27" l="1"/>
  <c r="U34" i="27"/>
  <c r="B50" i="25"/>
  <c r="W33" i="27" l="1"/>
  <c r="V34" i="27"/>
  <c r="B51" i="25"/>
  <c r="X33" i="27" l="1"/>
  <c r="W34" i="27"/>
  <c r="B52" i="25"/>
  <c r="Y33" i="27" l="1"/>
  <c r="X34" i="27"/>
  <c r="B53" i="25"/>
  <c r="Z33" i="27" l="1"/>
  <c r="Y34" i="27"/>
  <c r="B54" i="25"/>
  <c r="AA33" i="27" l="1"/>
  <c r="Z34" i="27"/>
  <c r="AB33" i="27" l="1"/>
  <c r="AA34" i="27"/>
  <c r="AC33" i="27" l="1"/>
  <c r="AB34" i="27"/>
  <c r="AD33" i="27" l="1"/>
  <c r="AC34" i="27"/>
  <c r="AE33" i="27" l="1"/>
  <c r="AD34" i="27"/>
  <c r="AF33" i="27" l="1"/>
  <c r="AE34" i="27"/>
  <c r="AC3" i="30" a="1"/>
  <c r="AC3" i="30" s="1"/>
  <c r="AD3" i="30" a="1"/>
  <c r="AD3" i="30" s="1"/>
  <c r="AE3" i="30" a="1"/>
  <c r="AE3" i="30" s="1"/>
  <c r="AF3" i="30" a="1"/>
  <c r="AF3" i="30" s="1"/>
  <c r="AG3" i="30" a="1"/>
  <c r="AG3" i="30" s="1"/>
  <c r="O3" i="30" a="1"/>
  <c r="O3" i="30" s="1"/>
  <c r="P3" i="30" a="1"/>
  <c r="P3" i="30" s="1"/>
  <c r="Q3" i="30" a="1"/>
  <c r="Q3" i="30" s="1"/>
  <c r="R3" i="30" a="1"/>
  <c r="R3" i="30" s="1"/>
  <c r="S3" i="30" a="1"/>
  <c r="S3" i="30" s="1"/>
  <c r="T3" i="30" a="1"/>
  <c r="T3" i="30" s="1"/>
  <c r="U3" i="30" a="1"/>
  <c r="U3" i="30" s="1"/>
  <c r="V3" i="30" a="1"/>
  <c r="V3" i="30" s="1"/>
  <c r="W3" i="30" a="1"/>
  <c r="W3" i="30" s="1"/>
  <c r="X3" i="30" a="1"/>
  <c r="X3" i="30" s="1"/>
  <c r="Y3" i="30" a="1"/>
  <c r="Y3" i="30" s="1"/>
  <c r="Z3" i="30" a="1"/>
  <c r="Z3" i="30" s="1"/>
  <c r="AA3" i="30" a="1"/>
  <c r="AA3" i="30" s="1"/>
  <c r="AB3" i="30" a="1"/>
  <c r="AB3" i="30" s="1"/>
  <c r="N3" i="30" a="1"/>
  <c r="N3" i="30" s="1"/>
  <c r="AG33" i="27" l="1"/>
  <c r="AF34" i="27"/>
  <c r="AH33" i="27" l="1"/>
  <c r="AG34" i="27"/>
  <c r="E2" i="30"/>
  <c r="F2" i="30" s="1"/>
  <c r="AI33" i="27" l="1"/>
  <c r="AI34" i="27" s="1"/>
  <c r="AH34" i="27"/>
  <c r="D2" i="30"/>
  <c r="AO42" i="25" l="1"/>
  <c r="AI48" i="25"/>
  <c r="AH42" i="25"/>
  <c r="AH48" i="25"/>
  <c r="AI42" i="25" l="1"/>
  <c r="AH49" i="25"/>
  <c r="F52" i="29" l="1"/>
  <c r="F54" i="29"/>
  <c r="E21" i="29" s="1"/>
  <c r="F55" i="29"/>
  <c r="E22" i="29" s="1"/>
  <c r="F56" i="29"/>
  <c r="E23" i="29" s="1"/>
  <c r="F57" i="29"/>
  <c r="E24" i="29" s="1"/>
  <c r="F58" i="29"/>
  <c r="E25" i="29" s="1"/>
  <c r="F60" i="29"/>
  <c r="E27" i="29" s="1"/>
  <c r="F61" i="29"/>
  <c r="F62" i="29"/>
  <c r="F63" i="29"/>
  <c r="E30" i="29" s="1"/>
  <c r="F64" i="29"/>
  <c r="E31" i="29" s="1"/>
  <c r="F65" i="29"/>
  <c r="E32" i="29" s="1"/>
  <c r="F66" i="29"/>
  <c r="E33" i="29" s="1"/>
  <c r="F67" i="29"/>
  <c r="E34" i="29" s="1"/>
  <c r="F45" i="29"/>
  <c r="E12" i="29" s="1"/>
  <c r="F47" i="29"/>
  <c r="E14" i="29" s="1"/>
  <c r="F50" i="29"/>
  <c r="E17" i="29" s="1"/>
  <c r="F51" i="29"/>
  <c r="E18" i="29" s="1"/>
  <c r="C68" i="29"/>
  <c r="F68" i="29"/>
  <c r="F49" i="29"/>
  <c r="E16" i="29" s="1"/>
  <c r="F48" i="29"/>
  <c r="E15" i="29" s="1"/>
  <c r="F46" i="29" l="1"/>
  <c r="E13" i="29" s="1"/>
  <c r="A33" i="29"/>
  <c r="B229" i="25"/>
  <c r="A66" i="29" l="1"/>
  <c r="D33" i="29"/>
  <c r="F33" i="29" s="1"/>
  <c r="D19" i="29"/>
  <c r="D13" i="29"/>
  <c r="F13" i="29" s="1"/>
  <c r="D14" i="29"/>
  <c r="F14" i="29" s="1"/>
  <c r="D15" i="29"/>
  <c r="F15" i="29" s="1"/>
  <c r="D16" i="29"/>
  <c r="F16" i="29" s="1"/>
  <c r="D17" i="29"/>
  <c r="F17" i="29" s="1"/>
  <c r="D18" i="29"/>
  <c r="F18" i="29" s="1"/>
  <c r="D20" i="29"/>
  <c r="D21" i="29"/>
  <c r="F21" i="29" s="1"/>
  <c r="D22" i="29"/>
  <c r="F22" i="29" s="1"/>
  <c r="D23" i="29"/>
  <c r="F23" i="29" s="1"/>
  <c r="D24" i="29"/>
  <c r="F24" i="29" s="1"/>
  <c r="D25" i="29"/>
  <c r="F25" i="29" s="1"/>
  <c r="D27" i="29"/>
  <c r="F27" i="29" s="1"/>
  <c r="D28" i="29"/>
  <c r="D29" i="29"/>
  <c r="D30" i="29"/>
  <c r="F30" i="29" s="1"/>
  <c r="D31" i="29"/>
  <c r="F31" i="29" s="1"/>
  <c r="D32" i="29"/>
  <c r="F32" i="29" s="1"/>
  <c r="D34" i="29"/>
  <c r="F34" i="29" s="1"/>
  <c r="D35" i="29"/>
  <c r="F35" i="29" s="1"/>
  <c r="D12" i="29"/>
  <c r="F12" i="29" s="1"/>
  <c r="AA4" i="25"/>
  <c r="AE4" i="25" s="1"/>
  <c r="AS4" i="25" l="1"/>
  <c r="AS105" i="25" s="1"/>
  <c r="AK4" i="25"/>
  <c r="AC4" i="25"/>
  <c r="AB4" i="25"/>
  <c r="AZ4" i="25"/>
  <c r="AR4" i="25"/>
  <c r="AR105" i="25" s="1"/>
  <c r="AJ4" i="25"/>
  <c r="BG4" i="25"/>
  <c r="AY4" i="25"/>
  <c r="AQ4" i="25"/>
  <c r="AQ105" i="25" s="1"/>
  <c r="AI4" i="25"/>
  <c r="AL4" i="25"/>
  <c r="AL105" i="25" s="1"/>
  <c r="BF4" i="25"/>
  <c r="AP4" i="25"/>
  <c r="AP105" i="25" s="1"/>
  <c r="AG4" i="25"/>
  <c r="BD4" i="25"/>
  <c r="AV4" i="25"/>
  <c r="AN4" i="25"/>
  <c r="AN105" i="25" s="1"/>
  <c r="AF4" i="25"/>
  <c r="BB4" i="25"/>
  <c r="AT4" i="25"/>
  <c r="AD4" i="25"/>
  <c r="BA4" i="25"/>
  <c r="AX4" i="25"/>
  <c r="AH4" i="25"/>
  <c r="BE4" i="25"/>
  <c r="AW4" i="25"/>
  <c r="AO4" i="25"/>
  <c r="AO105" i="25" s="1"/>
  <c r="BC4" i="25"/>
  <c r="AU4" i="25"/>
  <c r="AM4" i="25"/>
  <c r="AM105" i="25" s="1"/>
  <c r="AK63" i="25"/>
  <c r="AK178" i="25" s="1"/>
  <c r="AO27" i="25"/>
  <c r="AO142" i="25" s="1"/>
  <c r="AD63" i="25"/>
  <c r="AD178" i="25" s="1"/>
  <c r="AE63" i="25"/>
  <c r="AE178" i="25" s="1"/>
  <c r="AF63" i="25"/>
  <c r="AF178" i="25" s="1"/>
  <c r="AG65" i="25"/>
  <c r="AG180" i="25" s="1"/>
  <c r="AI83" i="25"/>
  <c r="AI84" i="25" s="1"/>
  <c r="AI85" i="25" s="1"/>
  <c r="AI200" i="25" s="1"/>
  <c r="AJ83" i="25"/>
  <c r="AJ90" i="25" s="1"/>
  <c r="AJ205" i="25" s="1"/>
  <c r="AB65" i="25"/>
  <c r="AB70" i="25"/>
  <c r="AB26" i="25"/>
  <c r="Z109" i="25"/>
  <c r="Z110" i="25"/>
  <c r="Z111" i="25"/>
  <c r="Z112" i="25"/>
  <c r="Z113" i="25"/>
  <c r="Z114" i="25"/>
  <c r="U114" i="25"/>
  <c r="U112" i="25"/>
  <c r="U111" i="25"/>
  <c r="U110" i="25"/>
  <c r="AL198" i="25"/>
  <c r="AN198" i="25"/>
  <c r="AO84" i="25"/>
  <c r="AQ198" i="25"/>
  <c r="AS90" i="25"/>
  <c r="AS205" i="25" s="1"/>
  <c r="AT83" i="25"/>
  <c r="AT84" i="25" s="1"/>
  <c r="AU83" i="25"/>
  <c r="AV83" i="25"/>
  <c r="AV90" i="25" s="1"/>
  <c r="AV205" i="25" s="1"/>
  <c r="AW83" i="25"/>
  <c r="AW84" i="25" s="1"/>
  <c r="AX83" i="25"/>
  <c r="AY83" i="25"/>
  <c r="AZ83" i="25"/>
  <c r="AZ90" i="25" s="1"/>
  <c r="AZ205" i="25" s="1"/>
  <c r="BA83" i="25"/>
  <c r="BA90" i="25" s="1"/>
  <c r="BA205" i="25" s="1"/>
  <c r="BB83" i="25"/>
  <c r="BB84" i="25" s="1"/>
  <c r="BC83" i="25"/>
  <c r="BD83" i="25"/>
  <c r="BD84" i="25" s="1"/>
  <c r="BD85" i="25" s="1"/>
  <c r="BD200" i="25" s="1"/>
  <c r="BE83" i="25"/>
  <c r="BE84" i="25" s="1"/>
  <c r="BF83" i="25"/>
  <c r="BF198" i="25" s="1"/>
  <c r="BG83" i="25"/>
  <c r="BG84" i="25" s="1"/>
  <c r="AN90" i="25"/>
  <c r="AN205" i="25" s="1"/>
  <c r="AL71" i="25"/>
  <c r="AM71" i="25"/>
  <c r="AM186" i="25" s="1"/>
  <c r="AN185" i="25"/>
  <c r="AP185" i="25"/>
  <c r="AQ185" i="25"/>
  <c r="AS186" i="25"/>
  <c r="AT186" i="25"/>
  <c r="AU185" i="25"/>
  <c r="AV185" i="25"/>
  <c r="AX186" i="25"/>
  <c r="AZ185" i="25"/>
  <c r="BA186" i="25"/>
  <c r="BB186" i="25"/>
  <c r="BC185" i="25"/>
  <c r="BD185" i="25"/>
  <c r="BE185" i="25"/>
  <c r="BF185" i="25"/>
  <c r="BG185" i="25"/>
  <c r="AM180" i="25"/>
  <c r="AN180" i="25"/>
  <c r="AP180" i="25"/>
  <c r="AS180" i="25"/>
  <c r="AU180" i="25"/>
  <c r="AV180" i="25"/>
  <c r="AW180" i="25"/>
  <c r="AX180" i="25"/>
  <c r="AZ180" i="25"/>
  <c r="BA180" i="25"/>
  <c r="BB180" i="25"/>
  <c r="BC180" i="25"/>
  <c r="BD180" i="25"/>
  <c r="BE180" i="25"/>
  <c r="BF180" i="25"/>
  <c r="BG180" i="25"/>
  <c r="AL178" i="25"/>
  <c r="AP178" i="25"/>
  <c r="AR178" i="25"/>
  <c r="AT178" i="25"/>
  <c r="AU178" i="25"/>
  <c r="AV178" i="25"/>
  <c r="AW178" i="25"/>
  <c r="AX178" i="25"/>
  <c r="AY178" i="25"/>
  <c r="AZ178" i="25"/>
  <c r="BA178" i="25"/>
  <c r="BB178" i="25"/>
  <c r="BC178" i="25"/>
  <c r="BD178" i="25"/>
  <c r="BE178" i="25"/>
  <c r="BF178" i="25"/>
  <c r="BG178" i="25"/>
  <c r="AT160" i="25"/>
  <c r="AU159" i="25"/>
  <c r="AV159" i="25"/>
  <c r="AW44" i="25"/>
  <c r="AW45" i="25" s="1"/>
  <c r="AW160" i="25" s="1"/>
  <c r="AX44" i="25"/>
  <c r="AX45" i="25" s="1"/>
  <c r="AX160" i="25" s="1"/>
  <c r="AY44" i="25"/>
  <c r="AZ44" i="25"/>
  <c r="AZ45" i="25" s="1"/>
  <c r="AZ160" i="25" s="1"/>
  <c r="BA44" i="25"/>
  <c r="BA159" i="25" s="1"/>
  <c r="BB44" i="25"/>
  <c r="BB159" i="25" s="1"/>
  <c r="BC44" i="25"/>
  <c r="BC45" i="25" s="1"/>
  <c r="BC160" i="25" s="1"/>
  <c r="BD44" i="25"/>
  <c r="BD45" i="25" s="1"/>
  <c r="BD160" i="25" s="1"/>
  <c r="BE44" i="25"/>
  <c r="BE159" i="25" s="1"/>
  <c r="BF44" i="25"/>
  <c r="BF45" i="25" s="1"/>
  <c r="BF160" i="25" s="1"/>
  <c r="BG44" i="25"/>
  <c r="BG45" i="25" s="1"/>
  <c r="BG160" i="25" s="1"/>
  <c r="AF44" i="25"/>
  <c r="AF45" i="25" s="1"/>
  <c r="AF160" i="25" s="1"/>
  <c r="AM45" i="25"/>
  <c r="AM160" i="25" s="1"/>
  <c r="AN45" i="25"/>
  <c r="AN160" i="25" s="1"/>
  <c r="AO45" i="25"/>
  <c r="AS160" i="25"/>
  <c r="AL45" i="25"/>
  <c r="AM141" i="25"/>
  <c r="AQ27" i="25"/>
  <c r="AS141" i="25"/>
  <c r="AT142" i="25"/>
  <c r="AV141" i="25"/>
  <c r="AW142" i="25"/>
  <c r="AX142" i="25"/>
  <c r="AY142" i="25"/>
  <c r="AZ142" i="25"/>
  <c r="BA142" i="25"/>
  <c r="BB142" i="25"/>
  <c r="BC142" i="25"/>
  <c r="BD142" i="25"/>
  <c r="BE142" i="25"/>
  <c r="BF141" i="25"/>
  <c r="AN71" i="25"/>
  <c r="AM27" i="25"/>
  <c r="AM142" i="25" s="1"/>
  <c r="AN27" i="25"/>
  <c r="AN142" i="25" s="1"/>
  <c r="I11" i="1"/>
  <c r="H11" i="1"/>
  <c r="G11" i="1"/>
  <c r="F11" i="1"/>
  <c r="E11" i="1"/>
  <c r="D11" i="1"/>
  <c r="D12" i="1" s="1"/>
  <c r="AB124" i="25"/>
  <c r="AC124" i="25"/>
  <c r="AD124" i="25"/>
  <c r="AE124" i="25"/>
  <c r="AF124" i="25"/>
  <c r="AG124" i="25"/>
  <c r="AH124" i="25"/>
  <c r="AI124" i="25"/>
  <c r="AJ124" i="25"/>
  <c r="AR124" i="25"/>
  <c r="AS124" i="25"/>
  <c r="AT124" i="25"/>
  <c r="AU124" i="25"/>
  <c r="AV124" i="25"/>
  <c r="AW124" i="25"/>
  <c r="AX124" i="25"/>
  <c r="AY124" i="25"/>
  <c r="AZ124" i="25"/>
  <c r="BA124" i="25"/>
  <c r="BB124" i="25"/>
  <c r="BC124" i="25"/>
  <c r="BD124" i="25"/>
  <c r="BE124" i="25"/>
  <c r="BF124" i="25"/>
  <c r="BG124" i="25"/>
  <c r="AB125" i="25"/>
  <c r="AC125" i="25"/>
  <c r="AD125" i="25"/>
  <c r="AE125" i="25"/>
  <c r="AF125" i="25"/>
  <c r="AN125" i="25"/>
  <c r="AO125" i="25"/>
  <c r="AP125" i="25"/>
  <c r="AQ125" i="25"/>
  <c r="AR125" i="25"/>
  <c r="AS125" i="25"/>
  <c r="AT125" i="25"/>
  <c r="AU125" i="25"/>
  <c r="AV125" i="25"/>
  <c r="AW125" i="25"/>
  <c r="AX125" i="25"/>
  <c r="AY125" i="25"/>
  <c r="AZ125" i="25"/>
  <c r="BA125" i="25"/>
  <c r="BB125" i="25"/>
  <c r="BC125" i="25"/>
  <c r="BD125" i="25"/>
  <c r="BE125" i="25"/>
  <c r="BF125" i="25"/>
  <c r="BG125" i="25"/>
  <c r="AB126" i="25"/>
  <c r="AC126" i="25"/>
  <c r="AD126" i="25"/>
  <c r="AE126" i="25"/>
  <c r="AQ126" i="25"/>
  <c r="AR126" i="25"/>
  <c r="AS126" i="25"/>
  <c r="AT126" i="25"/>
  <c r="AU126" i="25"/>
  <c r="AV126" i="25"/>
  <c r="AW126" i="25"/>
  <c r="AX126" i="25"/>
  <c r="AY126" i="25"/>
  <c r="AZ126" i="25"/>
  <c r="BA126" i="25"/>
  <c r="BB126" i="25"/>
  <c r="BC126" i="25"/>
  <c r="BD126" i="25"/>
  <c r="BE126" i="25"/>
  <c r="BF126" i="25"/>
  <c r="BG126" i="25"/>
  <c r="AB127" i="25"/>
  <c r="AC127" i="25"/>
  <c r="AD127" i="25"/>
  <c r="AE127" i="25"/>
  <c r="AF127" i="25"/>
  <c r="AG127" i="25"/>
  <c r="AH127" i="25"/>
  <c r="AI127" i="25"/>
  <c r="AU127" i="25"/>
  <c r="AV127" i="25"/>
  <c r="AW127" i="25"/>
  <c r="AX127" i="25"/>
  <c r="AY127" i="25"/>
  <c r="AZ127" i="25"/>
  <c r="BA127" i="25"/>
  <c r="BB127" i="25"/>
  <c r="BC127" i="25"/>
  <c r="BD127" i="25"/>
  <c r="BE127" i="25"/>
  <c r="BF127" i="25"/>
  <c r="BG127" i="25"/>
  <c r="AB128" i="25"/>
  <c r="AC128" i="25"/>
  <c r="AD128" i="25"/>
  <c r="AE128" i="25"/>
  <c r="AF128" i="25"/>
  <c r="AG128" i="25"/>
  <c r="AH128" i="25"/>
  <c r="AI128" i="25"/>
  <c r="AJ128" i="25"/>
  <c r="AK128" i="25"/>
  <c r="AL128" i="25"/>
  <c r="AX128" i="25"/>
  <c r="AY128" i="25"/>
  <c r="AZ128" i="25"/>
  <c r="BA128" i="25"/>
  <c r="BB128" i="25"/>
  <c r="BC128" i="25"/>
  <c r="BD128" i="25"/>
  <c r="BE128" i="25"/>
  <c r="BF128" i="25"/>
  <c r="BG128" i="25"/>
  <c r="AB129" i="25"/>
  <c r="AC129" i="25"/>
  <c r="AD129" i="25"/>
  <c r="AE129" i="25"/>
  <c r="AF129" i="25"/>
  <c r="AG129" i="25"/>
  <c r="AH129" i="25"/>
  <c r="AI129" i="25"/>
  <c r="AJ129" i="25"/>
  <c r="AK129" i="25"/>
  <c r="AL129" i="25"/>
  <c r="AM129" i="25"/>
  <c r="AN129" i="25"/>
  <c r="AO129" i="25"/>
  <c r="AP129" i="25"/>
  <c r="AQ129" i="25"/>
  <c r="BC129" i="25"/>
  <c r="BD129" i="25"/>
  <c r="BE129" i="25"/>
  <c r="BF129" i="25"/>
  <c r="BG129" i="25"/>
  <c r="AB130" i="25"/>
  <c r="AC130" i="25"/>
  <c r="AD130" i="25"/>
  <c r="AE130" i="25"/>
  <c r="AF130" i="25"/>
  <c r="AG130" i="25"/>
  <c r="AH130" i="25"/>
  <c r="AI130" i="25"/>
  <c r="AJ130" i="25"/>
  <c r="AK130" i="25"/>
  <c r="AL130" i="25"/>
  <c r="AM130" i="25"/>
  <c r="AN130" i="25"/>
  <c r="BC130" i="25"/>
  <c r="BD130" i="25"/>
  <c r="BE130" i="25"/>
  <c r="BF130" i="25"/>
  <c r="BG130" i="25"/>
  <c r="AB131" i="25"/>
  <c r="AC131" i="25"/>
  <c r="AD131" i="25"/>
  <c r="AE131" i="25"/>
  <c r="AF131" i="25"/>
  <c r="AG131" i="25"/>
  <c r="AH131" i="25"/>
  <c r="AI131" i="25"/>
  <c r="AJ131" i="25"/>
  <c r="AK131" i="25"/>
  <c r="AL131" i="25"/>
  <c r="AX131" i="25"/>
  <c r="AY131" i="25"/>
  <c r="AZ131" i="25"/>
  <c r="BA131" i="25"/>
  <c r="BB131" i="25"/>
  <c r="BC131" i="25"/>
  <c r="BD131" i="25"/>
  <c r="BE131" i="25"/>
  <c r="BF131" i="25"/>
  <c r="BG131" i="25"/>
  <c r="AB132" i="25"/>
  <c r="AC132" i="25"/>
  <c r="AD132" i="25"/>
  <c r="AE132" i="25"/>
  <c r="AF132" i="25"/>
  <c r="AG132" i="25"/>
  <c r="AH132" i="25"/>
  <c r="AI132" i="25"/>
  <c r="AJ132" i="25"/>
  <c r="AK132" i="25"/>
  <c r="AL132" i="25"/>
  <c r="AM132" i="25"/>
  <c r="AN132" i="25"/>
  <c r="AO132" i="25"/>
  <c r="AP132" i="25"/>
  <c r="AQ132" i="25"/>
  <c r="BC132" i="25"/>
  <c r="BD132" i="25"/>
  <c r="BE132" i="25"/>
  <c r="BF132" i="25"/>
  <c r="BG132" i="25"/>
  <c r="AB133" i="25"/>
  <c r="AC133" i="25"/>
  <c r="AD133" i="25"/>
  <c r="AE133" i="25"/>
  <c r="AF133" i="25"/>
  <c r="AG133" i="25"/>
  <c r="AH133" i="25"/>
  <c r="AI133" i="25"/>
  <c r="AJ133" i="25"/>
  <c r="AK133" i="25"/>
  <c r="AL133" i="25"/>
  <c r="AM133" i="25"/>
  <c r="AN133" i="25"/>
  <c r="BC133" i="25"/>
  <c r="BD133" i="25"/>
  <c r="BE133" i="25"/>
  <c r="BF133" i="25"/>
  <c r="BG133" i="25"/>
  <c r="AB134" i="25"/>
  <c r="AC134" i="25"/>
  <c r="AD134" i="25"/>
  <c r="AH134" i="25"/>
  <c r="AI134" i="25"/>
  <c r="AJ134" i="25"/>
  <c r="AK134" i="25"/>
  <c r="AL134" i="25"/>
  <c r="AM134" i="25"/>
  <c r="AN134" i="25"/>
  <c r="AO134" i="25"/>
  <c r="AP134" i="25"/>
  <c r="AQ134" i="25"/>
  <c r="AR134" i="25"/>
  <c r="AS134" i="25"/>
  <c r="AT134" i="25"/>
  <c r="AU134" i="25"/>
  <c r="AV134" i="25"/>
  <c r="AW134" i="25"/>
  <c r="AX134" i="25"/>
  <c r="AY134" i="25"/>
  <c r="AZ134" i="25"/>
  <c r="BA134" i="25"/>
  <c r="BB134" i="25"/>
  <c r="BC134" i="25"/>
  <c r="BD134" i="25"/>
  <c r="BE134" i="25"/>
  <c r="BF134" i="25"/>
  <c r="BG134" i="25"/>
  <c r="AE135" i="25"/>
  <c r="AF135" i="25"/>
  <c r="AG135" i="25"/>
  <c r="AH135" i="25"/>
  <c r="AI135" i="25"/>
  <c r="AJ135" i="25"/>
  <c r="AK135" i="25"/>
  <c r="AL135" i="25"/>
  <c r="AM135" i="25"/>
  <c r="AN135" i="25"/>
  <c r="AO135" i="25"/>
  <c r="AP135" i="25"/>
  <c r="AQ135" i="25"/>
  <c r="AR135" i="25"/>
  <c r="AS135" i="25"/>
  <c r="AT135" i="25"/>
  <c r="AU135" i="25"/>
  <c r="AV135" i="25"/>
  <c r="AW135" i="25"/>
  <c r="AX135" i="25"/>
  <c r="AY135" i="25"/>
  <c r="AZ135" i="25"/>
  <c r="BA135" i="25"/>
  <c r="BB135" i="25"/>
  <c r="BC135" i="25"/>
  <c r="BD135" i="25"/>
  <c r="BE135" i="25"/>
  <c r="BF135" i="25"/>
  <c r="BG135" i="25"/>
  <c r="AE136" i="25"/>
  <c r="AF136" i="25"/>
  <c r="AG136" i="25"/>
  <c r="AH136" i="25"/>
  <c r="AI136" i="25"/>
  <c r="AJ136" i="25"/>
  <c r="AK136" i="25"/>
  <c r="AL136" i="25"/>
  <c r="AM136" i="25"/>
  <c r="AN136" i="25"/>
  <c r="AO136" i="25"/>
  <c r="AP136" i="25"/>
  <c r="AQ136" i="25"/>
  <c r="AR136" i="25"/>
  <c r="AS136" i="25"/>
  <c r="AT136" i="25"/>
  <c r="AU136" i="25"/>
  <c r="AV136" i="25"/>
  <c r="AW136" i="25"/>
  <c r="AX136" i="25"/>
  <c r="AY136" i="25"/>
  <c r="AZ136" i="25"/>
  <c r="BA136" i="25"/>
  <c r="BB136" i="25"/>
  <c r="BC136" i="25"/>
  <c r="BD136" i="25"/>
  <c r="BE136" i="25"/>
  <c r="BF136" i="25"/>
  <c r="BG136" i="25"/>
  <c r="AB138" i="25"/>
  <c r="AC138" i="25"/>
  <c r="AD138" i="25"/>
  <c r="AE138" i="25"/>
  <c r="AF138" i="25"/>
  <c r="AG138" i="25"/>
  <c r="AH138" i="25"/>
  <c r="AI138" i="25"/>
  <c r="AJ138" i="25"/>
  <c r="AK138" i="25"/>
  <c r="AL138" i="25"/>
  <c r="AM138" i="25"/>
  <c r="AN138" i="25"/>
  <c r="AO138" i="25"/>
  <c r="AP138" i="25"/>
  <c r="AQ138" i="25"/>
  <c r="AR138" i="25"/>
  <c r="AS138" i="25"/>
  <c r="AT138" i="25"/>
  <c r="AU138" i="25"/>
  <c r="AV138" i="25"/>
  <c r="AB139" i="25"/>
  <c r="AC139" i="25"/>
  <c r="AD139" i="25"/>
  <c r="AE139" i="25"/>
  <c r="AF139" i="25"/>
  <c r="AG139" i="25"/>
  <c r="AH139" i="25"/>
  <c r="AI139" i="25"/>
  <c r="AJ139" i="25"/>
  <c r="AK139" i="25"/>
  <c r="AL139" i="25"/>
  <c r="AM139" i="25"/>
  <c r="AN139" i="25"/>
  <c r="AO139" i="25"/>
  <c r="AP139" i="25"/>
  <c r="AQ139" i="25"/>
  <c r="AR139" i="25"/>
  <c r="AS139" i="25"/>
  <c r="AT139" i="25"/>
  <c r="AU139" i="25"/>
  <c r="AV139" i="25"/>
  <c r="AB140" i="25"/>
  <c r="AC140" i="25"/>
  <c r="AD140" i="25"/>
  <c r="AE140" i="25"/>
  <c r="AF140" i="25"/>
  <c r="AG140" i="25"/>
  <c r="AH140" i="25"/>
  <c r="AI140" i="25"/>
  <c r="AJ140" i="25"/>
  <c r="AK140" i="25"/>
  <c r="AL140" i="25"/>
  <c r="AM140" i="25"/>
  <c r="AN140" i="25"/>
  <c r="AO140" i="25"/>
  <c r="AP140" i="25"/>
  <c r="AQ140" i="25"/>
  <c r="AR140" i="25"/>
  <c r="AS140" i="25"/>
  <c r="AN141" i="25"/>
  <c r="AB143" i="25"/>
  <c r="AC143" i="25"/>
  <c r="AD143" i="25"/>
  <c r="AE143" i="25"/>
  <c r="AF143" i="25"/>
  <c r="AG143" i="25"/>
  <c r="AH143" i="25"/>
  <c r="AI143" i="25"/>
  <c r="AJ143" i="25"/>
  <c r="AV143" i="25"/>
  <c r="AW143" i="25"/>
  <c r="AX143" i="25"/>
  <c r="AY143" i="25"/>
  <c r="AZ143" i="25"/>
  <c r="BA143" i="25"/>
  <c r="BB143" i="25"/>
  <c r="BC143" i="25"/>
  <c r="BD143" i="25"/>
  <c r="BE143" i="25"/>
  <c r="BF143" i="25"/>
  <c r="BG143" i="25"/>
  <c r="AB144" i="25"/>
  <c r="AC144" i="25"/>
  <c r="AD144" i="25"/>
  <c r="AE144" i="25"/>
  <c r="AF144" i="25"/>
  <c r="AG144" i="25"/>
  <c r="AH144" i="25"/>
  <c r="AI144" i="25"/>
  <c r="AX144" i="25"/>
  <c r="AY144" i="25"/>
  <c r="AZ144" i="25"/>
  <c r="BA144" i="25"/>
  <c r="BB144" i="25"/>
  <c r="BC144" i="25"/>
  <c r="BD144" i="25"/>
  <c r="BE144" i="25"/>
  <c r="BF144" i="25"/>
  <c r="BG144" i="25"/>
  <c r="AB145" i="25"/>
  <c r="AC145" i="25"/>
  <c r="AD145" i="25"/>
  <c r="AE145" i="25"/>
  <c r="AF145" i="25"/>
  <c r="AG145" i="25"/>
  <c r="AH145" i="25"/>
  <c r="AI145" i="25"/>
  <c r="AJ145" i="25"/>
  <c r="AK145" i="25"/>
  <c r="AL145" i="25"/>
  <c r="AM145" i="25"/>
  <c r="AN145" i="25"/>
  <c r="AO145" i="25"/>
  <c r="AP145" i="25"/>
  <c r="AQ145" i="25"/>
  <c r="AR145" i="25"/>
  <c r="AS145" i="25"/>
  <c r="AT145" i="25"/>
  <c r="AU145" i="25"/>
  <c r="AV145" i="25"/>
  <c r="AB146" i="25"/>
  <c r="AC146" i="25"/>
  <c r="AD146" i="25"/>
  <c r="AE146" i="25"/>
  <c r="AF146" i="25"/>
  <c r="AG146" i="25"/>
  <c r="AH146" i="25"/>
  <c r="AI146" i="25"/>
  <c r="AJ146" i="25"/>
  <c r="AK146" i="25"/>
  <c r="AL146" i="25"/>
  <c r="AM146" i="25"/>
  <c r="AN146" i="25"/>
  <c r="AO146" i="25"/>
  <c r="AP146" i="25"/>
  <c r="AQ146" i="25"/>
  <c r="AR146" i="25"/>
  <c r="AS146" i="25"/>
  <c r="AB147" i="25"/>
  <c r="AC147" i="25"/>
  <c r="AD147" i="25"/>
  <c r="AE147" i="25"/>
  <c r="AF147" i="25"/>
  <c r="AG147" i="25"/>
  <c r="AH147" i="25"/>
  <c r="AI147" i="25"/>
  <c r="AJ147" i="25"/>
  <c r="AS147" i="25"/>
  <c r="AT147" i="25"/>
  <c r="AU147" i="25"/>
  <c r="AV147" i="25"/>
  <c r="AW147" i="25"/>
  <c r="AX147" i="25"/>
  <c r="AY147" i="25"/>
  <c r="AZ147" i="25"/>
  <c r="BA147" i="25"/>
  <c r="BB147" i="25"/>
  <c r="BC147" i="25"/>
  <c r="BD147" i="25"/>
  <c r="BE147" i="25"/>
  <c r="BF147" i="25"/>
  <c r="BG147" i="25"/>
  <c r="AB148" i="25"/>
  <c r="AC148" i="25"/>
  <c r="AD148" i="25"/>
  <c r="AE148" i="25"/>
  <c r="AF148" i="25"/>
  <c r="AG148" i="25"/>
  <c r="AH148" i="25"/>
  <c r="AI148" i="25"/>
  <c r="AJ148" i="25"/>
  <c r="AV148" i="25"/>
  <c r="AW148" i="25"/>
  <c r="AX148" i="25"/>
  <c r="AY148" i="25"/>
  <c r="AZ148" i="25"/>
  <c r="BA148" i="25"/>
  <c r="BB148" i="25"/>
  <c r="BC148" i="25"/>
  <c r="BD148" i="25"/>
  <c r="BE148" i="25"/>
  <c r="BF148" i="25"/>
  <c r="BG148" i="25"/>
  <c r="AB149" i="25"/>
  <c r="AC149" i="25"/>
  <c r="AD149" i="25"/>
  <c r="AE149" i="25"/>
  <c r="AF149" i="25"/>
  <c r="AG149" i="25"/>
  <c r="AH149" i="25"/>
  <c r="AI149" i="25"/>
  <c r="AJ149" i="25"/>
  <c r="AK149" i="25"/>
  <c r="AL149" i="25"/>
  <c r="AM149" i="25"/>
  <c r="AN149" i="25"/>
  <c r="AO149" i="25"/>
  <c r="AP149" i="25"/>
  <c r="AQ149" i="25"/>
  <c r="AR149" i="25"/>
  <c r="AS149" i="25"/>
  <c r="AT149" i="25"/>
  <c r="AU149" i="25"/>
  <c r="AV149" i="25"/>
  <c r="AB150" i="25"/>
  <c r="AC150" i="25"/>
  <c r="AD150" i="25"/>
  <c r="AE150" i="25"/>
  <c r="AF150" i="25"/>
  <c r="AG150" i="25"/>
  <c r="AH150" i="25"/>
  <c r="AI150" i="25"/>
  <c r="AJ150" i="25"/>
  <c r="AK150" i="25"/>
  <c r="AL150" i="25"/>
  <c r="AM150" i="25"/>
  <c r="AN150" i="25"/>
  <c r="AO150" i="25"/>
  <c r="AP150" i="25"/>
  <c r="AQ150" i="25"/>
  <c r="AR150" i="25"/>
  <c r="AS150" i="25"/>
  <c r="AB151" i="25"/>
  <c r="AC151" i="25"/>
  <c r="AD151" i="25"/>
  <c r="AE151" i="25"/>
  <c r="AF151" i="25"/>
  <c r="AG151" i="25"/>
  <c r="AH151" i="25"/>
  <c r="AI151" i="25"/>
  <c r="AJ151" i="25"/>
  <c r="AK151" i="25"/>
  <c r="AL151" i="25"/>
  <c r="AM151" i="25"/>
  <c r="AN151" i="25"/>
  <c r="AO151" i="25"/>
  <c r="AP151" i="25"/>
  <c r="AQ151" i="25"/>
  <c r="AR151" i="25"/>
  <c r="AS151" i="25"/>
  <c r="AT151" i="25"/>
  <c r="AU151" i="25"/>
  <c r="AV151" i="25"/>
  <c r="AW151" i="25"/>
  <c r="AX151" i="25"/>
  <c r="AY151" i="25"/>
  <c r="AZ151" i="25"/>
  <c r="BA151" i="25"/>
  <c r="BB151" i="25"/>
  <c r="BC151" i="25"/>
  <c r="BD151" i="25"/>
  <c r="BE151" i="25"/>
  <c r="BF151" i="25"/>
  <c r="BG151" i="25"/>
  <c r="AB152" i="25"/>
  <c r="AC152" i="25"/>
  <c r="AD152" i="25"/>
  <c r="AE152" i="25"/>
  <c r="AF152" i="25"/>
  <c r="AG152" i="25"/>
  <c r="AH152" i="25"/>
  <c r="AI152" i="25"/>
  <c r="AJ152" i="25"/>
  <c r="AK152" i="25"/>
  <c r="AL152" i="25"/>
  <c r="AM152" i="25"/>
  <c r="AN152" i="25"/>
  <c r="AO152" i="25"/>
  <c r="AP152" i="25"/>
  <c r="AQ152" i="25"/>
  <c r="AR152" i="25"/>
  <c r="AS152" i="25"/>
  <c r="AT152" i="25"/>
  <c r="AU152" i="25"/>
  <c r="AV152" i="25"/>
  <c r="AW152" i="25"/>
  <c r="AX152" i="25"/>
  <c r="AY152" i="25"/>
  <c r="AZ152" i="25"/>
  <c r="BA152" i="25"/>
  <c r="BB152" i="25"/>
  <c r="BC152" i="25"/>
  <c r="BD152" i="25"/>
  <c r="BE152" i="25"/>
  <c r="BF152" i="25"/>
  <c r="BG152" i="25"/>
  <c r="AB153" i="25"/>
  <c r="AC153" i="25"/>
  <c r="AD153" i="25"/>
  <c r="AE153" i="25"/>
  <c r="AF153" i="25"/>
  <c r="AG153" i="25"/>
  <c r="AH153" i="25"/>
  <c r="AI153" i="25"/>
  <c r="AJ153" i="25"/>
  <c r="AK153" i="25"/>
  <c r="AL153" i="25"/>
  <c r="AM153" i="25"/>
  <c r="AN153" i="25"/>
  <c r="BC153" i="25"/>
  <c r="BD153" i="25"/>
  <c r="BE153" i="25"/>
  <c r="BF153" i="25"/>
  <c r="BG153" i="25"/>
  <c r="AB154" i="25"/>
  <c r="AC154" i="25"/>
  <c r="AD154" i="25"/>
  <c r="AE154" i="25"/>
  <c r="AF154" i="25"/>
  <c r="AG154" i="25"/>
  <c r="AH154" i="25"/>
  <c r="AI154" i="25"/>
  <c r="AJ154" i="25"/>
  <c r="AK154" i="25"/>
  <c r="AL154" i="25"/>
  <c r="AM154" i="25"/>
  <c r="AN154" i="25"/>
  <c r="AO154" i="25"/>
  <c r="AP154" i="25"/>
  <c r="AQ154" i="25"/>
  <c r="AR154" i="25"/>
  <c r="AS154" i="25"/>
  <c r="AT154" i="25"/>
  <c r="AU154" i="25"/>
  <c r="AV154" i="25"/>
  <c r="AW154" i="25"/>
  <c r="AX154" i="25"/>
  <c r="AY154" i="25"/>
  <c r="AZ154" i="25"/>
  <c r="BA154" i="25"/>
  <c r="BB154" i="25"/>
  <c r="BC154" i="25"/>
  <c r="BD154" i="25"/>
  <c r="BE154" i="25"/>
  <c r="BF154" i="25"/>
  <c r="BG154" i="25"/>
  <c r="AB155" i="25"/>
  <c r="AC155" i="25"/>
  <c r="AD155" i="25"/>
  <c r="AE155" i="25"/>
  <c r="AF155" i="25"/>
  <c r="AG155" i="25"/>
  <c r="AH155" i="25"/>
  <c r="AI155" i="25"/>
  <c r="AJ155" i="25"/>
  <c r="AK155" i="25"/>
  <c r="AL155" i="25"/>
  <c r="AM155" i="25"/>
  <c r="AN155" i="25"/>
  <c r="AO155" i="25"/>
  <c r="AP155" i="25"/>
  <c r="AQ155" i="25"/>
  <c r="AR155" i="25"/>
  <c r="AS155" i="25"/>
  <c r="AT155" i="25"/>
  <c r="AU155" i="25"/>
  <c r="AV155" i="25"/>
  <c r="AW155" i="25"/>
  <c r="AX155" i="25"/>
  <c r="AY155" i="25"/>
  <c r="AZ155" i="25"/>
  <c r="BA155" i="25"/>
  <c r="BB155" i="25"/>
  <c r="BC155" i="25"/>
  <c r="BD155" i="25"/>
  <c r="BE155" i="25"/>
  <c r="BF155" i="25"/>
  <c r="BG155" i="25"/>
  <c r="AC156" i="25"/>
  <c r="AD156" i="25"/>
  <c r="AE156" i="25"/>
  <c r="AF156" i="25"/>
  <c r="AG156" i="25"/>
  <c r="AH156" i="25"/>
  <c r="AI156" i="25"/>
  <c r="AJ156" i="25"/>
  <c r="AK156" i="25"/>
  <c r="AL156" i="25"/>
  <c r="AM156" i="25"/>
  <c r="AN156" i="25"/>
  <c r="AO156" i="25"/>
  <c r="AP156" i="25"/>
  <c r="AQ156" i="25"/>
  <c r="AR156" i="25"/>
  <c r="AS156" i="25"/>
  <c r="AT156" i="25"/>
  <c r="AU156" i="25"/>
  <c r="AV156" i="25"/>
  <c r="AW156" i="25"/>
  <c r="AX156" i="25"/>
  <c r="AY156" i="25"/>
  <c r="AZ156" i="25"/>
  <c r="BA156" i="25"/>
  <c r="BB156" i="25"/>
  <c r="BC156" i="25"/>
  <c r="BD156" i="25"/>
  <c r="BE156" i="25"/>
  <c r="BF156" i="25"/>
  <c r="BG156" i="25"/>
  <c r="AB157" i="25"/>
  <c r="AC157" i="25"/>
  <c r="AD157" i="25"/>
  <c r="AE157" i="25"/>
  <c r="AF157" i="25"/>
  <c r="AL157" i="25"/>
  <c r="AM157" i="25"/>
  <c r="AN157" i="25"/>
  <c r="AO157" i="25"/>
  <c r="AR157" i="25"/>
  <c r="AS157" i="25"/>
  <c r="AU157" i="25"/>
  <c r="AV157" i="25"/>
  <c r="AW157" i="25"/>
  <c r="AX157" i="25"/>
  <c r="AY157" i="25"/>
  <c r="AZ157" i="25"/>
  <c r="BA157" i="25"/>
  <c r="BB157" i="25"/>
  <c r="BC157" i="25"/>
  <c r="BD157" i="25"/>
  <c r="BE157" i="25"/>
  <c r="BF157" i="25"/>
  <c r="BG157" i="25"/>
  <c r="AB158" i="25"/>
  <c r="AC158" i="25"/>
  <c r="AD158" i="25"/>
  <c r="AE158" i="25"/>
  <c r="AF158" i="25"/>
  <c r="AG158" i="25"/>
  <c r="AH158" i="25"/>
  <c r="AI158" i="25"/>
  <c r="AJ158" i="25"/>
  <c r="AK158" i="25"/>
  <c r="AL158" i="25"/>
  <c r="AM158" i="25"/>
  <c r="AN158" i="25"/>
  <c r="AO158" i="25"/>
  <c r="AP158" i="25"/>
  <c r="AQ158" i="25"/>
  <c r="AR158" i="25"/>
  <c r="AS158" i="25"/>
  <c r="AT158" i="25"/>
  <c r="AU158" i="25"/>
  <c r="AV158" i="25"/>
  <c r="AW158" i="25"/>
  <c r="AX158" i="25"/>
  <c r="AY158" i="25"/>
  <c r="AZ158" i="25"/>
  <c r="BA158" i="25"/>
  <c r="BB158" i="25"/>
  <c r="BC158" i="25"/>
  <c r="BD158" i="25"/>
  <c r="BE158" i="25"/>
  <c r="BF158" i="25"/>
  <c r="BG158" i="25"/>
  <c r="AL159" i="25"/>
  <c r="AB161" i="25"/>
  <c r="AC161" i="25"/>
  <c r="AD161" i="25"/>
  <c r="AE161" i="25"/>
  <c r="AF161" i="25"/>
  <c r="AG161" i="25"/>
  <c r="AH161" i="25"/>
  <c r="AI161" i="25"/>
  <c r="AJ161" i="25"/>
  <c r="AK161" i="25"/>
  <c r="AL161" i="25"/>
  <c r="AM161" i="25"/>
  <c r="AN161" i="25"/>
  <c r="AO161" i="25"/>
  <c r="AP161" i="25"/>
  <c r="AQ161" i="25"/>
  <c r="AR161" i="25"/>
  <c r="AS161" i="25"/>
  <c r="AT161" i="25"/>
  <c r="AU161" i="25"/>
  <c r="AV161" i="25"/>
  <c r="AW161" i="25"/>
  <c r="AX161" i="25"/>
  <c r="AY161" i="25"/>
  <c r="AZ161" i="25"/>
  <c r="BA161" i="25"/>
  <c r="BB161" i="25"/>
  <c r="BC161" i="25"/>
  <c r="BD161" i="25"/>
  <c r="BE161" i="25"/>
  <c r="BF161" i="25"/>
  <c r="BG161" i="25"/>
  <c r="AB162" i="25"/>
  <c r="AC162" i="25"/>
  <c r="AD162" i="25"/>
  <c r="AE162" i="25"/>
  <c r="AF162" i="25"/>
  <c r="AG162" i="25"/>
  <c r="AS162" i="25"/>
  <c r="AT162" i="25"/>
  <c r="AU162" i="25"/>
  <c r="AV162" i="25"/>
  <c r="AW162" i="25"/>
  <c r="AX162" i="25"/>
  <c r="AY162" i="25"/>
  <c r="AZ162" i="25"/>
  <c r="BA162" i="25"/>
  <c r="BB162" i="25"/>
  <c r="BC162" i="25"/>
  <c r="BD162" i="25"/>
  <c r="BE162" i="25"/>
  <c r="BF162" i="25"/>
  <c r="BG162" i="25"/>
  <c r="AB163" i="25"/>
  <c r="AC163" i="25"/>
  <c r="AD163" i="25"/>
  <c r="AE163" i="25"/>
  <c r="AF163" i="25"/>
  <c r="AG163" i="25"/>
  <c r="AS163" i="25"/>
  <c r="AT163" i="25"/>
  <c r="AU163" i="25"/>
  <c r="AV163" i="25"/>
  <c r="AW163" i="25"/>
  <c r="AX163" i="25"/>
  <c r="AY163" i="25"/>
  <c r="AZ163" i="25"/>
  <c r="BA163" i="25"/>
  <c r="BB163" i="25"/>
  <c r="BC163" i="25"/>
  <c r="BD163" i="25"/>
  <c r="BE163" i="25"/>
  <c r="BF163" i="25"/>
  <c r="BG163" i="25"/>
  <c r="AB164" i="25"/>
  <c r="AC164" i="25"/>
  <c r="AD164" i="25"/>
  <c r="AE164" i="25"/>
  <c r="AF164" i="25"/>
  <c r="AG164" i="25"/>
  <c r="AS164" i="25"/>
  <c r="AT164" i="25"/>
  <c r="AU164" i="25"/>
  <c r="AV164" i="25"/>
  <c r="AW164" i="25"/>
  <c r="AX164" i="25"/>
  <c r="AY164" i="25"/>
  <c r="AZ164" i="25"/>
  <c r="BA164" i="25"/>
  <c r="BB164" i="25"/>
  <c r="BC164" i="25"/>
  <c r="BD164" i="25"/>
  <c r="BE164" i="25"/>
  <c r="BF164" i="25"/>
  <c r="BG164" i="25"/>
  <c r="AB165" i="25"/>
  <c r="AC165" i="25"/>
  <c r="AD165" i="25"/>
  <c r="AE165" i="25"/>
  <c r="AH165" i="25"/>
  <c r="AI165" i="25"/>
  <c r="AJ165" i="25"/>
  <c r="AK165" i="25"/>
  <c r="AN165" i="25"/>
  <c r="AP165" i="25"/>
  <c r="AQ165" i="25"/>
  <c r="AR165" i="25"/>
  <c r="AS165" i="25"/>
  <c r="AT165" i="25"/>
  <c r="AU165" i="25"/>
  <c r="AV165" i="25"/>
  <c r="AW165" i="25"/>
  <c r="AX165" i="25"/>
  <c r="AY165" i="25"/>
  <c r="AZ165" i="25"/>
  <c r="BA165" i="25"/>
  <c r="BB165" i="25"/>
  <c r="BC165" i="25"/>
  <c r="BD165" i="25"/>
  <c r="BE165" i="25"/>
  <c r="BF165" i="25"/>
  <c r="BG165" i="25"/>
  <c r="AB166" i="25"/>
  <c r="AC166" i="25"/>
  <c r="AD166" i="25"/>
  <c r="AE166" i="25"/>
  <c r="AF166" i="25"/>
  <c r="AG166" i="25"/>
  <c r="AH166" i="25"/>
  <c r="AI166" i="25"/>
  <c r="AJ166" i="25"/>
  <c r="AK166" i="25"/>
  <c r="AL166" i="25"/>
  <c r="AM166" i="25"/>
  <c r="AN166" i="25"/>
  <c r="AO166" i="25"/>
  <c r="AP166" i="25"/>
  <c r="AQ166" i="25"/>
  <c r="AR166" i="25"/>
  <c r="AS166" i="25"/>
  <c r="AT166" i="25"/>
  <c r="AU166" i="25"/>
  <c r="AV166" i="25"/>
  <c r="AB167" i="25"/>
  <c r="AC167" i="25"/>
  <c r="AD167" i="25"/>
  <c r="AE167" i="25"/>
  <c r="AF167" i="25"/>
  <c r="AG167" i="25"/>
  <c r="AH167" i="25"/>
  <c r="AI167" i="25"/>
  <c r="AJ167" i="25"/>
  <c r="AK167" i="25"/>
  <c r="AL167" i="25"/>
  <c r="AM167" i="25"/>
  <c r="AN167" i="25"/>
  <c r="AO167" i="25"/>
  <c r="AP167" i="25"/>
  <c r="AQ167" i="25"/>
  <c r="AR167" i="25"/>
  <c r="AS167" i="25"/>
  <c r="AB168" i="25"/>
  <c r="AC168" i="25"/>
  <c r="AD168" i="25"/>
  <c r="AE168" i="25"/>
  <c r="AF168" i="25"/>
  <c r="AG168" i="25"/>
  <c r="AH168" i="25"/>
  <c r="AI168" i="25"/>
  <c r="AJ168" i="25"/>
  <c r="AK168" i="25"/>
  <c r="AS168" i="25"/>
  <c r="AT168" i="25"/>
  <c r="AU168" i="25"/>
  <c r="AV168" i="25"/>
  <c r="AW168" i="25"/>
  <c r="AX168" i="25"/>
  <c r="AY168" i="25"/>
  <c r="AZ168" i="25"/>
  <c r="BA168" i="25"/>
  <c r="BB168" i="25"/>
  <c r="BC168" i="25"/>
  <c r="BD168" i="25"/>
  <c r="BE168" i="25"/>
  <c r="BF168" i="25"/>
  <c r="BG168" i="25"/>
  <c r="AB169" i="25"/>
  <c r="AC169" i="25"/>
  <c r="AD169" i="25"/>
  <c r="AH169" i="25"/>
  <c r="AI169" i="25"/>
  <c r="AJ169" i="25"/>
  <c r="AK169" i="25"/>
  <c r="AL169" i="25"/>
  <c r="AS169" i="25"/>
  <c r="AT169" i="25"/>
  <c r="AU169" i="25"/>
  <c r="AV169" i="25"/>
  <c r="AW169" i="25"/>
  <c r="AX169" i="25"/>
  <c r="AY169" i="25"/>
  <c r="AZ169" i="25"/>
  <c r="BA169" i="25"/>
  <c r="BB169" i="25"/>
  <c r="BC169" i="25"/>
  <c r="BD169" i="25"/>
  <c r="BE169" i="25"/>
  <c r="BF169" i="25"/>
  <c r="BG169" i="25"/>
  <c r="AB170" i="25"/>
  <c r="AC170" i="25"/>
  <c r="AD170" i="25"/>
  <c r="AE170" i="25"/>
  <c r="AF170" i="25"/>
  <c r="AG170" i="25"/>
  <c r="AH170" i="25"/>
  <c r="AI170" i="25"/>
  <c r="AJ170" i="25"/>
  <c r="AK170" i="25"/>
  <c r="AL170" i="25"/>
  <c r="AM170" i="25"/>
  <c r="AN170" i="25"/>
  <c r="AO170" i="25"/>
  <c r="AP170" i="25"/>
  <c r="AQ170" i="25"/>
  <c r="AR170" i="25"/>
  <c r="AS170" i="25"/>
  <c r="AT170" i="25"/>
  <c r="AU170" i="25"/>
  <c r="AV170" i="25"/>
  <c r="AW170" i="25"/>
  <c r="AX170" i="25"/>
  <c r="AY170" i="25"/>
  <c r="AZ170" i="25"/>
  <c r="BA170" i="25"/>
  <c r="BB170" i="25"/>
  <c r="BC170" i="25"/>
  <c r="BD170" i="25"/>
  <c r="BE170" i="25"/>
  <c r="BF170" i="25"/>
  <c r="BG170" i="25"/>
  <c r="AB171" i="25"/>
  <c r="AF171" i="25"/>
  <c r="AG171" i="25"/>
  <c r="AH171" i="25"/>
  <c r="AI171" i="25"/>
  <c r="AJ171" i="25"/>
  <c r="AK171" i="25"/>
  <c r="AL171" i="25"/>
  <c r="AM171" i="25"/>
  <c r="AN171" i="25"/>
  <c r="AO171" i="25"/>
  <c r="AP171" i="25"/>
  <c r="AQ171" i="25"/>
  <c r="AR171" i="25"/>
  <c r="AS171" i="25"/>
  <c r="AT171" i="25"/>
  <c r="AU171" i="25"/>
  <c r="AV171" i="25"/>
  <c r="AW171" i="25"/>
  <c r="AX171" i="25"/>
  <c r="AY171" i="25"/>
  <c r="AZ171" i="25"/>
  <c r="BA171" i="25"/>
  <c r="BB171" i="25"/>
  <c r="BC171" i="25"/>
  <c r="BD171" i="25"/>
  <c r="BE171" i="25"/>
  <c r="BF171" i="25"/>
  <c r="BG171" i="25"/>
  <c r="AB172" i="25"/>
  <c r="AF172" i="25"/>
  <c r="AG172" i="25"/>
  <c r="AH172" i="25"/>
  <c r="AI172" i="25"/>
  <c r="AJ172" i="25"/>
  <c r="AK172" i="25"/>
  <c r="AL172" i="25"/>
  <c r="AM172" i="25"/>
  <c r="AN172" i="25"/>
  <c r="AO172" i="25"/>
  <c r="AP172" i="25"/>
  <c r="AQ172" i="25"/>
  <c r="AR172" i="25"/>
  <c r="AS172" i="25"/>
  <c r="AT172" i="25"/>
  <c r="AU172" i="25"/>
  <c r="AV172" i="25"/>
  <c r="AW172" i="25"/>
  <c r="AX172" i="25"/>
  <c r="AY172" i="25"/>
  <c r="AZ172" i="25"/>
  <c r="BA172" i="25"/>
  <c r="BB172" i="25"/>
  <c r="BC172" i="25"/>
  <c r="BD172" i="25"/>
  <c r="BE172" i="25"/>
  <c r="BF172" i="25"/>
  <c r="BG172" i="25"/>
  <c r="AB174" i="25"/>
  <c r="AC174" i="25"/>
  <c r="AD174" i="25"/>
  <c r="AE174" i="25"/>
  <c r="AF174" i="25"/>
  <c r="AG174" i="25"/>
  <c r="AH174" i="25"/>
  <c r="AI174" i="25"/>
  <c r="AJ174" i="25"/>
  <c r="AK174" i="25"/>
  <c r="AL174" i="25"/>
  <c r="AM174" i="25"/>
  <c r="AN174" i="25"/>
  <c r="AO174" i="25"/>
  <c r="AP174" i="25"/>
  <c r="AQ174" i="25"/>
  <c r="AR174" i="25"/>
  <c r="AS174" i="25"/>
  <c r="AT174" i="25"/>
  <c r="AU174" i="25"/>
  <c r="AV174" i="25"/>
  <c r="AW174" i="25"/>
  <c r="AX174" i="25"/>
  <c r="AY174" i="25"/>
  <c r="AZ174" i="25"/>
  <c r="BA174" i="25"/>
  <c r="BB174" i="25"/>
  <c r="BC174" i="25"/>
  <c r="BD174" i="25"/>
  <c r="BE174" i="25"/>
  <c r="BF174" i="25"/>
  <c r="BG174" i="25"/>
  <c r="AB175" i="25"/>
  <c r="AC175" i="25"/>
  <c r="AD175" i="25"/>
  <c r="AE175" i="25"/>
  <c r="AF175" i="25"/>
  <c r="AG175" i="25"/>
  <c r="AH175" i="25"/>
  <c r="AI175" i="25"/>
  <c r="AJ175" i="25"/>
  <c r="AK175" i="25"/>
  <c r="AL175" i="25"/>
  <c r="AM175" i="25"/>
  <c r="AN175" i="25"/>
  <c r="AO175" i="25"/>
  <c r="AP175" i="25"/>
  <c r="AQ175" i="25"/>
  <c r="AR175" i="25"/>
  <c r="AS175" i="25"/>
  <c r="AT175" i="25"/>
  <c r="AU175" i="25"/>
  <c r="AV175" i="25"/>
  <c r="AB176" i="25"/>
  <c r="AC176" i="25"/>
  <c r="AD176" i="25"/>
  <c r="AE176" i="25"/>
  <c r="AF176" i="25"/>
  <c r="AG176" i="25"/>
  <c r="AH176" i="25"/>
  <c r="AI176" i="25"/>
  <c r="AJ176" i="25"/>
  <c r="AK176" i="25"/>
  <c r="AL176" i="25"/>
  <c r="AM176" i="25"/>
  <c r="AN176" i="25"/>
  <c r="AO176" i="25"/>
  <c r="AP176" i="25"/>
  <c r="AQ176" i="25"/>
  <c r="AR176" i="25"/>
  <c r="AS176" i="25"/>
  <c r="AB177" i="25"/>
  <c r="AC177" i="25"/>
  <c r="AD177" i="25"/>
  <c r="AE177" i="25"/>
  <c r="AF177" i="25"/>
  <c r="AG177" i="25"/>
  <c r="AH177" i="25"/>
  <c r="AI177" i="25"/>
  <c r="AJ177" i="25"/>
  <c r="AK177" i="25"/>
  <c r="AL177" i="25"/>
  <c r="AM177" i="25"/>
  <c r="AN177" i="25"/>
  <c r="AO177" i="25"/>
  <c r="AP177" i="25"/>
  <c r="AQ177" i="25"/>
  <c r="AR177" i="25"/>
  <c r="AS177" i="25"/>
  <c r="AT177" i="25"/>
  <c r="AU177" i="25"/>
  <c r="AV177" i="25"/>
  <c r="AS178" i="25"/>
  <c r="AC179" i="25"/>
  <c r="AD179" i="25"/>
  <c r="AE179" i="25"/>
  <c r="AF179" i="25"/>
  <c r="AG179" i="25"/>
  <c r="AH179" i="25"/>
  <c r="AI179" i="25"/>
  <c r="AJ179" i="25"/>
  <c r="AK179" i="25"/>
  <c r="AL179" i="25"/>
  <c r="AM179" i="25"/>
  <c r="AN179" i="25"/>
  <c r="AO179" i="25"/>
  <c r="AP179" i="25"/>
  <c r="AQ179" i="25"/>
  <c r="AR179" i="25"/>
  <c r="AS179" i="25"/>
  <c r="AT179" i="25"/>
  <c r="AU179" i="25"/>
  <c r="AV179" i="25"/>
  <c r="AW179" i="25"/>
  <c r="AX179" i="25"/>
  <c r="AY179" i="25"/>
  <c r="AZ179" i="25"/>
  <c r="BA179" i="25"/>
  <c r="BB179" i="25"/>
  <c r="BC179" i="25"/>
  <c r="BD179" i="25"/>
  <c r="BE179" i="25"/>
  <c r="BF179" i="25"/>
  <c r="BG179" i="25"/>
  <c r="AL180" i="25"/>
  <c r="AO180" i="25"/>
  <c r="AT180" i="25"/>
  <c r="AB181" i="25"/>
  <c r="AD181" i="25"/>
  <c r="AE181" i="25"/>
  <c r="AF181" i="25"/>
  <c r="AG181" i="25"/>
  <c r="AH181" i="25"/>
  <c r="AI181" i="25"/>
  <c r="AJ181" i="25"/>
  <c r="AK181" i="25"/>
  <c r="AL181" i="25"/>
  <c r="AM181" i="25"/>
  <c r="AN181" i="25"/>
  <c r="AO181" i="25"/>
  <c r="AP181" i="25"/>
  <c r="AQ181" i="25"/>
  <c r="AR181" i="25"/>
  <c r="AS181" i="25"/>
  <c r="AT181" i="25"/>
  <c r="AU181" i="25"/>
  <c r="AV181" i="25"/>
  <c r="AW181" i="25"/>
  <c r="AX181" i="25"/>
  <c r="AY181" i="25"/>
  <c r="AZ181" i="25"/>
  <c r="BA181" i="25"/>
  <c r="BB181" i="25"/>
  <c r="BC181" i="25"/>
  <c r="BD181" i="25"/>
  <c r="BE181" i="25"/>
  <c r="BF181" i="25"/>
  <c r="BG181" i="25"/>
  <c r="AC182" i="25"/>
  <c r="AD182" i="25"/>
  <c r="AE182" i="25"/>
  <c r="AF182" i="25"/>
  <c r="AG182" i="25"/>
  <c r="AH182" i="25"/>
  <c r="AI182" i="25"/>
  <c r="AJ182" i="25"/>
  <c r="AK182" i="25"/>
  <c r="AL182" i="25"/>
  <c r="AM182" i="25"/>
  <c r="AN182" i="25"/>
  <c r="AO182" i="25"/>
  <c r="AP182" i="25"/>
  <c r="AQ182" i="25"/>
  <c r="AR182" i="25"/>
  <c r="AS182" i="25"/>
  <c r="AT182" i="25"/>
  <c r="AU182" i="25"/>
  <c r="AV182" i="25"/>
  <c r="AW182" i="25"/>
  <c r="AX182" i="25"/>
  <c r="AY182" i="25"/>
  <c r="AZ182" i="25"/>
  <c r="BA182" i="25"/>
  <c r="BB182" i="25"/>
  <c r="BC182" i="25"/>
  <c r="BD182" i="25"/>
  <c r="BE182" i="25"/>
  <c r="BF182" i="25"/>
  <c r="BG182" i="25"/>
  <c r="AL185" i="25"/>
  <c r="AS185" i="25"/>
  <c r="BA185" i="25"/>
  <c r="AB187" i="25"/>
  <c r="AC187" i="25"/>
  <c r="AD187" i="25"/>
  <c r="AE187" i="25"/>
  <c r="AF187" i="25"/>
  <c r="AG187" i="25"/>
  <c r="AH187" i="25"/>
  <c r="AI187" i="25"/>
  <c r="AJ187" i="25"/>
  <c r="AK187" i="25"/>
  <c r="AQ187" i="25"/>
  <c r="AR187" i="25"/>
  <c r="AS187" i="25"/>
  <c r="AT187" i="25"/>
  <c r="AU187" i="25"/>
  <c r="AV187" i="25"/>
  <c r="AW187" i="25"/>
  <c r="AX187" i="25"/>
  <c r="AY187" i="25"/>
  <c r="AZ187" i="25"/>
  <c r="BA187" i="25"/>
  <c r="BB187" i="25"/>
  <c r="BC187" i="25"/>
  <c r="BD187" i="25"/>
  <c r="BE187" i="25"/>
  <c r="BF187" i="25"/>
  <c r="BG187" i="25"/>
  <c r="AB188" i="25"/>
  <c r="AC188" i="25"/>
  <c r="AD188" i="25"/>
  <c r="AE188" i="25"/>
  <c r="AF188" i="25"/>
  <c r="AG188" i="25"/>
  <c r="AH188" i="25"/>
  <c r="AI188" i="25"/>
  <c r="AJ188" i="25"/>
  <c r="AK188" i="25"/>
  <c r="AS188" i="25"/>
  <c r="AT188" i="25"/>
  <c r="AU188" i="25"/>
  <c r="AV188" i="25"/>
  <c r="AW188" i="25"/>
  <c r="AX188" i="25"/>
  <c r="AY188" i="25"/>
  <c r="AZ188" i="25"/>
  <c r="BA188" i="25"/>
  <c r="BB188" i="25"/>
  <c r="BC188" i="25"/>
  <c r="BD188" i="25"/>
  <c r="BE188" i="25"/>
  <c r="BF188" i="25"/>
  <c r="BG188" i="25"/>
  <c r="AB189" i="25"/>
  <c r="AC189" i="25"/>
  <c r="AD189" i="25"/>
  <c r="AE189" i="25"/>
  <c r="AF189" i="25"/>
  <c r="AG189" i="25"/>
  <c r="AH189" i="25"/>
  <c r="AI189" i="25"/>
  <c r="AJ189" i="25"/>
  <c r="AK189" i="25"/>
  <c r="AL189" i="25"/>
  <c r="AM189" i="25"/>
  <c r="AN189" i="25"/>
  <c r="AO189" i="25"/>
  <c r="AP189" i="25"/>
  <c r="AQ189" i="25"/>
  <c r="AR189" i="25"/>
  <c r="AS189" i="25"/>
  <c r="AT189" i="25"/>
  <c r="AU189" i="25"/>
  <c r="AV189" i="25"/>
  <c r="AW189" i="25"/>
  <c r="AX189" i="25"/>
  <c r="AY189" i="25"/>
  <c r="AZ189" i="25"/>
  <c r="BA189" i="25"/>
  <c r="BB189" i="25"/>
  <c r="BC189" i="25"/>
  <c r="BD189" i="25"/>
  <c r="BE189" i="25"/>
  <c r="BF189" i="25"/>
  <c r="BG189" i="25"/>
  <c r="AB190" i="25"/>
  <c r="AC190" i="25"/>
  <c r="AD190" i="25"/>
  <c r="AE190" i="25"/>
  <c r="AF190" i="25"/>
  <c r="AG190" i="25"/>
  <c r="AH190" i="25"/>
  <c r="AI190" i="25"/>
  <c r="AJ190" i="25"/>
  <c r="AK190" i="25"/>
  <c r="AW190" i="25"/>
  <c r="AX190" i="25"/>
  <c r="AY190" i="25"/>
  <c r="AZ190" i="25"/>
  <c r="BA190" i="25"/>
  <c r="BB190" i="25"/>
  <c r="BC190" i="25"/>
  <c r="BD190" i="25"/>
  <c r="BE190" i="25"/>
  <c r="BF190" i="25"/>
  <c r="BG190" i="25"/>
  <c r="AB191" i="25"/>
  <c r="AC191" i="25"/>
  <c r="AD191" i="25"/>
  <c r="AE191" i="25"/>
  <c r="AF191" i="25"/>
  <c r="AG191" i="25"/>
  <c r="AH191" i="25"/>
  <c r="AI191" i="25"/>
  <c r="AJ191" i="25"/>
  <c r="AK191" i="25"/>
  <c r="AW191" i="25"/>
  <c r="AX191" i="25"/>
  <c r="AY191" i="25"/>
  <c r="AZ191" i="25"/>
  <c r="BA191" i="25"/>
  <c r="BB191" i="25"/>
  <c r="BC191" i="25"/>
  <c r="BD191" i="25"/>
  <c r="BE191" i="25"/>
  <c r="BF191" i="25"/>
  <c r="BG191" i="25"/>
  <c r="AB192" i="25"/>
  <c r="AC192" i="25"/>
  <c r="AD192" i="25"/>
  <c r="AE192" i="25"/>
  <c r="AF192" i="25"/>
  <c r="AG192" i="25"/>
  <c r="AH192" i="25"/>
  <c r="AI192" i="25"/>
  <c r="AJ192" i="25"/>
  <c r="AK192" i="25"/>
  <c r="AW192" i="25"/>
  <c r="AX192" i="25"/>
  <c r="AY192" i="25"/>
  <c r="AZ192" i="25"/>
  <c r="BA192" i="25"/>
  <c r="BB192" i="25"/>
  <c r="BC192" i="25"/>
  <c r="BD192" i="25"/>
  <c r="BE192" i="25"/>
  <c r="BF192" i="25"/>
  <c r="BG192" i="25"/>
  <c r="AB193" i="25"/>
  <c r="AC193" i="25"/>
  <c r="AD193" i="25"/>
  <c r="AE193" i="25"/>
  <c r="AF193" i="25"/>
  <c r="AG193" i="25"/>
  <c r="AH193" i="25"/>
  <c r="AI193" i="25"/>
  <c r="AJ193" i="25"/>
  <c r="AK193" i="25"/>
  <c r="AW193" i="25"/>
  <c r="AX193" i="25"/>
  <c r="AY193" i="25"/>
  <c r="AZ193" i="25"/>
  <c r="BA193" i="25"/>
  <c r="BB193" i="25"/>
  <c r="BC193" i="25"/>
  <c r="BD193" i="25"/>
  <c r="BE193" i="25"/>
  <c r="BF193" i="25"/>
  <c r="BG193" i="25"/>
  <c r="AB194" i="25"/>
  <c r="AC194" i="25"/>
  <c r="AD194" i="25"/>
  <c r="AE194" i="25"/>
  <c r="AF194" i="25"/>
  <c r="AG194" i="25"/>
  <c r="AH194" i="25"/>
  <c r="AI194" i="25"/>
  <c r="AJ194" i="25"/>
  <c r="AK194" i="25"/>
  <c r="AL194" i="25"/>
  <c r="AM194" i="25"/>
  <c r="AN194" i="25"/>
  <c r="AO194" i="25"/>
  <c r="AW194" i="25"/>
  <c r="AX194" i="25"/>
  <c r="AY194" i="25"/>
  <c r="AZ194" i="25"/>
  <c r="BA194" i="25"/>
  <c r="BB194" i="25"/>
  <c r="BC194" i="25"/>
  <c r="BD194" i="25"/>
  <c r="BE194" i="25"/>
  <c r="BF194" i="25"/>
  <c r="BG194" i="25"/>
  <c r="AB195" i="25"/>
  <c r="AC195" i="25"/>
  <c r="AD195" i="25"/>
  <c r="AE195" i="25"/>
  <c r="AF195" i="25"/>
  <c r="AG195" i="25"/>
  <c r="AH195" i="25"/>
  <c r="AI195" i="25"/>
  <c r="AJ195" i="25"/>
  <c r="AK195" i="25"/>
  <c r="AW195" i="25"/>
  <c r="AX195" i="25"/>
  <c r="AY195" i="25"/>
  <c r="AZ195" i="25"/>
  <c r="BA195" i="25"/>
  <c r="BB195" i="25"/>
  <c r="BC195" i="25"/>
  <c r="BD195" i="25"/>
  <c r="BE195" i="25"/>
  <c r="BF195" i="25"/>
  <c r="BG195" i="25"/>
  <c r="AB196" i="25"/>
  <c r="AC196" i="25"/>
  <c r="AD196" i="25"/>
  <c r="AE196" i="25"/>
  <c r="AF196" i="25"/>
  <c r="AG196" i="25"/>
  <c r="AH196" i="25"/>
  <c r="AI196" i="25"/>
  <c r="AJ196" i="25"/>
  <c r="AK196" i="25"/>
  <c r="AW196" i="25"/>
  <c r="AX196" i="25"/>
  <c r="AY196" i="25"/>
  <c r="AZ196" i="25"/>
  <c r="BA196" i="25"/>
  <c r="BB196" i="25"/>
  <c r="BC196" i="25"/>
  <c r="BD196" i="25"/>
  <c r="BE196" i="25"/>
  <c r="BF196" i="25"/>
  <c r="BG196" i="25"/>
  <c r="AB197" i="25"/>
  <c r="AC197" i="25"/>
  <c r="AD197" i="25"/>
  <c r="AE197" i="25"/>
  <c r="AF197" i="25"/>
  <c r="AG197" i="25"/>
  <c r="AH197" i="25"/>
  <c r="AI197" i="25"/>
  <c r="AJ197" i="25"/>
  <c r="AK197" i="25"/>
  <c r="AL197" i="25"/>
  <c r="AM197" i="25"/>
  <c r="AN197" i="25"/>
  <c r="AO197" i="25"/>
  <c r="AP197" i="25"/>
  <c r="AQ197" i="25"/>
  <c r="AR197" i="25"/>
  <c r="AS197" i="25"/>
  <c r="AT197" i="25"/>
  <c r="AU197" i="25"/>
  <c r="AV197" i="25"/>
  <c r="AW197" i="25"/>
  <c r="AX197" i="25"/>
  <c r="AY197" i="25"/>
  <c r="AZ197" i="25"/>
  <c r="BA197" i="25"/>
  <c r="BB197" i="25"/>
  <c r="BC197" i="25"/>
  <c r="BD197" i="25"/>
  <c r="BE197" i="25"/>
  <c r="BF197" i="25"/>
  <c r="BG197" i="25"/>
  <c r="AU198" i="25"/>
  <c r="AB201" i="25"/>
  <c r="AC201" i="25"/>
  <c r="AD201" i="25"/>
  <c r="AE201" i="25"/>
  <c r="AF201" i="25"/>
  <c r="AG201" i="25"/>
  <c r="AH201" i="25"/>
  <c r="AI201" i="25"/>
  <c r="AJ201" i="25"/>
  <c r="AK201" i="25"/>
  <c r="AL201" i="25"/>
  <c r="AX201" i="25"/>
  <c r="AY201" i="25"/>
  <c r="AZ201" i="25"/>
  <c r="BA201" i="25"/>
  <c r="BB201" i="25"/>
  <c r="BC201" i="25"/>
  <c r="BD201" i="25"/>
  <c r="BE201" i="25"/>
  <c r="BF201" i="25"/>
  <c r="BG201" i="25"/>
  <c r="AB202" i="25"/>
  <c r="AC202" i="25"/>
  <c r="AD202" i="25"/>
  <c r="AE202" i="25"/>
  <c r="AF202" i="25"/>
  <c r="AG202" i="25"/>
  <c r="AH202" i="25"/>
  <c r="AI202" i="25"/>
  <c r="AX202" i="25"/>
  <c r="AY202" i="25"/>
  <c r="AZ202" i="25"/>
  <c r="BA202" i="25"/>
  <c r="BB202" i="25"/>
  <c r="BC202" i="25"/>
  <c r="BD202" i="25"/>
  <c r="BE202" i="25"/>
  <c r="BF202" i="25"/>
  <c r="BG202" i="25"/>
  <c r="AB203" i="25"/>
  <c r="AC203" i="25"/>
  <c r="AD203" i="25"/>
  <c r="AE203" i="25"/>
  <c r="AF203" i="25"/>
  <c r="AG203" i="25"/>
  <c r="AH203" i="25"/>
  <c r="AI203" i="25"/>
  <c r="AJ203" i="25"/>
  <c r="AK203" i="25"/>
  <c r="AL203" i="25"/>
  <c r="AM203" i="25"/>
  <c r="AN203" i="25"/>
  <c r="AO203" i="25"/>
  <c r="AP203" i="25"/>
  <c r="AX203" i="25"/>
  <c r="AY203" i="25"/>
  <c r="AZ203" i="25"/>
  <c r="BA203" i="25"/>
  <c r="BB203" i="25"/>
  <c r="BC203" i="25"/>
  <c r="BD203" i="25"/>
  <c r="BE203" i="25"/>
  <c r="BF203" i="25"/>
  <c r="BG203" i="25"/>
  <c r="AB204" i="25"/>
  <c r="AC204" i="25"/>
  <c r="AD204" i="25"/>
  <c r="AE204" i="25"/>
  <c r="AF204" i="25"/>
  <c r="AG204" i="25"/>
  <c r="AS204" i="25"/>
  <c r="AT204" i="25"/>
  <c r="AU204" i="25"/>
  <c r="AV204" i="25"/>
  <c r="AW204" i="25"/>
  <c r="AX204" i="25"/>
  <c r="AY204" i="25"/>
  <c r="AZ204" i="25"/>
  <c r="BA204" i="25"/>
  <c r="BB204" i="25"/>
  <c r="BC204" i="25"/>
  <c r="BD204" i="25"/>
  <c r="BE204" i="25"/>
  <c r="BF204" i="25"/>
  <c r="BG204" i="25"/>
  <c r="AB206" i="25"/>
  <c r="AC206" i="25"/>
  <c r="AD206" i="25"/>
  <c r="AE206" i="25"/>
  <c r="AF206" i="25"/>
  <c r="AG206" i="25"/>
  <c r="AH206" i="25"/>
  <c r="AT206" i="25"/>
  <c r="AU206" i="25"/>
  <c r="AV206" i="25"/>
  <c r="AW206" i="25"/>
  <c r="AX206" i="25"/>
  <c r="AY206" i="25"/>
  <c r="AZ206" i="25"/>
  <c r="BA206" i="25"/>
  <c r="BB206" i="25"/>
  <c r="BC206" i="25"/>
  <c r="BD206" i="25"/>
  <c r="BE206" i="25"/>
  <c r="BF206" i="25"/>
  <c r="BG206" i="25"/>
  <c r="AB207" i="25"/>
  <c r="AC207" i="25"/>
  <c r="AD207" i="25"/>
  <c r="AE207" i="25"/>
  <c r="AF207" i="25"/>
  <c r="AG207" i="25"/>
  <c r="AV207" i="25"/>
  <c r="AW207" i="25"/>
  <c r="AX207" i="25"/>
  <c r="AY207" i="25"/>
  <c r="AZ207" i="25"/>
  <c r="BA207" i="25"/>
  <c r="BB207" i="25"/>
  <c r="BC207" i="25"/>
  <c r="BD207" i="25"/>
  <c r="BE207" i="25"/>
  <c r="BF207" i="25"/>
  <c r="BG207" i="25"/>
  <c r="AB208" i="25"/>
  <c r="AC208" i="25"/>
  <c r="AD208" i="25"/>
  <c r="AE208" i="25"/>
  <c r="AF208" i="25"/>
  <c r="AG208" i="25"/>
  <c r="AH208" i="25"/>
  <c r="AI208" i="25"/>
  <c r="AJ208" i="25"/>
  <c r="AK208" i="25"/>
  <c r="AL208" i="25"/>
  <c r="AN208" i="25"/>
  <c r="AO208" i="25"/>
  <c r="AP208" i="25"/>
  <c r="AQ208" i="25"/>
  <c r="AR208" i="25"/>
  <c r="AS208" i="25"/>
  <c r="AT208" i="25"/>
  <c r="AU208" i="25"/>
  <c r="AV208" i="25"/>
  <c r="AW208" i="25"/>
  <c r="AX208" i="25"/>
  <c r="AY208" i="25"/>
  <c r="AZ208" i="25"/>
  <c r="BA208" i="25"/>
  <c r="BB208" i="25"/>
  <c r="BC208" i="25"/>
  <c r="BD208" i="25"/>
  <c r="BE208" i="25"/>
  <c r="BF208" i="25"/>
  <c r="BG208" i="25"/>
  <c r="AB209" i="25"/>
  <c r="AC209" i="25"/>
  <c r="AD209" i="25"/>
  <c r="AE209" i="25"/>
  <c r="AF209" i="25"/>
  <c r="AG209" i="25"/>
  <c r="AH209" i="25"/>
  <c r="AI209" i="25"/>
  <c r="AJ209" i="25"/>
  <c r="AK209" i="25"/>
  <c r="AL209" i="25"/>
  <c r="AM209" i="25"/>
  <c r="AN209" i="25"/>
  <c r="AO209" i="25"/>
  <c r="AP209" i="25"/>
  <c r="AQ209" i="25"/>
  <c r="AR209" i="25"/>
  <c r="AS209" i="25"/>
  <c r="AT209" i="25"/>
  <c r="AU209" i="25"/>
  <c r="AV209" i="25"/>
  <c r="AW209" i="25"/>
  <c r="AX209" i="25"/>
  <c r="AY209" i="25"/>
  <c r="AZ209" i="25"/>
  <c r="BA209" i="25"/>
  <c r="BB209" i="25"/>
  <c r="BC209" i="25"/>
  <c r="BD209" i="25"/>
  <c r="BE209" i="25"/>
  <c r="BF209" i="25"/>
  <c r="BG209" i="25"/>
  <c r="AB210" i="25"/>
  <c r="AC210" i="25"/>
  <c r="AD210" i="25"/>
  <c r="AE210" i="25"/>
  <c r="AF210" i="25"/>
  <c r="AG210" i="25"/>
  <c r="AH210" i="25"/>
  <c r="AI210" i="25"/>
  <c r="AQ210" i="25"/>
  <c r="AR210" i="25"/>
  <c r="AS210" i="25"/>
  <c r="AT210" i="25"/>
  <c r="AU210" i="25"/>
  <c r="AV210" i="25"/>
  <c r="AW210" i="25"/>
  <c r="AX210" i="25"/>
  <c r="AY210" i="25"/>
  <c r="AZ210" i="25"/>
  <c r="BA210" i="25"/>
  <c r="BB210" i="25"/>
  <c r="BC210" i="25"/>
  <c r="BD210" i="25"/>
  <c r="BE210" i="25"/>
  <c r="BF210" i="25"/>
  <c r="BG210" i="25"/>
  <c r="AB211" i="25"/>
  <c r="AC211" i="25"/>
  <c r="AD211" i="25"/>
  <c r="AE211" i="25"/>
  <c r="AF211" i="25"/>
  <c r="AG211" i="25"/>
  <c r="AH211" i="25"/>
  <c r="AI211" i="25"/>
  <c r="AJ211" i="25"/>
  <c r="AR211" i="25"/>
  <c r="AS211" i="25"/>
  <c r="AT211" i="25"/>
  <c r="AU211" i="25"/>
  <c r="AV211" i="25"/>
  <c r="AW211" i="25"/>
  <c r="AX211" i="25"/>
  <c r="AY211" i="25"/>
  <c r="AZ211" i="25"/>
  <c r="BA211" i="25"/>
  <c r="BB211" i="25"/>
  <c r="BC211" i="25"/>
  <c r="BD211" i="25"/>
  <c r="BE211" i="25"/>
  <c r="BF211" i="25"/>
  <c r="BG211" i="25"/>
  <c r="AB212" i="25"/>
  <c r="AC212" i="25"/>
  <c r="AD212" i="25"/>
  <c r="AE212" i="25"/>
  <c r="AF212" i="25"/>
  <c r="AG212" i="25"/>
  <c r="AH212" i="25"/>
  <c r="AI212" i="25"/>
  <c r="AJ212" i="25"/>
  <c r="AR212" i="25"/>
  <c r="AS212" i="25"/>
  <c r="AT212" i="25"/>
  <c r="AU212" i="25"/>
  <c r="AV212" i="25"/>
  <c r="AW212" i="25"/>
  <c r="AX212" i="25"/>
  <c r="AY212" i="25"/>
  <c r="AZ212" i="25"/>
  <c r="BA212" i="25"/>
  <c r="BB212" i="25"/>
  <c r="BC212" i="25"/>
  <c r="BD212" i="25"/>
  <c r="BE212" i="25"/>
  <c r="BF212" i="25"/>
  <c r="BG212" i="25"/>
  <c r="AB213" i="25"/>
  <c r="AC213" i="25"/>
  <c r="AD213" i="25"/>
  <c r="AE213" i="25"/>
  <c r="AF213" i="25"/>
  <c r="AG213" i="25"/>
  <c r="AH213" i="25"/>
  <c r="AI213" i="25"/>
  <c r="AU213" i="25"/>
  <c r="AV213" i="25"/>
  <c r="AW213" i="25"/>
  <c r="AX213" i="25"/>
  <c r="AY213" i="25"/>
  <c r="AZ213" i="25"/>
  <c r="BA213" i="25"/>
  <c r="BB213" i="25"/>
  <c r="BC213" i="25"/>
  <c r="BD213" i="25"/>
  <c r="BE213" i="25"/>
  <c r="BF213" i="25"/>
  <c r="BG213" i="25"/>
  <c r="AB214" i="25"/>
  <c r="AC214" i="25"/>
  <c r="AD214" i="25"/>
  <c r="AE214" i="25"/>
  <c r="AF214" i="25"/>
  <c r="AG214" i="25"/>
  <c r="AH214" i="25"/>
  <c r="AI214" i="25"/>
  <c r="AU214" i="25"/>
  <c r="AV214" i="25"/>
  <c r="AW214" i="25"/>
  <c r="AX214" i="25"/>
  <c r="AY214" i="25"/>
  <c r="AZ214" i="25"/>
  <c r="BA214" i="25"/>
  <c r="BB214" i="25"/>
  <c r="BC214" i="25"/>
  <c r="BD214" i="25"/>
  <c r="BE214" i="25"/>
  <c r="BF214" i="25"/>
  <c r="BG214" i="25"/>
  <c r="AB215" i="25"/>
  <c r="AC215" i="25"/>
  <c r="AD215" i="25"/>
  <c r="AE215" i="25"/>
  <c r="AF215" i="25"/>
  <c r="AG215" i="25"/>
  <c r="AH215" i="25"/>
  <c r="AI215" i="25"/>
  <c r="AJ215" i="25"/>
  <c r="AR215" i="25"/>
  <c r="AS215" i="25"/>
  <c r="AT215" i="25"/>
  <c r="AU215" i="25"/>
  <c r="AV215" i="25"/>
  <c r="AW215" i="25"/>
  <c r="AX215" i="25"/>
  <c r="AY215" i="25"/>
  <c r="AZ215" i="25"/>
  <c r="BA215" i="25"/>
  <c r="BB215" i="25"/>
  <c r="BC215" i="25"/>
  <c r="BD215" i="25"/>
  <c r="BE215" i="25"/>
  <c r="BF215" i="25"/>
  <c r="BG215" i="25"/>
  <c r="AC123" i="25"/>
  <c r="AD123" i="25"/>
  <c r="AE123" i="25"/>
  <c r="AF123" i="25"/>
  <c r="AG123" i="25"/>
  <c r="AH123" i="25"/>
  <c r="AI123" i="25"/>
  <c r="AJ123" i="25"/>
  <c r="AP123" i="25"/>
  <c r="AQ123" i="25"/>
  <c r="AR123" i="25"/>
  <c r="AS123" i="25"/>
  <c r="AW123" i="25"/>
  <c r="AX123" i="25"/>
  <c r="AY123" i="25"/>
  <c r="AZ123" i="25"/>
  <c r="BA123" i="25"/>
  <c r="BB123" i="25"/>
  <c r="BC123" i="25"/>
  <c r="BD123" i="25"/>
  <c r="BE123" i="25"/>
  <c r="BF123" i="25"/>
  <c r="BG123" i="25"/>
  <c r="AB123" i="25"/>
  <c r="AM93" i="25"/>
  <c r="R64" i="25"/>
  <c r="R66" i="25"/>
  <c r="R67" i="25"/>
  <c r="AL72" i="25"/>
  <c r="BI72" i="25" s="1"/>
  <c r="AM72" i="25"/>
  <c r="AN72" i="25"/>
  <c r="AN187" i="25" s="1"/>
  <c r="AO72" i="25"/>
  <c r="AO187" i="25" s="1"/>
  <c r="AP72" i="25"/>
  <c r="AP187" i="25" s="1"/>
  <c r="AB41" i="25"/>
  <c r="BH41" i="25" s="1"/>
  <c r="AK32" i="25"/>
  <c r="BH32" i="25" s="1"/>
  <c r="AA36" i="25"/>
  <c r="AA39" i="25"/>
  <c r="AA66" i="25"/>
  <c r="AA67" i="25"/>
  <c r="B353" i="25"/>
  <c r="B354" i="25"/>
  <c r="B355" i="25"/>
  <c r="B356" i="25"/>
  <c r="B357" i="25"/>
  <c r="B358" i="25"/>
  <c r="B359" i="25"/>
  <c r="B360" i="25"/>
  <c r="B361" i="25"/>
  <c r="B362" i="25"/>
  <c r="B363" i="25"/>
  <c r="B364" i="25"/>
  <c r="B365" i="25"/>
  <c r="B366" i="25"/>
  <c r="C366" i="25" s="1"/>
  <c r="B367" i="25"/>
  <c r="B368" i="25"/>
  <c r="C368" i="25" s="1"/>
  <c r="B369" i="25"/>
  <c r="B370" i="25"/>
  <c r="C370" i="25" s="1"/>
  <c r="B371" i="25"/>
  <c r="C371" i="25" s="1"/>
  <c r="B372" i="25"/>
  <c r="C372" i="25" s="1"/>
  <c r="B373" i="25"/>
  <c r="B374" i="25"/>
  <c r="B375" i="25"/>
  <c r="B376" i="25"/>
  <c r="B377" i="25"/>
  <c r="B378" i="25"/>
  <c r="B379" i="25"/>
  <c r="B380" i="25"/>
  <c r="B381" i="25"/>
  <c r="B382" i="25"/>
  <c r="A36" i="29" s="1"/>
  <c r="AC105" i="25"/>
  <c r="AC2" i="25" s="1"/>
  <c r="AD105" i="25"/>
  <c r="AD2" i="25" s="1"/>
  <c r="AE105" i="25"/>
  <c r="AE2" i="25" s="1"/>
  <c r="AF105" i="25"/>
  <c r="AF2" i="25" s="1"/>
  <c r="AG105" i="25"/>
  <c r="AG2" i="25" s="1"/>
  <c r="AH105" i="25"/>
  <c r="AH2" i="25" s="1"/>
  <c r="AI105" i="25"/>
  <c r="AI2" i="25" s="1"/>
  <c r="AJ105" i="25"/>
  <c r="AJ2" i="25" s="1"/>
  <c r="AK105" i="25"/>
  <c r="AK2" i="25" s="1"/>
  <c r="AB105" i="25"/>
  <c r="AB2" i="25" s="1"/>
  <c r="BI93" i="25" l="1"/>
  <c r="AL160" i="25"/>
  <c r="AL186" i="25"/>
  <c r="AQ142" i="25"/>
  <c r="AY45" i="25"/>
  <c r="AY160" i="25" s="1"/>
  <c r="AY180" i="25"/>
  <c r="AY185" i="25"/>
  <c r="AQ178" i="25"/>
  <c r="AM187" i="25"/>
  <c r="P187" i="25" s="1" a="1"/>
  <c r="P187" i="25" s="1"/>
  <c r="BG142" i="25"/>
  <c r="AY159" i="25"/>
  <c r="BC159" i="25"/>
  <c r="AO178" i="25"/>
  <c r="AX159" i="25"/>
  <c r="AT159" i="25"/>
  <c r="AB156" i="25"/>
  <c r="AB180" i="25"/>
  <c r="AZ159" i="25"/>
  <c r="AB27" i="25"/>
  <c r="AL187" i="25"/>
  <c r="AM208" i="25"/>
  <c r="P181" i="25" a="1"/>
  <c r="P181" i="25" s="1"/>
  <c r="AV186" i="25"/>
  <c r="AB185" i="25"/>
  <c r="A69" i="29"/>
  <c r="P158" i="25" a="1"/>
  <c r="P158" i="25" s="1"/>
  <c r="A31" i="29"/>
  <c r="C377" i="25"/>
  <c r="A25" i="29"/>
  <c r="C369" i="25"/>
  <c r="A20" i="29"/>
  <c r="C361" i="25"/>
  <c r="A12" i="29"/>
  <c r="C353" i="25"/>
  <c r="P189" i="25" a="1"/>
  <c r="P189" i="25" s="1"/>
  <c r="P182" i="25" a="1"/>
  <c r="P182" i="25" s="1"/>
  <c r="P174" i="25" a="1"/>
  <c r="P174" i="25" s="1"/>
  <c r="P155" i="25" a="1"/>
  <c r="P155" i="25" s="1"/>
  <c r="A13" i="29"/>
  <c r="C354" i="25"/>
  <c r="A30" i="29"/>
  <c r="C376" i="25"/>
  <c r="A19" i="29"/>
  <c r="C360" i="25"/>
  <c r="P197" i="25" a="1"/>
  <c r="P197" i="25" s="1"/>
  <c r="P161" i="25" a="1"/>
  <c r="P161" i="25" s="1"/>
  <c r="AU186" i="25"/>
  <c r="A21" i="29"/>
  <c r="C362" i="25"/>
  <c r="A29" i="29"/>
  <c r="C375" i="25"/>
  <c r="A24" i="29"/>
  <c r="C367" i="25"/>
  <c r="A18" i="29"/>
  <c r="C359" i="25"/>
  <c r="P152" i="25" a="1"/>
  <c r="P152" i="25" s="1"/>
  <c r="P151" i="25" a="1"/>
  <c r="P151" i="25" s="1"/>
  <c r="A35" i="29"/>
  <c r="C381" i="25"/>
  <c r="A28" i="29"/>
  <c r="C374" i="25"/>
  <c r="A17" i="29"/>
  <c r="C358" i="25"/>
  <c r="P179" i="25" a="1"/>
  <c r="P179" i="25" s="1"/>
  <c r="A32" i="29"/>
  <c r="C378" i="25"/>
  <c r="A34" i="29"/>
  <c r="C380" i="25"/>
  <c r="A27" i="29"/>
  <c r="C373" i="25"/>
  <c r="A23" i="29"/>
  <c r="C365" i="25"/>
  <c r="A16" i="29"/>
  <c r="C357" i="25"/>
  <c r="P208" i="25" a="1"/>
  <c r="P208" i="25" s="1"/>
  <c r="C364" i="25"/>
  <c r="A22" i="29"/>
  <c r="A15" i="29"/>
  <c r="C356" i="25"/>
  <c r="P209" i="25" a="1"/>
  <c r="P209" i="25" s="1"/>
  <c r="A14" i="29"/>
  <c r="C355" i="25"/>
  <c r="P156" i="25" a="1"/>
  <c r="P156" i="25" s="1"/>
  <c r="P170" i="25" a="1"/>
  <c r="P170" i="25" s="1"/>
  <c r="BC186" i="25"/>
  <c r="AZ141" i="25"/>
  <c r="Y2" i="25"/>
  <c r="BB185" i="25"/>
  <c r="BD159" i="25"/>
  <c r="AT185" i="25"/>
  <c r="AZ186" i="25"/>
  <c r="BG141" i="25"/>
  <c r="AY141" i="25"/>
  <c r="AF83" i="25"/>
  <c r="AF198" i="25" s="1"/>
  <c r="BG159" i="25"/>
  <c r="AS159" i="25"/>
  <c r="BD141" i="25"/>
  <c r="BE186" i="25"/>
  <c r="BD198" i="25"/>
  <c r="BF159" i="25"/>
  <c r="BB141" i="25"/>
  <c r="BA141" i="25"/>
  <c r="BE45" i="25"/>
  <c r="BE160" i="25" s="1"/>
  <c r="BD90" i="25"/>
  <c r="BD205" i="25" s="1"/>
  <c r="AG70" i="25"/>
  <c r="AF26" i="25"/>
  <c r="AF27" i="25" s="1"/>
  <c r="AF142" i="25" s="1"/>
  <c r="AF65" i="25"/>
  <c r="AF180" i="25" s="1"/>
  <c r="AD44" i="25"/>
  <c r="AD159" i="25" s="1"/>
  <c r="AD26" i="25"/>
  <c r="AD27" i="25" s="1"/>
  <c r="AD142" i="25" s="1"/>
  <c r="AG44" i="25"/>
  <c r="AG45" i="25" s="1"/>
  <c r="AG160" i="25" s="1"/>
  <c r="AG83" i="25"/>
  <c r="AG84" i="25" s="1"/>
  <c r="AG85" i="25" s="1"/>
  <c r="AE44" i="25"/>
  <c r="AE45" i="25" s="1"/>
  <c r="AE160" i="25" s="1"/>
  <c r="AG63" i="25"/>
  <c r="AG178" i="25" s="1"/>
  <c r="AE83" i="25"/>
  <c r="AE84" i="25" s="1"/>
  <c r="AE85" i="25" s="1"/>
  <c r="AE200" i="25" s="1"/>
  <c r="AI44" i="25"/>
  <c r="AI159" i="25" s="1"/>
  <c r="AE26" i="25"/>
  <c r="AE141" i="25" s="1"/>
  <c r="AE70" i="25"/>
  <c r="AK44" i="25"/>
  <c r="AK83" i="25"/>
  <c r="AK90" i="25" s="1"/>
  <c r="AK205" i="25" s="1"/>
  <c r="AJ63" i="25"/>
  <c r="AJ178" i="25" s="1"/>
  <c r="AI63" i="25"/>
  <c r="AI178" i="25" s="1"/>
  <c r="AJ65" i="25"/>
  <c r="AJ180" i="25" s="1"/>
  <c r="AI65" i="25"/>
  <c r="AI180" i="25" s="1"/>
  <c r="AJ70" i="25"/>
  <c r="AJ44" i="25"/>
  <c r="AJ45" i="25" s="1"/>
  <c r="AJ160" i="25" s="1"/>
  <c r="AJ26" i="25"/>
  <c r="AJ27" i="25" s="1"/>
  <c r="AJ142" i="25" s="1"/>
  <c r="AI70" i="25"/>
  <c r="AK26" i="25"/>
  <c r="AK141" i="25" s="1"/>
  <c r="AD83" i="25"/>
  <c r="AD84" i="25" s="1"/>
  <c r="AD199" i="25" s="1"/>
  <c r="AF70" i="25"/>
  <c r="AI26" i="25"/>
  <c r="AI27" i="25" s="1"/>
  <c r="AI142" i="25" s="1"/>
  <c r="AD70" i="25"/>
  <c r="AE65" i="25"/>
  <c r="AE180" i="25" s="1"/>
  <c r="AK70" i="25"/>
  <c r="AD65" i="25"/>
  <c r="AD180" i="25" s="1"/>
  <c r="AK65" i="25"/>
  <c r="AK180" i="25" s="1"/>
  <c r="AV198" i="25"/>
  <c r="BG186" i="25"/>
  <c r="BB45" i="25"/>
  <c r="BB160" i="25" s="1"/>
  <c r="AX141" i="25"/>
  <c r="BF142" i="25"/>
  <c r="BD186" i="25"/>
  <c r="AQ71" i="25"/>
  <c r="AQ186" i="25" s="1"/>
  <c r="AV84" i="25"/>
  <c r="AX185" i="25"/>
  <c r="AP71" i="25"/>
  <c r="AP186" i="25" s="1"/>
  <c r="AN84" i="25"/>
  <c r="AN199" i="25" s="1"/>
  <c r="AV142" i="25"/>
  <c r="AL32" i="25"/>
  <c r="AK147" i="25"/>
  <c r="AA105" i="25"/>
  <c r="AL27" i="25"/>
  <c r="AL141" i="25"/>
  <c r="BC90" i="25"/>
  <c r="BC205" i="25" s="1"/>
  <c r="BC198" i="25"/>
  <c r="AM84" i="25"/>
  <c r="AM85" i="25" s="1"/>
  <c r="AM200" i="25" s="1"/>
  <c r="AM90" i="25"/>
  <c r="AM205" i="25" s="1"/>
  <c r="AW141" i="25"/>
  <c r="BC84" i="25"/>
  <c r="BC85" i="25" s="1"/>
  <c r="BC200" i="25" s="1"/>
  <c r="AM198" i="25"/>
  <c r="BE141" i="25"/>
  <c r="AW90" i="25"/>
  <c r="AW205" i="25" s="1"/>
  <c r="AU90" i="25"/>
  <c r="AU205" i="25" s="1"/>
  <c r="AU84" i="25"/>
  <c r="AU85" i="25" s="1"/>
  <c r="AU200" i="25" s="1"/>
  <c r="BD199" i="25"/>
  <c r="BG85" i="25"/>
  <c r="BG200" i="25" s="1"/>
  <c r="BG199" i="25"/>
  <c r="AY90" i="25"/>
  <c r="AY205" i="25" s="1"/>
  <c r="AY198" i="25"/>
  <c r="AY84" i="25"/>
  <c r="AQ90" i="25"/>
  <c r="AQ205" i="25" s="1"/>
  <c r="AQ84" i="25"/>
  <c r="BG198" i="25"/>
  <c r="BF186" i="25"/>
  <c r="AP45" i="25"/>
  <c r="AP160" i="25" s="1"/>
  <c r="AP159" i="25"/>
  <c r="AW185" i="25"/>
  <c r="AW186" i="25"/>
  <c r="BG90" i="25"/>
  <c r="BG205" i="25" s="1"/>
  <c r="AX84" i="25"/>
  <c r="AX85" i="25" s="1"/>
  <c r="AX200" i="25" s="1"/>
  <c r="AX90" i="25"/>
  <c r="AX205" i="25" s="1"/>
  <c r="AU142" i="25"/>
  <c r="AU141" i="25"/>
  <c r="BC141" i="25"/>
  <c r="AB63" i="25"/>
  <c r="AB83" i="25"/>
  <c r="AI90" i="25"/>
  <c r="AI205" i="25" s="1"/>
  <c r="AI198" i="25"/>
  <c r="AF159" i="25"/>
  <c r="AO90" i="25"/>
  <c r="AO205" i="25" s="1"/>
  <c r="AN159" i="25"/>
  <c r="AV160" i="25"/>
  <c r="AU160" i="25"/>
  <c r="AW159" i="25"/>
  <c r="AS142" i="25"/>
  <c r="AT141" i="25"/>
  <c r="AT199" i="25"/>
  <c r="AT85" i="25"/>
  <c r="AT200" i="25" s="1"/>
  <c r="BE85" i="25"/>
  <c r="BE200" i="25" s="1"/>
  <c r="BE199" i="25"/>
  <c r="AW85" i="25"/>
  <c r="AW200" i="25" s="1"/>
  <c r="AW199" i="25"/>
  <c r="AO85" i="25"/>
  <c r="AO200" i="25" s="1"/>
  <c r="AO199" i="25"/>
  <c r="BB199" i="25"/>
  <c r="BB85" i="25"/>
  <c r="BB200" i="25" s="1"/>
  <c r="BB198" i="25"/>
  <c r="AL84" i="25"/>
  <c r="BA198" i="25"/>
  <c r="AS198" i="25"/>
  <c r="BA84" i="25"/>
  <c r="AI199" i="25"/>
  <c r="AZ198" i="25"/>
  <c r="AJ198" i="25"/>
  <c r="AZ84" i="25"/>
  <c r="AJ84" i="25"/>
  <c r="AL90" i="25"/>
  <c r="AX198" i="25"/>
  <c r="BF90" i="25"/>
  <c r="BF205" i="25" s="1"/>
  <c r="BF84" i="25"/>
  <c r="BE198" i="25"/>
  <c r="AW198" i="25"/>
  <c r="AO198" i="25"/>
  <c r="BE90" i="25"/>
  <c r="BE205" i="25" s="1"/>
  <c r="AT90" i="25"/>
  <c r="AT205" i="25" s="1"/>
  <c r="AT198" i="25"/>
  <c r="BB90" i="25"/>
  <c r="BB205" i="25" s="1"/>
  <c r="AY186" i="25"/>
  <c r="AM185" i="25"/>
  <c r="AB71" i="25"/>
  <c r="BA45" i="25"/>
  <c r="BA160" i="25" s="1"/>
  <c r="AM159" i="25"/>
  <c r="AB141" i="25"/>
  <c r="AN186" i="25"/>
  <c r="E12" i="1"/>
  <c r="F12" i="1" s="1"/>
  <c r="V349" i="25"/>
  <c r="B295" i="25"/>
  <c r="C295" i="25"/>
  <c r="D295" i="25"/>
  <c r="E295" i="25"/>
  <c r="F295" i="25"/>
  <c r="G295" i="25"/>
  <c r="H295" i="25"/>
  <c r="I295" i="25"/>
  <c r="B296" i="25"/>
  <c r="C296" i="25"/>
  <c r="D296" i="25"/>
  <c r="E296" i="25"/>
  <c r="F296" i="25"/>
  <c r="G296" i="25"/>
  <c r="H296" i="25"/>
  <c r="I296" i="25"/>
  <c r="B297" i="25"/>
  <c r="C297" i="25"/>
  <c r="D297" i="25"/>
  <c r="E297" i="25"/>
  <c r="F297" i="25"/>
  <c r="G297" i="25"/>
  <c r="H297" i="25"/>
  <c r="I297" i="25"/>
  <c r="A298" i="25"/>
  <c r="B298" i="25"/>
  <c r="C298" i="25"/>
  <c r="E298" i="25"/>
  <c r="F298" i="25"/>
  <c r="G298" i="25"/>
  <c r="H298" i="25"/>
  <c r="I298" i="25"/>
  <c r="A299" i="25"/>
  <c r="B299" i="25"/>
  <c r="C299" i="25"/>
  <c r="E299" i="25"/>
  <c r="F299" i="25"/>
  <c r="G299" i="25"/>
  <c r="H299" i="25"/>
  <c r="I299" i="25"/>
  <c r="A300" i="25"/>
  <c r="B300" i="25"/>
  <c r="C300" i="25"/>
  <c r="E300" i="25"/>
  <c r="F300" i="25"/>
  <c r="G300" i="25"/>
  <c r="H300" i="25"/>
  <c r="I300" i="25"/>
  <c r="A301" i="25"/>
  <c r="B301" i="25"/>
  <c r="C301" i="25"/>
  <c r="E301" i="25"/>
  <c r="F301" i="25"/>
  <c r="G301" i="25"/>
  <c r="H301" i="25"/>
  <c r="I301" i="25"/>
  <c r="A302" i="25"/>
  <c r="B302" i="25"/>
  <c r="C302" i="25"/>
  <c r="E302" i="25"/>
  <c r="F302" i="25"/>
  <c r="G302" i="25"/>
  <c r="H302" i="25"/>
  <c r="I302" i="25"/>
  <c r="A303" i="25"/>
  <c r="B303" i="25"/>
  <c r="C303" i="25"/>
  <c r="E303" i="25"/>
  <c r="F303" i="25"/>
  <c r="G303" i="25"/>
  <c r="H303" i="25"/>
  <c r="I303" i="25"/>
  <c r="A304" i="25"/>
  <c r="B304" i="25"/>
  <c r="C304" i="25"/>
  <c r="E304" i="25"/>
  <c r="F304" i="25"/>
  <c r="G304" i="25"/>
  <c r="H304" i="25"/>
  <c r="I304" i="25"/>
  <c r="AL205" i="25" l="1"/>
  <c r="AF141" i="25"/>
  <c r="AK159" i="25"/>
  <c r="AL142" i="25"/>
  <c r="AK71" i="25"/>
  <c r="AK186" i="25" s="1"/>
  <c r="AK69" i="25"/>
  <c r="AJ185" i="25"/>
  <c r="AJ69" i="25"/>
  <c r="AI185" i="25"/>
  <c r="AI69" i="25"/>
  <c r="AG71" i="25"/>
  <c r="AG186" i="25" s="1"/>
  <c r="AG69" i="25"/>
  <c r="AF185" i="25"/>
  <c r="AF69" i="25"/>
  <c r="AE71" i="25"/>
  <c r="AE186" i="25" s="1"/>
  <c r="AE69" i="25"/>
  <c r="AD185" i="25"/>
  <c r="AD69" i="25"/>
  <c r="AB186" i="25"/>
  <c r="AB142" i="25"/>
  <c r="A56" i="29"/>
  <c r="A51" i="29"/>
  <c r="A60" i="29"/>
  <c r="A58" i="29"/>
  <c r="A55" i="29"/>
  <c r="A50" i="29"/>
  <c r="A61" i="29"/>
  <c r="A57" i="29"/>
  <c r="A67" i="29"/>
  <c r="A64" i="29"/>
  <c r="A48" i="29"/>
  <c r="A46" i="29"/>
  <c r="A52" i="29"/>
  <c r="A49" i="29"/>
  <c r="A65" i="29"/>
  <c r="A63" i="29"/>
  <c r="A45" i="29"/>
  <c r="A53" i="29"/>
  <c r="A47" i="29"/>
  <c r="A68" i="29"/>
  <c r="A62" i="29"/>
  <c r="A54" i="29"/>
  <c r="AF90" i="25"/>
  <c r="AF205" i="25" s="1"/>
  <c r="AF84" i="25"/>
  <c r="AF85" i="25" s="1"/>
  <c r="AF200" i="25" s="1"/>
  <c r="AN85" i="25"/>
  <c r="AN200" i="25" s="1"/>
  <c r="AG185" i="25"/>
  <c r="BC199" i="25"/>
  <c r="AB84" i="25"/>
  <c r="AB178" i="25"/>
  <c r="AG159" i="25"/>
  <c r="AE159" i="25"/>
  <c r="AK45" i="25"/>
  <c r="AK160" i="25" s="1"/>
  <c r="AD141" i="25"/>
  <c r="AG90" i="25"/>
  <c r="AG205" i="25" s="1"/>
  <c r="AI45" i="25"/>
  <c r="AI160" i="25" s="1"/>
  <c r="AD45" i="25"/>
  <c r="AD160" i="25" s="1"/>
  <c r="AG198" i="25"/>
  <c r="AK27" i="25"/>
  <c r="AK142" i="25" s="1"/>
  <c r="AK198" i="25"/>
  <c r="AE185" i="25"/>
  <c r="AD71" i="25"/>
  <c r="AD186" i="25" s="1"/>
  <c r="AJ159" i="25"/>
  <c r="AE199" i="25"/>
  <c r="AK84" i="25"/>
  <c r="AK199" i="25" s="1"/>
  <c r="AK42" i="25"/>
  <c r="AE90" i="25"/>
  <c r="AE205" i="25" s="1"/>
  <c r="AE198" i="25"/>
  <c r="AI141" i="25"/>
  <c r="AE27" i="25"/>
  <c r="AE142" i="25" s="1"/>
  <c r="AJ71" i="25"/>
  <c r="AJ186" i="25" s="1"/>
  <c r="AF71" i="25"/>
  <c r="AF186" i="25" s="1"/>
  <c r="AI71" i="25"/>
  <c r="AI186" i="25" s="1"/>
  <c r="AJ141" i="25"/>
  <c r="AK185" i="25"/>
  <c r="AD198" i="25"/>
  <c r="AD90" i="25"/>
  <c r="AD205" i="25" s="1"/>
  <c r="AD85" i="25"/>
  <c r="AD200" i="25" s="1"/>
  <c r="AX199" i="25"/>
  <c r="AV85" i="25"/>
  <c r="AV200" i="25" s="1"/>
  <c r="AV199" i="25"/>
  <c r="AQ85" i="25"/>
  <c r="AQ199" i="25"/>
  <c r="AB90" i="25"/>
  <c r="AU199" i="25"/>
  <c r="AY85" i="25"/>
  <c r="AY200" i="25" s="1"/>
  <c r="AY199" i="25"/>
  <c r="AM199" i="25"/>
  <c r="AM32" i="25"/>
  <c r="AL147" i="25"/>
  <c r="AB198" i="25"/>
  <c r="AJ199" i="25"/>
  <c r="AJ85" i="25"/>
  <c r="AJ200" i="25" s="1"/>
  <c r="AL199" i="25"/>
  <c r="AL85" i="25"/>
  <c r="BF85" i="25"/>
  <c r="BF200" i="25" s="1"/>
  <c r="BF199" i="25"/>
  <c r="AZ199" i="25"/>
  <c r="AZ85" i="25"/>
  <c r="AZ200" i="25" s="1"/>
  <c r="AS199" i="25"/>
  <c r="AS200" i="25"/>
  <c r="BA199" i="25"/>
  <c r="BA85" i="25"/>
  <c r="BA200" i="25" s="1"/>
  <c r="AG199" i="25"/>
  <c r="AG200" i="25"/>
  <c r="AO159" i="25"/>
  <c r="AO160" i="25"/>
  <c r="AO141" i="25"/>
  <c r="G12" i="1"/>
  <c r="AC316" i="25"/>
  <c r="AD316" i="25"/>
  <c r="AE316" i="25"/>
  <c r="AF316" i="25"/>
  <c r="AG316" i="25"/>
  <c r="AH316" i="25"/>
  <c r="AI316" i="25"/>
  <c r="AJ316" i="25"/>
  <c r="AK316" i="25"/>
  <c r="AL316" i="25"/>
  <c r="AM316" i="25"/>
  <c r="AN316" i="25"/>
  <c r="AO316" i="25"/>
  <c r="AP316" i="25"/>
  <c r="AQ316" i="25"/>
  <c r="AR316" i="25"/>
  <c r="AS316" i="25"/>
  <c r="AT316" i="25"/>
  <c r="AU316" i="25"/>
  <c r="AV316" i="25"/>
  <c r="AW316" i="25"/>
  <c r="AX316" i="25"/>
  <c r="AY316" i="25"/>
  <c r="AZ316" i="25"/>
  <c r="BA316" i="25"/>
  <c r="BB316" i="25"/>
  <c r="BC316" i="25"/>
  <c r="BD316" i="25"/>
  <c r="BE316" i="25"/>
  <c r="BF316" i="25"/>
  <c r="BG316" i="25"/>
  <c r="AB316" i="25"/>
  <c r="E324" i="25"/>
  <c r="E330" i="25"/>
  <c r="E332" i="25"/>
  <c r="E334" i="25"/>
  <c r="E336" i="25"/>
  <c r="E344" i="25"/>
  <c r="A123" i="25"/>
  <c r="B123" i="25"/>
  <c r="C123" i="25"/>
  <c r="D123" i="25"/>
  <c r="E123" i="25"/>
  <c r="F123" i="25"/>
  <c r="G123" i="25"/>
  <c r="H123" i="25"/>
  <c r="I123" i="25"/>
  <c r="K123" i="25"/>
  <c r="L123" i="25"/>
  <c r="M123" i="25"/>
  <c r="N123" i="25"/>
  <c r="A221" i="25"/>
  <c r="B221" i="25"/>
  <c r="C221" i="25"/>
  <c r="D221" i="25"/>
  <c r="E221" i="25"/>
  <c r="F221" i="25"/>
  <c r="G221" i="25"/>
  <c r="H221" i="25"/>
  <c r="I221" i="25"/>
  <c r="A222" i="25"/>
  <c r="B222" i="25"/>
  <c r="C222" i="25"/>
  <c r="D222" i="25"/>
  <c r="E222" i="25"/>
  <c r="F222" i="25"/>
  <c r="G222" i="25"/>
  <c r="H222" i="25"/>
  <c r="I222" i="25"/>
  <c r="A223" i="25"/>
  <c r="B223" i="25"/>
  <c r="C223" i="25"/>
  <c r="D223" i="25"/>
  <c r="F223" i="25"/>
  <c r="G223" i="25"/>
  <c r="H223" i="25"/>
  <c r="I223" i="25"/>
  <c r="A224" i="25"/>
  <c r="B224" i="25"/>
  <c r="C224" i="25"/>
  <c r="E224" i="25"/>
  <c r="F224" i="25"/>
  <c r="G224" i="25"/>
  <c r="H224" i="25"/>
  <c r="I224" i="25"/>
  <c r="B225" i="25"/>
  <c r="C225" i="25"/>
  <c r="E225" i="25"/>
  <c r="F225" i="25"/>
  <c r="G225" i="25"/>
  <c r="H225" i="25"/>
  <c r="I225" i="25"/>
  <c r="B226" i="25"/>
  <c r="C226" i="25"/>
  <c r="E226" i="25"/>
  <c r="F226" i="25"/>
  <c r="G226" i="25"/>
  <c r="H226" i="25"/>
  <c r="I226" i="25"/>
  <c r="B227" i="25"/>
  <c r="C227" i="25"/>
  <c r="E227" i="25"/>
  <c r="F227" i="25"/>
  <c r="G227" i="25"/>
  <c r="H227" i="25"/>
  <c r="I227" i="25"/>
  <c r="B228" i="25"/>
  <c r="C228" i="25"/>
  <c r="E228" i="25"/>
  <c r="F228" i="25"/>
  <c r="G228" i="25"/>
  <c r="H228" i="25"/>
  <c r="I228" i="25"/>
  <c r="C229" i="25"/>
  <c r="E229" i="25"/>
  <c r="F229" i="25"/>
  <c r="G229" i="25"/>
  <c r="H229" i="25"/>
  <c r="I229" i="25"/>
  <c r="B230" i="25"/>
  <c r="C230" i="25"/>
  <c r="E230" i="25"/>
  <c r="F230" i="25"/>
  <c r="G230" i="25"/>
  <c r="H230" i="25"/>
  <c r="I230" i="25"/>
  <c r="B231" i="25"/>
  <c r="C231" i="25"/>
  <c r="D231" i="25"/>
  <c r="E231" i="25"/>
  <c r="F231" i="25"/>
  <c r="G231" i="25"/>
  <c r="H231" i="25"/>
  <c r="I231" i="25"/>
  <c r="A232" i="25"/>
  <c r="B232" i="25"/>
  <c r="C232" i="25"/>
  <c r="D232" i="25"/>
  <c r="E232" i="25"/>
  <c r="G232" i="25"/>
  <c r="H232" i="25"/>
  <c r="I232" i="25"/>
  <c r="A233" i="25"/>
  <c r="B233" i="25"/>
  <c r="C233" i="25"/>
  <c r="D233" i="25"/>
  <c r="E233" i="25"/>
  <c r="F233" i="25"/>
  <c r="G233" i="25"/>
  <c r="H233" i="25"/>
  <c r="I233" i="25"/>
  <c r="B235" i="25"/>
  <c r="C235" i="25"/>
  <c r="E235" i="25"/>
  <c r="F235" i="25"/>
  <c r="G235" i="25"/>
  <c r="H235" i="25"/>
  <c r="I235" i="25"/>
  <c r="A236" i="25"/>
  <c r="B236" i="25"/>
  <c r="C236" i="25"/>
  <c r="D236" i="25"/>
  <c r="E236" i="25"/>
  <c r="F236" i="25"/>
  <c r="G236" i="25"/>
  <c r="H236" i="25"/>
  <c r="I236" i="25"/>
  <c r="A237" i="25"/>
  <c r="B237" i="25"/>
  <c r="C237" i="25"/>
  <c r="D237" i="25"/>
  <c r="E237" i="25"/>
  <c r="F237" i="25"/>
  <c r="G237" i="25"/>
  <c r="H237" i="25"/>
  <c r="I237" i="25"/>
  <c r="A238" i="25"/>
  <c r="B238" i="25"/>
  <c r="C238" i="25"/>
  <c r="D238" i="25"/>
  <c r="E238" i="25"/>
  <c r="F238" i="25"/>
  <c r="G238" i="25"/>
  <c r="H238" i="25"/>
  <c r="I238" i="25"/>
  <c r="A239" i="25"/>
  <c r="B239" i="25"/>
  <c r="C239" i="25"/>
  <c r="D239" i="25"/>
  <c r="E239" i="25"/>
  <c r="F239" i="25"/>
  <c r="G239" i="25"/>
  <c r="H239" i="25"/>
  <c r="I239" i="25"/>
  <c r="B240" i="25"/>
  <c r="C240" i="25"/>
  <c r="D240" i="25"/>
  <c r="E240" i="25"/>
  <c r="F240" i="25"/>
  <c r="G240" i="25"/>
  <c r="H240" i="25"/>
  <c r="I240" i="25"/>
  <c r="B241" i="25"/>
  <c r="C241" i="25"/>
  <c r="D241" i="25"/>
  <c r="E241" i="25"/>
  <c r="F241" i="25"/>
  <c r="G241" i="25"/>
  <c r="H241" i="25"/>
  <c r="I241" i="25"/>
  <c r="A242" i="25"/>
  <c r="B242" i="25"/>
  <c r="C242" i="25"/>
  <c r="D242" i="25"/>
  <c r="E242" i="25"/>
  <c r="F242" i="25"/>
  <c r="G242" i="25"/>
  <c r="H242" i="25"/>
  <c r="I242" i="25"/>
  <c r="A243" i="25"/>
  <c r="B243" i="25"/>
  <c r="C243" i="25"/>
  <c r="D243" i="25"/>
  <c r="E243" i="25"/>
  <c r="F243" i="25"/>
  <c r="G243" i="25"/>
  <c r="H243" i="25"/>
  <c r="I243" i="25"/>
  <c r="A244" i="25"/>
  <c r="B244" i="25"/>
  <c r="C244" i="25"/>
  <c r="D244" i="25"/>
  <c r="E244" i="25"/>
  <c r="F244" i="25"/>
  <c r="G244" i="25"/>
  <c r="H244" i="25"/>
  <c r="I244" i="25"/>
  <c r="A245" i="25"/>
  <c r="B245" i="25"/>
  <c r="C245" i="25"/>
  <c r="D245" i="25"/>
  <c r="E245" i="25"/>
  <c r="F245" i="25"/>
  <c r="G245" i="25"/>
  <c r="H245" i="25"/>
  <c r="I245" i="25"/>
  <c r="A246" i="25"/>
  <c r="B246" i="25"/>
  <c r="C246" i="25"/>
  <c r="D246" i="25"/>
  <c r="E246" i="25"/>
  <c r="G246" i="25"/>
  <c r="H246" i="25"/>
  <c r="I246" i="25"/>
  <c r="A247" i="25"/>
  <c r="B247" i="25"/>
  <c r="C247" i="25"/>
  <c r="D247" i="25"/>
  <c r="E247" i="25"/>
  <c r="F247" i="25"/>
  <c r="G247" i="25"/>
  <c r="H247" i="25"/>
  <c r="I247" i="25"/>
  <c r="A248" i="25"/>
  <c r="B248" i="25"/>
  <c r="C248" i="25"/>
  <c r="D248" i="25"/>
  <c r="E248" i="25"/>
  <c r="F248" i="25"/>
  <c r="G248" i="25"/>
  <c r="H248" i="25"/>
  <c r="I248" i="25"/>
  <c r="A249" i="25"/>
  <c r="B249" i="25"/>
  <c r="C249" i="25"/>
  <c r="D249" i="25"/>
  <c r="E249" i="25"/>
  <c r="F249" i="25"/>
  <c r="G249" i="25"/>
  <c r="I249" i="25"/>
  <c r="B250" i="25"/>
  <c r="C250" i="25"/>
  <c r="E250" i="25"/>
  <c r="F250" i="25"/>
  <c r="G250" i="25"/>
  <c r="H250" i="25"/>
  <c r="I250" i="25"/>
  <c r="A251" i="25"/>
  <c r="B251" i="25"/>
  <c r="C251" i="25"/>
  <c r="D251" i="25"/>
  <c r="F251" i="25"/>
  <c r="G251" i="25"/>
  <c r="H251" i="25"/>
  <c r="I251" i="25"/>
  <c r="A252" i="25"/>
  <c r="B252" i="25"/>
  <c r="C252" i="25"/>
  <c r="D252" i="25"/>
  <c r="E252" i="25"/>
  <c r="F252" i="25"/>
  <c r="G252" i="25"/>
  <c r="H252" i="25"/>
  <c r="I252" i="25"/>
  <c r="A253" i="25"/>
  <c r="B253" i="25"/>
  <c r="C253" i="25"/>
  <c r="D253" i="25"/>
  <c r="E253" i="25"/>
  <c r="F253" i="25"/>
  <c r="G253" i="25"/>
  <c r="H253" i="25"/>
  <c r="I253" i="25"/>
  <c r="A254" i="25"/>
  <c r="B254" i="25"/>
  <c r="C254" i="25"/>
  <c r="D254" i="25"/>
  <c r="E254" i="25"/>
  <c r="F254" i="25"/>
  <c r="H254" i="25"/>
  <c r="I254" i="25"/>
  <c r="A255" i="25"/>
  <c r="B255" i="25"/>
  <c r="C255" i="25"/>
  <c r="D255" i="25"/>
  <c r="E255" i="25"/>
  <c r="G255" i="25"/>
  <c r="H255" i="25"/>
  <c r="I255" i="25"/>
  <c r="A256" i="25"/>
  <c r="B256" i="25"/>
  <c r="C256" i="25"/>
  <c r="D256" i="25"/>
  <c r="E256" i="25"/>
  <c r="F256" i="25"/>
  <c r="G256" i="25"/>
  <c r="H256" i="25"/>
  <c r="I256" i="25"/>
  <c r="A257" i="25"/>
  <c r="B257" i="25"/>
  <c r="C257" i="25"/>
  <c r="D257" i="25"/>
  <c r="E257" i="25"/>
  <c r="F257" i="25"/>
  <c r="G257" i="25"/>
  <c r="H257" i="25"/>
  <c r="I257" i="25"/>
  <c r="A258" i="25"/>
  <c r="B258" i="25"/>
  <c r="C258" i="25"/>
  <c r="D258" i="25"/>
  <c r="E258" i="25"/>
  <c r="F258" i="25"/>
  <c r="G258" i="25"/>
  <c r="H258" i="25"/>
  <c r="I258" i="25"/>
  <c r="A259" i="25"/>
  <c r="B259" i="25"/>
  <c r="C259" i="25"/>
  <c r="E259" i="25"/>
  <c r="F259" i="25"/>
  <c r="G259" i="25"/>
  <c r="H259" i="25"/>
  <c r="I259" i="25"/>
  <c r="A260" i="25"/>
  <c r="B260" i="25"/>
  <c r="C260" i="25"/>
  <c r="E260" i="25"/>
  <c r="F260" i="25"/>
  <c r="G260" i="25"/>
  <c r="H260" i="25"/>
  <c r="I260" i="25"/>
  <c r="A261" i="25"/>
  <c r="B261" i="25"/>
  <c r="C261" i="25"/>
  <c r="E261" i="25"/>
  <c r="F261" i="25"/>
  <c r="G261" i="25"/>
  <c r="H261" i="25"/>
  <c r="I261" i="25"/>
  <c r="A262" i="25"/>
  <c r="B262" i="25"/>
  <c r="E262" i="25"/>
  <c r="F262" i="25"/>
  <c r="G262" i="25"/>
  <c r="H262" i="25"/>
  <c r="I262" i="25"/>
  <c r="A263" i="25"/>
  <c r="B263" i="25"/>
  <c r="E263" i="25"/>
  <c r="F263" i="25"/>
  <c r="G263" i="25"/>
  <c r="H263" i="25"/>
  <c r="I263" i="25"/>
  <c r="A264" i="25"/>
  <c r="B264" i="25"/>
  <c r="E264" i="25"/>
  <c r="F264" i="25"/>
  <c r="G264" i="25"/>
  <c r="H264" i="25"/>
  <c r="I264" i="25"/>
  <c r="A265" i="25"/>
  <c r="B265" i="25"/>
  <c r="E265" i="25"/>
  <c r="F265" i="25"/>
  <c r="G265" i="25"/>
  <c r="H265" i="25"/>
  <c r="I265" i="25"/>
  <c r="A266" i="25"/>
  <c r="B266" i="25"/>
  <c r="E266" i="25"/>
  <c r="F266" i="25"/>
  <c r="G266" i="25"/>
  <c r="H266" i="25"/>
  <c r="I266" i="25"/>
  <c r="A267" i="25"/>
  <c r="B267" i="25"/>
  <c r="C267" i="25"/>
  <c r="D267" i="25"/>
  <c r="E267" i="25"/>
  <c r="F267" i="25"/>
  <c r="G267" i="25"/>
  <c r="H267" i="25"/>
  <c r="I267" i="25"/>
  <c r="A268" i="25"/>
  <c r="B268" i="25"/>
  <c r="C268" i="25"/>
  <c r="D268" i="25"/>
  <c r="E268" i="25"/>
  <c r="F268" i="25"/>
  <c r="G268" i="25"/>
  <c r="H268" i="25"/>
  <c r="I268" i="25"/>
  <c r="A269" i="25"/>
  <c r="B269" i="25"/>
  <c r="C269" i="25"/>
  <c r="D269" i="25"/>
  <c r="E269" i="25"/>
  <c r="G269" i="25"/>
  <c r="H269" i="25"/>
  <c r="I269" i="25"/>
  <c r="A271" i="25"/>
  <c r="B271" i="25"/>
  <c r="C271" i="25"/>
  <c r="D271" i="25"/>
  <c r="E271" i="25"/>
  <c r="F271" i="25"/>
  <c r="G271" i="25"/>
  <c r="H271" i="25"/>
  <c r="I271" i="25"/>
  <c r="A272" i="25"/>
  <c r="B272" i="25"/>
  <c r="C272" i="25"/>
  <c r="D272" i="25"/>
  <c r="E272" i="25"/>
  <c r="F272" i="25"/>
  <c r="G272" i="25"/>
  <c r="H272" i="25"/>
  <c r="I272" i="25"/>
  <c r="A273" i="25"/>
  <c r="B273" i="25"/>
  <c r="C273" i="25"/>
  <c r="D273" i="25"/>
  <c r="E273" i="25"/>
  <c r="F273" i="25"/>
  <c r="G273" i="25"/>
  <c r="H273" i="25"/>
  <c r="I273" i="25"/>
  <c r="A274" i="25"/>
  <c r="B274" i="25"/>
  <c r="C274" i="25"/>
  <c r="D274" i="25"/>
  <c r="E274" i="25"/>
  <c r="F274" i="25"/>
  <c r="G274" i="25"/>
  <c r="H274" i="25"/>
  <c r="I274" i="25"/>
  <c r="A275" i="25"/>
  <c r="B275" i="25"/>
  <c r="C275" i="25"/>
  <c r="D275" i="25"/>
  <c r="E275" i="25"/>
  <c r="G275" i="25"/>
  <c r="H275" i="25"/>
  <c r="I275" i="25"/>
  <c r="A276" i="25"/>
  <c r="B276" i="25"/>
  <c r="C276" i="25"/>
  <c r="D276" i="25"/>
  <c r="E276" i="25"/>
  <c r="F276" i="25"/>
  <c r="G276" i="25"/>
  <c r="H276" i="25"/>
  <c r="I276" i="25"/>
  <c r="A277" i="25"/>
  <c r="B277" i="25"/>
  <c r="C277" i="25"/>
  <c r="D277" i="25"/>
  <c r="E277" i="25"/>
  <c r="F277" i="25"/>
  <c r="G277" i="25"/>
  <c r="H277" i="25"/>
  <c r="I277" i="25"/>
  <c r="B278" i="25"/>
  <c r="C278" i="25"/>
  <c r="D278" i="25"/>
  <c r="E278" i="25"/>
  <c r="G278" i="25"/>
  <c r="H278" i="25"/>
  <c r="I278" i="25"/>
  <c r="A279" i="25"/>
  <c r="B279" i="25"/>
  <c r="C279" i="25"/>
  <c r="D279" i="25"/>
  <c r="E279" i="25"/>
  <c r="G279" i="25"/>
  <c r="H279" i="25"/>
  <c r="I279" i="25"/>
  <c r="A280" i="25"/>
  <c r="B280" i="25"/>
  <c r="C280" i="25"/>
  <c r="D280" i="25"/>
  <c r="E280" i="25"/>
  <c r="F280" i="25"/>
  <c r="G280" i="25"/>
  <c r="H280" i="25"/>
  <c r="I280" i="25"/>
  <c r="A281" i="25"/>
  <c r="B281" i="25"/>
  <c r="C281" i="25"/>
  <c r="D281" i="25"/>
  <c r="E281" i="25"/>
  <c r="F281" i="25"/>
  <c r="G281" i="25"/>
  <c r="H281" i="25"/>
  <c r="I281" i="25"/>
  <c r="A282" i="25"/>
  <c r="B282" i="25"/>
  <c r="C282" i="25"/>
  <c r="E282" i="25"/>
  <c r="F282" i="25"/>
  <c r="G282" i="25"/>
  <c r="H282" i="25"/>
  <c r="I282" i="25"/>
  <c r="A283" i="25"/>
  <c r="B283" i="25"/>
  <c r="C283" i="25"/>
  <c r="E283" i="25"/>
  <c r="F283" i="25"/>
  <c r="G283" i="25"/>
  <c r="H283" i="25"/>
  <c r="I283" i="25"/>
  <c r="A284" i="25"/>
  <c r="B284" i="25"/>
  <c r="C284" i="25"/>
  <c r="E284" i="25"/>
  <c r="F284" i="25"/>
  <c r="G284" i="25"/>
  <c r="H284" i="25"/>
  <c r="I284" i="25"/>
  <c r="A285" i="25"/>
  <c r="B285" i="25"/>
  <c r="C285" i="25"/>
  <c r="E285" i="25"/>
  <c r="F285" i="25"/>
  <c r="G285" i="25"/>
  <c r="H285" i="25"/>
  <c r="I285" i="25"/>
  <c r="A286" i="25"/>
  <c r="B286" i="25"/>
  <c r="C286" i="25"/>
  <c r="D286" i="25"/>
  <c r="E286" i="25"/>
  <c r="F286" i="25"/>
  <c r="G286" i="25"/>
  <c r="H286" i="25"/>
  <c r="I286" i="25"/>
  <c r="A287" i="25"/>
  <c r="B287" i="25"/>
  <c r="C287" i="25"/>
  <c r="E287" i="25"/>
  <c r="F287" i="25"/>
  <c r="G287" i="25"/>
  <c r="H287" i="25"/>
  <c r="I287" i="25"/>
  <c r="A288" i="25"/>
  <c r="B288" i="25"/>
  <c r="C288" i="25"/>
  <c r="E288" i="25"/>
  <c r="F288" i="25"/>
  <c r="G288" i="25"/>
  <c r="H288" i="25"/>
  <c r="I288" i="25"/>
  <c r="A289" i="25"/>
  <c r="B289" i="25"/>
  <c r="C289" i="25"/>
  <c r="E289" i="25"/>
  <c r="F289" i="25"/>
  <c r="G289" i="25"/>
  <c r="H289" i="25"/>
  <c r="I289" i="25"/>
  <c r="A290" i="25"/>
  <c r="B290" i="25"/>
  <c r="C290" i="25"/>
  <c r="E290" i="25"/>
  <c r="F290" i="25"/>
  <c r="G290" i="25"/>
  <c r="H290" i="25"/>
  <c r="I290" i="25"/>
  <c r="A291" i="25"/>
  <c r="B291" i="25"/>
  <c r="C291" i="25"/>
  <c r="E291" i="25"/>
  <c r="F291" i="25"/>
  <c r="G291" i="25"/>
  <c r="H291" i="25"/>
  <c r="I291" i="25"/>
  <c r="A292" i="25"/>
  <c r="B292" i="25"/>
  <c r="C292" i="25"/>
  <c r="E292" i="25"/>
  <c r="F292" i="25"/>
  <c r="G292" i="25"/>
  <c r="H292" i="25"/>
  <c r="I292" i="25"/>
  <c r="A293" i="25"/>
  <c r="B293" i="25"/>
  <c r="C293" i="25"/>
  <c r="E293" i="25"/>
  <c r="F293" i="25"/>
  <c r="G293" i="25"/>
  <c r="H293" i="25"/>
  <c r="I293" i="25"/>
  <c r="A294" i="25"/>
  <c r="B294" i="25"/>
  <c r="C294" i="25"/>
  <c r="D294" i="25"/>
  <c r="E294" i="25"/>
  <c r="F294" i="25"/>
  <c r="G294" i="25"/>
  <c r="H294" i="25"/>
  <c r="I294" i="25"/>
  <c r="A305" i="25"/>
  <c r="B305" i="25"/>
  <c r="C305" i="25"/>
  <c r="D305" i="25"/>
  <c r="E305" i="25"/>
  <c r="F305" i="25"/>
  <c r="G305" i="25"/>
  <c r="H305" i="25"/>
  <c r="I305" i="25"/>
  <c r="A306" i="25"/>
  <c r="B306" i="25"/>
  <c r="C306" i="25"/>
  <c r="D306" i="25"/>
  <c r="E306" i="25"/>
  <c r="G306" i="25"/>
  <c r="H306" i="25"/>
  <c r="I306" i="25"/>
  <c r="B307" i="25"/>
  <c r="C307" i="25"/>
  <c r="D307" i="25"/>
  <c r="E307" i="25"/>
  <c r="G307" i="25"/>
  <c r="H307" i="25"/>
  <c r="I307" i="25"/>
  <c r="B308" i="25"/>
  <c r="C308" i="25"/>
  <c r="D308" i="25"/>
  <c r="E308" i="25"/>
  <c r="F308" i="25"/>
  <c r="G308" i="25"/>
  <c r="H308" i="25"/>
  <c r="I308" i="25"/>
  <c r="B309" i="25"/>
  <c r="C309" i="25"/>
  <c r="E309" i="25"/>
  <c r="F309" i="25"/>
  <c r="G309" i="25"/>
  <c r="H309" i="25"/>
  <c r="I309" i="25"/>
  <c r="B310" i="25"/>
  <c r="C310" i="25"/>
  <c r="E310" i="25"/>
  <c r="G310" i="25"/>
  <c r="H310" i="25"/>
  <c r="I310" i="25"/>
  <c r="B311" i="25"/>
  <c r="C311" i="25"/>
  <c r="E311" i="25"/>
  <c r="F311" i="25"/>
  <c r="G311" i="25"/>
  <c r="H311" i="25"/>
  <c r="I311" i="25"/>
  <c r="A312" i="25"/>
  <c r="B312" i="25"/>
  <c r="C312" i="25"/>
  <c r="D312" i="25"/>
  <c r="E312" i="25"/>
  <c r="F312" i="25"/>
  <c r="G312" i="25"/>
  <c r="H312" i="25"/>
  <c r="I312" i="25"/>
  <c r="B220" i="25"/>
  <c r="C220" i="25"/>
  <c r="D220" i="25"/>
  <c r="E220" i="25"/>
  <c r="F220" i="25"/>
  <c r="G220" i="25"/>
  <c r="H220" i="25"/>
  <c r="I220" i="25"/>
  <c r="A220" i="25"/>
  <c r="A125" i="25"/>
  <c r="B125" i="25"/>
  <c r="C125" i="25"/>
  <c r="D125" i="25"/>
  <c r="E125" i="25"/>
  <c r="F125" i="25"/>
  <c r="G125" i="25"/>
  <c r="H125" i="25"/>
  <c r="I125" i="25"/>
  <c r="K125" i="25"/>
  <c r="L125" i="25"/>
  <c r="M125" i="25"/>
  <c r="N125" i="25"/>
  <c r="A126" i="25"/>
  <c r="B126" i="25"/>
  <c r="C126" i="25"/>
  <c r="D126" i="25"/>
  <c r="F126" i="25"/>
  <c r="G126" i="25"/>
  <c r="H126" i="25"/>
  <c r="I126" i="25"/>
  <c r="K126" i="25"/>
  <c r="L126" i="25"/>
  <c r="M126" i="25"/>
  <c r="N126" i="25"/>
  <c r="A127" i="25"/>
  <c r="B127" i="25"/>
  <c r="C127" i="25"/>
  <c r="E127" i="25"/>
  <c r="F127" i="25"/>
  <c r="G127" i="25"/>
  <c r="H127" i="25"/>
  <c r="I127" i="25"/>
  <c r="K127" i="25"/>
  <c r="L127" i="25"/>
  <c r="M127" i="25"/>
  <c r="N127" i="25"/>
  <c r="B128" i="25"/>
  <c r="C128" i="25"/>
  <c r="E128" i="25"/>
  <c r="F128" i="25"/>
  <c r="G128" i="25"/>
  <c r="H128" i="25"/>
  <c r="I128" i="25"/>
  <c r="K128" i="25"/>
  <c r="L128" i="25"/>
  <c r="M128" i="25"/>
  <c r="N128" i="25"/>
  <c r="B129" i="25"/>
  <c r="C129" i="25"/>
  <c r="E129" i="25"/>
  <c r="F129" i="25"/>
  <c r="G129" i="25"/>
  <c r="H129" i="25"/>
  <c r="I129" i="25"/>
  <c r="K129" i="25"/>
  <c r="L129" i="25"/>
  <c r="M129" i="25"/>
  <c r="N129" i="25"/>
  <c r="B130" i="25"/>
  <c r="C130" i="25"/>
  <c r="E130" i="25"/>
  <c r="F130" i="25"/>
  <c r="G130" i="25"/>
  <c r="H130" i="25"/>
  <c r="I130" i="25"/>
  <c r="J130" i="25"/>
  <c r="L130" i="25"/>
  <c r="M130" i="25"/>
  <c r="N130" i="25"/>
  <c r="B131" i="25"/>
  <c r="C131" i="25"/>
  <c r="E131" i="25"/>
  <c r="F131" i="25"/>
  <c r="G131" i="25"/>
  <c r="H131" i="25"/>
  <c r="I131" i="25"/>
  <c r="K131" i="25"/>
  <c r="L131" i="25"/>
  <c r="M131" i="25"/>
  <c r="N131" i="25"/>
  <c r="B132" i="25"/>
  <c r="C132" i="25"/>
  <c r="E132" i="25"/>
  <c r="F132" i="25"/>
  <c r="G132" i="25"/>
  <c r="H132" i="25"/>
  <c r="I132" i="25"/>
  <c r="K132" i="25"/>
  <c r="L132" i="25"/>
  <c r="M132" i="25"/>
  <c r="N132" i="25"/>
  <c r="B133" i="25"/>
  <c r="C133" i="25"/>
  <c r="E133" i="25"/>
  <c r="F133" i="25"/>
  <c r="G133" i="25"/>
  <c r="H133" i="25"/>
  <c r="I133" i="25"/>
  <c r="J133" i="25"/>
  <c r="L133" i="25"/>
  <c r="M133" i="25"/>
  <c r="N133" i="25"/>
  <c r="B134" i="25"/>
  <c r="C134" i="25"/>
  <c r="D134" i="25"/>
  <c r="E134" i="25"/>
  <c r="F134" i="25"/>
  <c r="G134" i="25"/>
  <c r="H134" i="25"/>
  <c r="I134" i="25"/>
  <c r="K134" i="25"/>
  <c r="L134" i="25"/>
  <c r="M134" i="25"/>
  <c r="N134" i="25"/>
  <c r="A135" i="25"/>
  <c r="B135" i="25"/>
  <c r="C135" i="25"/>
  <c r="D135" i="25"/>
  <c r="E135" i="25"/>
  <c r="G135" i="25"/>
  <c r="H135" i="25"/>
  <c r="I135" i="25"/>
  <c r="K135" i="25"/>
  <c r="L135" i="25"/>
  <c r="M135" i="25"/>
  <c r="N135" i="25"/>
  <c r="A136" i="25"/>
  <c r="B136" i="25"/>
  <c r="C136" i="25"/>
  <c r="D136" i="25"/>
  <c r="E136" i="25"/>
  <c r="F136" i="25"/>
  <c r="G136" i="25"/>
  <c r="H136" i="25"/>
  <c r="I136" i="25"/>
  <c r="K136" i="25"/>
  <c r="L136" i="25"/>
  <c r="M136" i="25"/>
  <c r="N136" i="25"/>
  <c r="B138" i="25"/>
  <c r="C138" i="25"/>
  <c r="E138" i="25"/>
  <c r="F138" i="25"/>
  <c r="G138" i="25"/>
  <c r="H138" i="25"/>
  <c r="I138" i="25"/>
  <c r="K138" i="25"/>
  <c r="L138" i="25"/>
  <c r="M138" i="25"/>
  <c r="N138" i="25"/>
  <c r="A139" i="25"/>
  <c r="B139" i="25"/>
  <c r="C139" i="25"/>
  <c r="D139" i="25"/>
  <c r="E139" i="25"/>
  <c r="F139" i="25"/>
  <c r="G139" i="25"/>
  <c r="H139" i="25"/>
  <c r="I139" i="25"/>
  <c r="K139" i="25"/>
  <c r="L139" i="25"/>
  <c r="M139" i="25"/>
  <c r="N139" i="25"/>
  <c r="A140" i="25"/>
  <c r="B140" i="25"/>
  <c r="C140" i="25"/>
  <c r="D140" i="25"/>
  <c r="E140" i="25"/>
  <c r="F140" i="25"/>
  <c r="G140" i="25"/>
  <c r="H140" i="25"/>
  <c r="I140" i="25"/>
  <c r="J140" i="25"/>
  <c r="L140" i="25"/>
  <c r="M140" i="25"/>
  <c r="N140" i="25"/>
  <c r="A141" i="25"/>
  <c r="B141" i="25"/>
  <c r="C141" i="25"/>
  <c r="D141" i="25"/>
  <c r="E141" i="25"/>
  <c r="F141" i="25"/>
  <c r="G141" i="25"/>
  <c r="H141" i="25"/>
  <c r="I141" i="25"/>
  <c r="K141" i="25"/>
  <c r="L141" i="25"/>
  <c r="M141" i="25"/>
  <c r="N141" i="25"/>
  <c r="A142" i="25"/>
  <c r="B142" i="25"/>
  <c r="C142" i="25"/>
  <c r="D142" i="25"/>
  <c r="E142" i="25"/>
  <c r="F142" i="25"/>
  <c r="G142" i="25"/>
  <c r="H142" i="25"/>
  <c r="I142" i="25"/>
  <c r="J142" i="25"/>
  <c r="L142" i="25"/>
  <c r="M142" i="25"/>
  <c r="N142" i="25"/>
  <c r="B143" i="25"/>
  <c r="C143" i="25"/>
  <c r="D143" i="25"/>
  <c r="E143" i="25"/>
  <c r="F143" i="25"/>
  <c r="G143" i="25"/>
  <c r="H143" i="25"/>
  <c r="I143" i="25"/>
  <c r="K143" i="25"/>
  <c r="L143" i="25"/>
  <c r="M143" i="25"/>
  <c r="N143" i="25"/>
  <c r="B144" i="25"/>
  <c r="C144" i="25"/>
  <c r="D144" i="25"/>
  <c r="E144" i="25"/>
  <c r="F144" i="25"/>
  <c r="G144" i="25"/>
  <c r="H144" i="25"/>
  <c r="I144" i="25"/>
  <c r="J144" i="25"/>
  <c r="L144" i="25"/>
  <c r="M144" i="25"/>
  <c r="N144" i="25"/>
  <c r="A145" i="25"/>
  <c r="B145" i="25"/>
  <c r="C145" i="25"/>
  <c r="D145" i="25"/>
  <c r="E145" i="25"/>
  <c r="F145" i="25"/>
  <c r="G145" i="25"/>
  <c r="H145" i="25"/>
  <c r="I145" i="25"/>
  <c r="K145" i="25"/>
  <c r="L145" i="25"/>
  <c r="M145" i="25"/>
  <c r="N145" i="25"/>
  <c r="A146" i="25"/>
  <c r="B146" i="25"/>
  <c r="C146" i="25"/>
  <c r="D146" i="25"/>
  <c r="E146" i="25"/>
  <c r="F146" i="25"/>
  <c r="G146" i="25"/>
  <c r="H146" i="25"/>
  <c r="I146" i="25"/>
  <c r="J146" i="25"/>
  <c r="L146" i="25"/>
  <c r="M146" i="25"/>
  <c r="N146" i="25"/>
  <c r="A147" i="25"/>
  <c r="B147" i="25"/>
  <c r="C147" i="25"/>
  <c r="D147" i="25"/>
  <c r="E147" i="25"/>
  <c r="F147" i="25"/>
  <c r="G147" i="25"/>
  <c r="H147" i="25"/>
  <c r="I147" i="25"/>
  <c r="K147" i="25"/>
  <c r="L147" i="25"/>
  <c r="M147" i="25"/>
  <c r="N147" i="25"/>
  <c r="A148" i="25"/>
  <c r="B148" i="25"/>
  <c r="C148" i="25"/>
  <c r="D148" i="25"/>
  <c r="E148" i="25"/>
  <c r="F148" i="25"/>
  <c r="G148" i="25"/>
  <c r="H148" i="25"/>
  <c r="I148" i="25"/>
  <c r="K148" i="25"/>
  <c r="L148" i="25"/>
  <c r="M148" i="25"/>
  <c r="N148" i="25"/>
  <c r="A149" i="25"/>
  <c r="B149" i="25"/>
  <c r="C149" i="25"/>
  <c r="D149" i="25"/>
  <c r="E149" i="25"/>
  <c r="G149" i="25"/>
  <c r="H149" i="25"/>
  <c r="I149" i="25"/>
  <c r="K149" i="25"/>
  <c r="L149" i="25"/>
  <c r="M149" i="25"/>
  <c r="N149" i="25"/>
  <c r="A150" i="25"/>
  <c r="B150" i="25"/>
  <c r="C150" i="25"/>
  <c r="D150" i="25"/>
  <c r="E150" i="25"/>
  <c r="F150" i="25"/>
  <c r="G150" i="25"/>
  <c r="H150" i="25"/>
  <c r="I150" i="25"/>
  <c r="J150" i="25"/>
  <c r="L150" i="25"/>
  <c r="M150" i="25"/>
  <c r="N150" i="25"/>
  <c r="A151" i="25"/>
  <c r="B151" i="25"/>
  <c r="C151" i="25"/>
  <c r="D151" i="25"/>
  <c r="E151" i="25"/>
  <c r="F151" i="25"/>
  <c r="G151" i="25"/>
  <c r="H151" i="25"/>
  <c r="I151" i="25"/>
  <c r="J151" i="25"/>
  <c r="K151" i="25"/>
  <c r="M151" i="25"/>
  <c r="N151" i="25"/>
  <c r="A152" i="25"/>
  <c r="B152" i="25"/>
  <c r="C152" i="25"/>
  <c r="D152" i="25"/>
  <c r="E152" i="25"/>
  <c r="F152" i="25"/>
  <c r="G152" i="25"/>
  <c r="I152" i="25"/>
  <c r="J152" i="25"/>
  <c r="K152" i="25"/>
  <c r="M152" i="25"/>
  <c r="N152" i="25"/>
  <c r="B153" i="25"/>
  <c r="C153" i="25"/>
  <c r="E153" i="25"/>
  <c r="F153" i="25"/>
  <c r="G153" i="25"/>
  <c r="H153" i="25"/>
  <c r="I153" i="25"/>
  <c r="J153" i="25"/>
  <c r="K153" i="25"/>
  <c r="M153" i="25"/>
  <c r="N153" i="25"/>
  <c r="A154" i="25"/>
  <c r="B154" i="25"/>
  <c r="C154" i="25"/>
  <c r="D154" i="25"/>
  <c r="F154" i="25"/>
  <c r="G154" i="25"/>
  <c r="H154" i="25"/>
  <c r="I154" i="25"/>
  <c r="J154" i="25"/>
  <c r="L154" i="25"/>
  <c r="M154" i="25"/>
  <c r="N154" i="25"/>
  <c r="A155" i="25"/>
  <c r="B155" i="25"/>
  <c r="C155" i="25"/>
  <c r="D155" i="25"/>
  <c r="Q155" i="25" s="1"/>
  <c r="E155" i="25"/>
  <c r="R155" i="25" s="1"/>
  <c r="F155" i="25"/>
  <c r="G155" i="25"/>
  <c r="H155" i="25"/>
  <c r="I155" i="25"/>
  <c r="J155" i="25"/>
  <c r="L155" i="25"/>
  <c r="M155" i="25"/>
  <c r="N155" i="25"/>
  <c r="A156" i="25"/>
  <c r="B156" i="25"/>
  <c r="C156" i="25"/>
  <c r="D156" i="25"/>
  <c r="Q156" i="25" s="1"/>
  <c r="E156" i="25"/>
  <c r="F156" i="25"/>
  <c r="G156" i="25"/>
  <c r="H156" i="25"/>
  <c r="I156" i="25"/>
  <c r="K156" i="25"/>
  <c r="L156" i="25"/>
  <c r="M156" i="25"/>
  <c r="N156" i="25"/>
  <c r="A157" i="25"/>
  <c r="B157" i="25"/>
  <c r="C157" i="25"/>
  <c r="D157" i="25"/>
  <c r="Q157" i="25" s="1"/>
  <c r="E157" i="25"/>
  <c r="R157" i="25" s="1"/>
  <c r="F157" i="25"/>
  <c r="H157" i="25"/>
  <c r="I157" i="25"/>
  <c r="J157" i="25"/>
  <c r="L157" i="25"/>
  <c r="M157" i="25"/>
  <c r="N157" i="25"/>
  <c r="A158" i="25"/>
  <c r="B158" i="25"/>
  <c r="C158" i="25"/>
  <c r="D158" i="25"/>
  <c r="Q158" i="25" s="1"/>
  <c r="E158" i="25"/>
  <c r="G158" i="25"/>
  <c r="H158" i="25"/>
  <c r="I158" i="25"/>
  <c r="K158" i="25"/>
  <c r="L158" i="25"/>
  <c r="M158" i="25"/>
  <c r="N158" i="25"/>
  <c r="A159" i="25"/>
  <c r="B159" i="25"/>
  <c r="C159" i="25"/>
  <c r="D159" i="25"/>
  <c r="Q159" i="25" s="1"/>
  <c r="E159" i="25"/>
  <c r="R159" i="25" s="1"/>
  <c r="F159" i="25"/>
  <c r="G159" i="25"/>
  <c r="H159" i="25"/>
  <c r="I159" i="25"/>
  <c r="K159" i="25"/>
  <c r="L159" i="25"/>
  <c r="M159" i="25"/>
  <c r="N159" i="25"/>
  <c r="A160" i="25"/>
  <c r="B160" i="25"/>
  <c r="C160" i="25"/>
  <c r="D160" i="25"/>
  <c r="Q160" i="25" s="1"/>
  <c r="E160" i="25"/>
  <c r="R160" i="25" s="1"/>
  <c r="F160" i="25"/>
  <c r="G160" i="25"/>
  <c r="H160" i="25"/>
  <c r="I160" i="25"/>
  <c r="J160" i="25"/>
  <c r="L160" i="25"/>
  <c r="M160" i="25"/>
  <c r="N160" i="25"/>
  <c r="A161" i="25"/>
  <c r="B161" i="25"/>
  <c r="C161" i="25"/>
  <c r="D161" i="25"/>
  <c r="Q161" i="25" s="1"/>
  <c r="E161" i="25"/>
  <c r="R161" i="25" s="1"/>
  <c r="F161" i="25"/>
  <c r="G161" i="25"/>
  <c r="H161" i="25"/>
  <c r="I161" i="25"/>
  <c r="J161" i="25"/>
  <c r="K161" i="25"/>
  <c r="L161" i="25"/>
  <c r="N161" i="25"/>
  <c r="A162" i="25"/>
  <c r="B162" i="25"/>
  <c r="C162" i="25"/>
  <c r="E162" i="25"/>
  <c r="R162" i="25" s="1"/>
  <c r="F162" i="25"/>
  <c r="G162" i="25"/>
  <c r="H162" i="25"/>
  <c r="I162" i="25"/>
  <c r="K162" i="25"/>
  <c r="L162" i="25"/>
  <c r="M162" i="25"/>
  <c r="N162" i="25"/>
  <c r="A163" i="25"/>
  <c r="B163" i="25"/>
  <c r="C163" i="25"/>
  <c r="E163" i="25"/>
  <c r="R163" i="25" s="1"/>
  <c r="F163" i="25"/>
  <c r="G163" i="25"/>
  <c r="H163" i="25"/>
  <c r="I163" i="25"/>
  <c r="K163" i="25"/>
  <c r="L163" i="25"/>
  <c r="M163" i="25"/>
  <c r="N163" i="25"/>
  <c r="A164" i="25"/>
  <c r="B164" i="25"/>
  <c r="C164" i="25"/>
  <c r="E164" i="25"/>
  <c r="R164" i="25" s="1"/>
  <c r="F164" i="25"/>
  <c r="G164" i="25"/>
  <c r="H164" i="25"/>
  <c r="I164" i="25"/>
  <c r="K164" i="25"/>
  <c r="L164" i="25"/>
  <c r="M164" i="25"/>
  <c r="N164" i="25"/>
  <c r="A165" i="25"/>
  <c r="B165" i="25"/>
  <c r="E165" i="25"/>
  <c r="R165" i="25" s="1"/>
  <c r="F165" i="25"/>
  <c r="G165" i="25"/>
  <c r="H165" i="25"/>
  <c r="I165" i="25"/>
  <c r="J165" i="25"/>
  <c r="L165" i="25"/>
  <c r="M165" i="25"/>
  <c r="N165" i="25"/>
  <c r="A166" i="25"/>
  <c r="B166" i="25"/>
  <c r="E166" i="25"/>
  <c r="R166" i="25" s="1"/>
  <c r="F166" i="25"/>
  <c r="G166" i="25"/>
  <c r="H166" i="25"/>
  <c r="I166" i="25"/>
  <c r="K166" i="25"/>
  <c r="L166" i="25"/>
  <c r="M166" i="25"/>
  <c r="N166" i="25"/>
  <c r="A167" i="25"/>
  <c r="B167" i="25"/>
  <c r="E167" i="25"/>
  <c r="R167" i="25" s="1"/>
  <c r="F167" i="25"/>
  <c r="G167" i="25"/>
  <c r="H167" i="25"/>
  <c r="I167" i="25"/>
  <c r="J167" i="25"/>
  <c r="L167" i="25"/>
  <c r="M167" i="25"/>
  <c r="N167" i="25"/>
  <c r="A168" i="25"/>
  <c r="B168" i="25"/>
  <c r="E168" i="25"/>
  <c r="R168" i="25" s="1"/>
  <c r="F168" i="25"/>
  <c r="G168" i="25"/>
  <c r="H168" i="25"/>
  <c r="I168" i="25"/>
  <c r="K168" i="25"/>
  <c r="L168" i="25"/>
  <c r="M168" i="25"/>
  <c r="N168" i="25"/>
  <c r="A169" i="25"/>
  <c r="B169" i="25"/>
  <c r="E169" i="25"/>
  <c r="R169" i="25" s="1"/>
  <c r="F169" i="25"/>
  <c r="G169" i="25"/>
  <c r="H169" i="25"/>
  <c r="I169" i="25"/>
  <c r="J169" i="25"/>
  <c r="L169" i="25"/>
  <c r="M169" i="25"/>
  <c r="N169" i="25"/>
  <c r="A170" i="25"/>
  <c r="B170" i="25"/>
  <c r="C170" i="25"/>
  <c r="D170" i="25"/>
  <c r="Q170" i="25" s="1"/>
  <c r="E170" i="25"/>
  <c r="R170" i="25" s="1"/>
  <c r="F170" i="25"/>
  <c r="G170" i="25"/>
  <c r="H170" i="25"/>
  <c r="I170" i="25"/>
  <c r="J170" i="25"/>
  <c r="K170" i="25"/>
  <c r="L170" i="25"/>
  <c r="N170" i="25"/>
  <c r="A171" i="25"/>
  <c r="B171" i="25"/>
  <c r="C171" i="25"/>
  <c r="D171" i="25"/>
  <c r="Q171" i="25" s="1"/>
  <c r="E171" i="25"/>
  <c r="R171" i="25" s="1"/>
  <c r="F171" i="25"/>
  <c r="G171" i="25"/>
  <c r="H171" i="25"/>
  <c r="I171" i="25"/>
  <c r="J171" i="25"/>
  <c r="K171" i="25"/>
  <c r="L171" i="25"/>
  <c r="M171" i="25"/>
  <c r="N171" i="25"/>
  <c r="A172" i="25"/>
  <c r="B172" i="25"/>
  <c r="C172" i="25"/>
  <c r="D172" i="25"/>
  <c r="Q172" i="25" s="1"/>
  <c r="E172" i="25"/>
  <c r="R172" i="25" s="1"/>
  <c r="G172" i="25"/>
  <c r="H172" i="25"/>
  <c r="I172" i="25"/>
  <c r="K172" i="25"/>
  <c r="L172" i="25"/>
  <c r="M172" i="25"/>
  <c r="N172" i="25"/>
  <c r="A174" i="25"/>
  <c r="B174" i="25"/>
  <c r="C174" i="25"/>
  <c r="D174" i="25"/>
  <c r="Q174" i="25" s="1"/>
  <c r="E174" i="25"/>
  <c r="R174" i="25" s="1"/>
  <c r="F174" i="25"/>
  <c r="G174" i="25"/>
  <c r="H174" i="25"/>
  <c r="I174" i="25"/>
  <c r="K174" i="25"/>
  <c r="L174" i="25"/>
  <c r="M174" i="25"/>
  <c r="N174" i="25"/>
  <c r="A175" i="25"/>
  <c r="B175" i="25"/>
  <c r="C175" i="25"/>
  <c r="D175" i="25"/>
  <c r="Q175" i="25" s="1"/>
  <c r="E175" i="25"/>
  <c r="R175" i="25" s="1"/>
  <c r="F175" i="25"/>
  <c r="G175" i="25"/>
  <c r="H175" i="25"/>
  <c r="I175" i="25"/>
  <c r="K175" i="25"/>
  <c r="L175" i="25"/>
  <c r="M175" i="25"/>
  <c r="N175" i="25"/>
  <c r="A176" i="25"/>
  <c r="B176" i="25"/>
  <c r="C176" i="25"/>
  <c r="D176" i="25"/>
  <c r="Q176" i="25" s="1"/>
  <c r="E176" i="25"/>
  <c r="R176" i="25" s="1"/>
  <c r="F176" i="25"/>
  <c r="G176" i="25"/>
  <c r="H176" i="25"/>
  <c r="I176" i="25"/>
  <c r="J176" i="25"/>
  <c r="L176" i="25"/>
  <c r="M176" i="25"/>
  <c r="N176" i="25"/>
  <c r="A177" i="25"/>
  <c r="B177" i="25"/>
  <c r="C177" i="25"/>
  <c r="D177" i="25"/>
  <c r="Q177" i="25" s="1"/>
  <c r="E177" i="25"/>
  <c r="R177" i="25" s="1"/>
  <c r="F177" i="25"/>
  <c r="G177" i="25"/>
  <c r="H177" i="25"/>
  <c r="I177" i="25"/>
  <c r="K177" i="25"/>
  <c r="L177" i="25"/>
  <c r="M177" i="25"/>
  <c r="N177" i="25"/>
  <c r="A178" i="25"/>
  <c r="B178" i="25"/>
  <c r="C178" i="25"/>
  <c r="D178" i="25"/>
  <c r="Q178" i="25" s="1"/>
  <c r="E178" i="25"/>
  <c r="R178" i="25" s="1"/>
  <c r="G178" i="25"/>
  <c r="H178" i="25"/>
  <c r="I178" i="25"/>
  <c r="K178" i="25"/>
  <c r="L178" i="25"/>
  <c r="M178" i="25"/>
  <c r="N178" i="25"/>
  <c r="A179" i="25"/>
  <c r="B179" i="25"/>
  <c r="C179" i="25"/>
  <c r="D179" i="25"/>
  <c r="Q179" i="25" s="1"/>
  <c r="E179" i="25"/>
  <c r="R179" i="25" s="1"/>
  <c r="F179" i="25"/>
  <c r="G179" i="25"/>
  <c r="H179" i="25"/>
  <c r="I179" i="25"/>
  <c r="K179" i="25"/>
  <c r="L179" i="25"/>
  <c r="M179" i="25"/>
  <c r="N179" i="25"/>
  <c r="A180" i="25"/>
  <c r="B180" i="25"/>
  <c r="C180" i="25"/>
  <c r="D180" i="25"/>
  <c r="Q180" i="25" s="1"/>
  <c r="E180" i="25"/>
  <c r="R180" i="25" s="1"/>
  <c r="F180" i="25"/>
  <c r="G180" i="25"/>
  <c r="H180" i="25"/>
  <c r="I180" i="25"/>
  <c r="K180" i="25"/>
  <c r="L180" i="25"/>
  <c r="M180" i="25"/>
  <c r="N180" i="25"/>
  <c r="B181" i="25"/>
  <c r="C181" i="25"/>
  <c r="D181" i="25"/>
  <c r="Q181" i="25" s="1"/>
  <c r="E181" i="25"/>
  <c r="R181" i="25" s="1"/>
  <c r="G181" i="25"/>
  <c r="H181" i="25"/>
  <c r="I181" i="25"/>
  <c r="K181" i="25"/>
  <c r="L181" i="25"/>
  <c r="M181" i="25"/>
  <c r="N181" i="25"/>
  <c r="A182" i="25"/>
  <c r="B182" i="25"/>
  <c r="C182" i="25"/>
  <c r="D182" i="25"/>
  <c r="Q182" i="25" s="1"/>
  <c r="E182" i="25"/>
  <c r="R182" i="25" s="1"/>
  <c r="G182" i="25"/>
  <c r="H182" i="25"/>
  <c r="I182" i="25"/>
  <c r="K182" i="25"/>
  <c r="L182" i="25"/>
  <c r="M182" i="25"/>
  <c r="N182" i="25"/>
  <c r="A183" i="25"/>
  <c r="B183" i="25"/>
  <c r="C183" i="25"/>
  <c r="D183" i="25"/>
  <c r="Q183" i="25" s="1"/>
  <c r="E183" i="25"/>
  <c r="R183" i="25" s="1"/>
  <c r="F183" i="25"/>
  <c r="G183" i="25"/>
  <c r="H183" i="25"/>
  <c r="I183" i="25"/>
  <c r="K183" i="25"/>
  <c r="L183" i="25"/>
  <c r="M183" i="25"/>
  <c r="N183" i="25"/>
  <c r="A184" i="25"/>
  <c r="B184" i="25"/>
  <c r="C184" i="25"/>
  <c r="D184" i="25"/>
  <c r="Q184" i="25" s="1"/>
  <c r="E184" i="25"/>
  <c r="R184" i="25" s="1"/>
  <c r="F184" i="25"/>
  <c r="G184" i="25"/>
  <c r="H184" i="25"/>
  <c r="I184" i="25"/>
  <c r="J184" i="25"/>
  <c r="L184" i="25"/>
  <c r="M184" i="25"/>
  <c r="N184" i="25"/>
  <c r="A185" i="25"/>
  <c r="B185" i="25"/>
  <c r="C185" i="25"/>
  <c r="E185" i="25"/>
  <c r="R185" i="25" s="1"/>
  <c r="F185" i="25"/>
  <c r="G185" i="25"/>
  <c r="H185" i="25"/>
  <c r="I185" i="25"/>
  <c r="K185" i="25"/>
  <c r="L185" i="25"/>
  <c r="M185" i="25"/>
  <c r="N185" i="25"/>
  <c r="A186" i="25"/>
  <c r="B186" i="25"/>
  <c r="C186" i="25"/>
  <c r="E186" i="25"/>
  <c r="R186" i="25" s="1"/>
  <c r="F186" i="25"/>
  <c r="G186" i="25"/>
  <c r="H186" i="25"/>
  <c r="I186" i="25"/>
  <c r="J186" i="25"/>
  <c r="L186" i="25"/>
  <c r="M186" i="25"/>
  <c r="N186" i="25"/>
  <c r="A187" i="25"/>
  <c r="B187" i="25"/>
  <c r="C187" i="25"/>
  <c r="E187" i="25"/>
  <c r="R187" i="25" s="1"/>
  <c r="F187" i="25"/>
  <c r="G187" i="25"/>
  <c r="H187" i="25"/>
  <c r="I187" i="25"/>
  <c r="J187" i="25"/>
  <c r="K187" i="25"/>
  <c r="L187" i="25"/>
  <c r="N187" i="25"/>
  <c r="A188" i="25"/>
  <c r="B188" i="25"/>
  <c r="C188" i="25"/>
  <c r="E188" i="25"/>
  <c r="R188" i="25" s="1"/>
  <c r="F188" i="25"/>
  <c r="G188" i="25"/>
  <c r="H188" i="25"/>
  <c r="I188" i="25"/>
  <c r="K188" i="25"/>
  <c r="L188" i="25"/>
  <c r="M188" i="25"/>
  <c r="N188" i="25"/>
  <c r="A189" i="25"/>
  <c r="B189" i="25"/>
  <c r="C189" i="25"/>
  <c r="D189" i="25"/>
  <c r="Q189" i="25" s="1"/>
  <c r="E189" i="25"/>
  <c r="R189" i="25" s="1"/>
  <c r="F189" i="25"/>
  <c r="G189" i="25"/>
  <c r="H189" i="25"/>
  <c r="I189" i="25"/>
  <c r="K189" i="25"/>
  <c r="L189" i="25"/>
  <c r="M189" i="25"/>
  <c r="N189" i="25"/>
  <c r="A190" i="25"/>
  <c r="B190" i="25"/>
  <c r="C190" i="25"/>
  <c r="E190" i="25"/>
  <c r="R190" i="25" s="1"/>
  <c r="F190" i="25"/>
  <c r="G190" i="25"/>
  <c r="H190" i="25"/>
  <c r="I190" i="25"/>
  <c r="K190" i="25"/>
  <c r="L190" i="25"/>
  <c r="M190" i="25"/>
  <c r="N190" i="25"/>
  <c r="A191" i="25"/>
  <c r="B191" i="25"/>
  <c r="C191" i="25"/>
  <c r="E191" i="25"/>
  <c r="R191" i="25" s="1"/>
  <c r="F191" i="25"/>
  <c r="G191" i="25"/>
  <c r="H191" i="25"/>
  <c r="I191" i="25"/>
  <c r="J191" i="25"/>
  <c r="L191" i="25"/>
  <c r="M191" i="25"/>
  <c r="N191" i="25"/>
  <c r="A192" i="25"/>
  <c r="B192" i="25"/>
  <c r="C192" i="25"/>
  <c r="E192" i="25"/>
  <c r="R192" i="25" s="1"/>
  <c r="F192" i="25"/>
  <c r="G192" i="25"/>
  <c r="H192" i="25"/>
  <c r="I192" i="25"/>
  <c r="K192" i="25"/>
  <c r="L192" i="25"/>
  <c r="M192" i="25"/>
  <c r="N192" i="25"/>
  <c r="A193" i="25"/>
  <c r="B193" i="25"/>
  <c r="C193" i="25"/>
  <c r="E193" i="25"/>
  <c r="R193" i="25" s="1"/>
  <c r="F193" i="25"/>
  <c r="G193" i="25"/>
  <c r="H193" i="25"/>
  <c r="I193" i="25"/>
  <c r="J193" i="25"/>
  <c r="L193" i="25"/>
  <c r="M193" i="25"/>
  <c r="N193" i="25"/>
  <c r="A194" i="25"/>
  <c r="B194" i="25"/>
  <c r="C194" i="25"/>
  <c r="E194" i="25"/>
  <c r="R194" i="25" s="1"/>
  <c r="F194" i="25"/>
  <c r="G194" i="25"/>
  <c r="H194" i="25"/>
  <c r="I194" i="25"/>
  <c r="J194" i="25"/>
  <c r="K194" i="25"/>
  <c r="L194" i="25"/>
  <c r="N194" i="25"/>
  <c r="A195" i="25"/>
  <c r="B195" i="25"/>
  <c r="C195" i="25"/>
  <c r="E195" i="25"/>
  <c r="R195" i="25" s="1"/>
  <c r="F195" i="25"/>
  <c r="G195" i="25"/>
  <c r="H195" i="25"/>
  <c r="I195" i="25"/>
  <c r="K195" i="25"/>
  <c r="L195" i="25"/>
  <c r="M195" i="25"/>
  <c r="N195" i="25"/>
  <c r="A196" i="25"/>
  <c r="B196" i="25"/>
  <c r="C196" i="25"/>
  <c r="E196" i="25"/>
  <c r="R196" i="25" s="1"/>
  <c r="F196" i="25"/>
  <c r="G196" i="25"/>
  <c r="H196" i="25"/>
  <c r="I196" i="25"/>
  <c r="J196" i="25"/>
  <c r="L196" i="25"/>
  <c r="M196" i="25"/>
  <c r="N196" i="25"/>
  <c r="A197" i="25"/>
  <c r="B197" i="25"/>
  <c r="C197" i="25"/>
  <c r="D197" i="25"/>
  <c r="Q197" i="25" s="1"/>
  <c r="E197" i="25"/>
  <c r="R197" i="25" s="1"/>
  <c r="F197" i="25"/>
  <c r="G197" i="25"/>
  <c r="H197" i="25"/>
  <c r="I197" i="25"/>
  <c r="K197" i="25"/>
  <c r="L197" i="25"/>
  <c r="M197" i="25"/>
  <c r="N197" i="25"/>
  <c r="B198" i="25"/>
  <c r="C198" i="25"/>
  <c r="D198" i="25"/>
  <c r="Q198" i="25" s="1"/>
  <c r="E198" i="25"/>
  <c r="R198" i="25" s="1"/>
  <c r="F198" i="25"/>
  <c r="G198" i="25"/>
  <c r="H198" i="25"/>
  <c r="I198" i="25"/>
  <c r="K198" i="25"/>
  <c r="L198" i="25"/>
  <c r="M198" i="25"/>
  <c r="N198" i="25"/>
  <c r="B199" i="25"/>
  <c r="C199" i="25"/>
  <c r="D199" i="25"/>
  <c r="Q199" i="25" s="1"/>
  <c r="E199" i="25"/>
  <c r="R199" i="25" s="1"/>
  <c r="F199" i="25"/>
  <c r="G199" i="25"/>
  <c r="H199" i="25"/>
  <c r="I199" i="25"/>
  <c r="J199" i="25"/>
  <c r="L199" i="25"/>
  <c r="M199" i="25"/>
  <c r="N199" i="25"/>
  <c r="B200" i="25"/>
  <c r="C200" i="25"/>
  <c r="D200" i="25"/>
  <c r="Q200" i="25" s="1"/>
  <c r="E200" i="25"/>
  <c r="R200" i="25" s="1"/>
  <c r="F200" i="25"/>
  <c r="G200" i="25"/>
  <c r="H200" i="25"/>
  <c r="I200" i="25"/>
  <c r="J200" i="25"/>
  <c r="K200" i="25"/>
  <c r="L200" i="25"/>
  <c r="N200" i="25"/>
  <c r="A201" i="25"/>
  <c r="B201" i="25"/>
  <c r="C201" i="25"/>
  <c r="E201" i="25"/>
  <c r="R201" i="25" s="1"/>
  <c r="F201" i="25"/>
  <c r="G201" i="25"/>
  <c r="H201" i="25"/>
  <c r="I201" i="25"/>
  <c r="K201" i="25"/>
  <c r="L201" i="25"/>
  <c r="M201" i="25"/>
  <c r="N201" i="25"/>
  <c r="A202" i="25"/>
  <c r="B202" i="25"/>
  <c r="C202" i="25"/>
  <c r="E202" i="25"/>
  <c r="R202" i="25" s="1"/>
  <c r="F202" i="25"/>
  <c r="G202" i="25"/>
  <c r="H202" i="25"/>
  <c r="I202" i="25"/>
  <c r="J202" i="25"/>
  <c r="L202" i="25"/>
  <c r="M202" i="25"/>
  <c r="N202" i="25"/>
  <c r="A203" i="25"/>
  <c r="B203" i="25"/>
  <c r="C203" i="25"/>
  <c r="E203" i="25"/>
  <c r="R203" i="25" s="1"/>
  <c r="F203" i="25"/>
  <c r="G203" i="25"/>
  <c r="H203" i="25"/>
  <c r="I203" i="25"/>
  <c r="J203" i="25"/>
  <c r="K203" i="25"/>
  <c r="L203" i="25"/>
  <c r="N203" i="25"/>
  <c r="A204" i="25"/>
  <c r="B204" i="25"/>
  <c r="C204" i="25"/>
  <c r="E204" i="25"/>
  <c r="R204" i="25" s="1"/>
  <c r="F204" i="25"/>
  <c r="G204" i="25"/>
  <c r="H204" i="25"/>
  <c r="I204" i="25"/>
  <c r="K204" i="25"/>
  <c r="L204" i="25"/>
  <c r="M204" i="25"/>
  <c r="N204" i="25"/>
  <c r="A205" i="25"/>
  <c r="B205" i="25"/>
  <c r="C205" i="25"/>
  <c r="E205" i="25"/>
  <c r="R205" i="25" s="1"/>
  <c r="F205" i="25"/>
  <c r="G205" i="25"/>
  <c r="H205" i="25"/>
  <c r="I205" i="25"/>
  <c r="J205" i="25"/>
  <c r="L205" i="25"/>
  <c r="M205" i="25"/>
  <c r="N205" i="25"/>
  <c r="A206" i="25"/>
  <c r="B206" i="25"/>
  <c r="C206" i="25"/>
  <c r="E206" i="25"/>
  <c r="R206" i="25" s="1"/>
  <c r="F206" i="25"/>
  <c r="G206" i="25"/>
  <c r="H206" i="25"/>
  <c r="I206" i="25"/>
  <c r="K206" i="25"/>
  <c r="L206" i="25"/>
  <c r="M206" i="25"/>
  <c r="N206" i="25"/>
  <c r="A207" i="25"/>
  <c r="B207" i="25"/>
  <c r="C207" i="25"/>
  <c r="E207" i="25"/>
  <c r="R207" i="25" s="1"/>
  <c r="F207" i="25"/>
  <c r="G207" i="25"/>
  <c r="H207" i="25"/>
  <c r="I207" i="25"/>
  <c r="J207" i="25"/>
  <c r="L207" i="25"/>
  <c r="M207" i="25"/>
  <c r="N207" i="25"/>
  <c r="A208" i="25"/>
  <c r="B208" i="25"/>
  <c r="C208" i="25"/>
  <c r="D208" i="25"/>
  <c r="Q208" i="25" s="1"/>
  <c r="E208" i="25"/>
  <c r="R208" i="25" s="1"/>
  <c r="F208" i="25"/>
  <c r="G208" i="25"/>
  <c r="H208" i="25"/>
  <c r="I208" i="25"/>
  <c r="K208" i="25"/>
  <c r="L208" i="25"/>
  <c r="M208" i="25"/>
  <c r="N208" i="25"/>
  <c r="A209" i="25"/>
  <c r="B209" i="25"/>
  <c r="C209" i="25"/>
  <c r="D209" i="25"/>
  <c r="Q209" i="25" s="1"/>
  <c r="E209" i="25"/>
  <c r="R209" i="25" s="1"/>
  <c r="G209" i="25"/>
  <c r="H209" i="25"/>
  <c r="I209" i="25"/>
  <c r="K209" i="25"/>
  <c r="L209" i="25"/>
  <c r="M209" i="25"/>
  <c r="N209" i="25"/>
  <c r="B210" i="25"/>
  <c r="C210" i="25"/>
  <c r="D210" i="25"/>
  <c r="Q210" i="25" s="1"/>
  <c r="E210" i="25"/>
  <c r="R210" i="25" s="1"/>
  <c r="G210" i="25"/>
  <c r="H210" i="25"/>
  <c r="I210" i="25"/>
  <c r="K210" i="25"/>
  <c r="L210" i="25"/>
  <c r="M210" i="25"/>
  <c r="N210" i="25"/>
  <c r="B211" i="25"/>
  <c r="C211" i="25"/>
  <c r="D211" i="25"/>
  <c r="Q211" i="25" s="1"/>
  <c r="E211" i="25"/>
  <c r="R211" i="25" s="1"/>
  <c r="F211" i="25"/>
  <c r="G211" i="25"/>
  <c r="H211" i="25"/>
  <c r="I211" i="25"/>
  <c r="K211" i="25"/>
  <c r="L211" i="25"/>
  <c r="M211" i="25"/>
  <c r="N211" i="25"/>
  <c r="B212" i="25"/>
  <c r="C212" i="25"/>
  <c r="E212" i="25"/>
  <c r="R212" i="25" s="1"/>
  <c r="F212" i="25"/>
  <c r="G212" i="25"/>
  <c r="H212" i="25"/>
  <c r="I212" i="25"/>
  <c r="K212" i="25"/>
  <c r="L212" i="25"/>
  <c r="M212" i="25"/>
  <c r="N212" i="25"/>
  <c r="B213" i="25"/>
  <c r="C213" i="25"/>
  <c r="E213" i="25"/>
  <c r="R213" i="25" s="1"/>
  <c r="G213" i="25"/>
  <c r="H213" i="25"/>
  <c r="I213" i="25"/>
  <c r="K213" i="25"/>
  <c r="L213" i="25"/>
  <c r="M213" i="25"/>
  <c r="N213" i="25"/>
  <c r="B214" i="25"/>
  <c r="C214" i="25"/>
  <c r="E214" i="25"/>
  <c r="R214" i="25" s="1"/>
  <c r="F214" i="25"/>
  <c r="G214" i="25"/>
  <c r="H214" i="25"/>
  <c r="I214" i="25"/>
  <c r="K214" i="25"/>
  <c r="L214" i="25"/>
  <c r="M214" i="25"/>
  <c r="N214" i="25"/>
  <c r="A215" i="25"/>
  <c r="B215" i="25"/>
  <c r="C215" i="25"/>
  <c r="D215" i="25"/>
  <c r="Q215" i="25" s="1"/>
  <c r="E215" i="25"/>
  <c r="R215" i="25" s="1"/>
  <c r="F215" i="25"/>
  <c r="G215" i="25"/>
  <c r="H215" i="25"/>
  <c r="I215" i="25"/>
  <c r="K215" i="25"/>
  <c r="L215" i="25"/>
  <c r="M215" i="25"/>
  <c r="N215" i="25"/>
  <c r="K124" i="25"/>
  <c r="L124" i="25"/>
  <c r="M124" i="25"/>
  <c r="N124" i="25"/>
  <c r="B124" i="25"/>
  <c r="C124" i="25"/>
  <c r="D124" i="25"/>
  <c r="E124" i="25"/>
  <c r="F124" i="25"/>
  <c r="G124" i="25"/>
  <c r="H124" i="25"/>
  <c r="I124" i="25"/>
  <c r="A124" i="25"/>
  <c r="H50" i="21"/>
  <c r="C19" i="1"/>
  <c r="D19" i="1"/>
  <c r="E19" i="1"/>
  <c r="F19" i="1"/>
  <c r="B19" i="1"/>
  <c r="CR66" i="25"/>
  <c r="CR67" i="25"/>
  <c r="H49" i="21"/>
  <c r="H48" i="21"/>
  <c r="AL200" i="25" l="1"/>
  <c r="AK157" i="25"/>
  <c r="AQ200" i="25"/>
  <c r="AK184" i="25"/>
  <c r="AK68" i="25"/>
  <c r="AK183" i="25" s="1"/>
  <c r="AJ184" i="25"/>
  <c r="AJ68" i="25"/>
  <c r="AJ183" i="25" s="1"/>
  <c r="AI184" i="25"/>
  <c r="AI68" i="25"/>
  <c r="AG68" i="25"/>
  <c r="AG184" i="25"/>
  <c r="AF199" i="25"/>
  <c r="AF184" i="25"/>
  <c r="AF68" i="25"/>
  <c r="AB85" i="25"/>
  <c r="AB205" i="25"/>
  <c r="AK360" i="25"/>
  <c r="V19" i="29" s="1"/>
  <c r="AT370" i="25"/>
  <c r="AN372" i="25"/>
  <c r="AS360" i="25"/>
  <c r="AD19" i="29" s="1"/>
  <c r="BF368" i="25"/>
  <c r="BD372" i="25"/>
  <c r="BA360" i="25"/>
  <c r="AL19" i="29" s="1"/>
  <c r="AT366" i="25"/>
  <c r="AP368" i="25"/>
  <c r="AL370" i="25"/>
  <c r="AF372" i="25"/>
  <c r="AC360" i="25"/>
  <c r="N19" i="29" s="1"/>
  <c r="AH368" i="25"/>
  <c r="AD370" i="25"/>
  <c r="AD366" i="25"/>
  <c r="AX368" i="25"/>
  <c r="BB370" i="25"/>
  <c r="AV372" i="25"/>
  <c r="AL366" i="25"/>
  <c r="BB366" i="25"/>
  <c r="AJ360" i="25"/>
  <c r="U19" i="29" s="1"/>
  <c r="AT372" i="25"/>
  <c r="AR370" i="25"/>
  <c r="AN368" i="25"/>
  <c r="AJ366" i="25"/>
  <c r="BG370" i="25"/>
  <c r="BC368" i="25"/>
  <c r="AY366" i="25"/>
  <c r="AR372" i="25"/>
  <c r="AP370" i="25"/>
  <c r="AL368" i="25"/>
  <c r="AH366" i="25"/>
  <c r="BE366" i="25"/>
  <c r="AX372" i="25"/>
  <c r="AV370" i="25"/>
  <c r="AR368" i="25"/>
  <c r="AN366" i="25"/>
  <c r="AY368" i="25"/>
  <c r="AM366" i="25"/>
  <c r="AG372" i="25"/>
  <c r="AL372" i="25"/>
  <c r="AJ370" i="25"/>
  <c r="AF368" i="25"/>
  <c r="BG360" i="25"/>
  <c r="AR19" i="29" s="1"/>
  <c r="BA372" i="25"/>
  <c r="AY370" i="25"/>
  <c r="AU368" i="25"/>
  <c r="AQ366" i="25"/>
  <c r="AJ372" i="25"/>
  <c r="AH370" i="25"/>
  <c r="AD368" i="25"/>
  <c r="BE360" i="25"/>
  <c r="AP19" i="29" s="1"/>
  <c r="BG372" i="25"/>
  <c r="BE370" i="25"/>
  <c r="BA368" i="25"/>
  <c r="AW366" i="25"/>
  <c r="AP372" i="25"/>
  <c r="AN370" i="25"/>
  <c r="AJ368" i="25"/>
  <c r="AF366" i="25"/>
  <c r="BC370" i="25"/>
  <c r="AQ368" i="25"/>
  <c r="BB360" i="25"/>
  <c r="AM19" i="29" s="1"/>
  <c r="AX370" i="25"/>
  <c r="BD370" i="25"/>
  <c r="AE370" i="25"/>
  <c r="BE368" i="25"/>
  <c r="BA366" i="25"/>
  <c r="AD372" i="25"/>
  <c r="AY360" i="25"/>
  <c r="AJ19" i="29" s="1"/>
  <c r="AS372" i="25"/>
  <c r="AQ370" i="25"/>
  <c r="AM368" i="25"/>
  <c r="AI366" i="25"/>
  <c r="AW360" i="25"/>
  <c r="AH19" i="29" s="1"/>
  <c r="AY372" i="25"/>
  <c r="AW370" i="25"/>
  <c r="AS368" i="25"/>
  <c r="AO366" i="25"/>
  <c r="AH372" i="25"/>
  <c r="AF370" i="25"/>
  <c r="BC360" i="25"/>
  <c r="AN19" i="29" s="1"/>
  <c r="AU370" i="25"/>
  <c r="AT360" i="25"/>
  <c r="AE19" i="29" s="1"/>
  <c r="AM360" i="25"/>
  <c r="X19" i="29" s="1"/>
  <c r="AV366" i="25"/>
  <c r="AU366" i="25"/>
  <c r="AI368" i="25"/>
  <c r="BC372" i="25"/>
  <c r="BA370" i="25"/>
  <c r="AW368" i="25"/>
  <c r="AS366" i="25"/>
  <c r="AQ360" i="25"/>
  <c r="AB19" i="29" s="1"/>
  <c r="AK372" i="25"/>
  <c r="AI370" i="25"/>
  <c r="AE368" i="25"/>
  <c r="BF360" i="25"/>
  <c r="AQ19" i="29" s="1"/>
  <c r="AO360" i="25"/>
  <c r="Z19" i="29" s="1"/>
  <c r="AQ372" i="25"/>
  <c r="AO370" i="25"/>
  <c r="AK368" i="25"/>
  <c r="AG366" i="25"/>
  <c r="AU360" i="25"/>
  <c r="AF19" i="29" s="1"/>
  <c r="BE372" i="25"/>
  <c r="AM370" i="25"/>
  <c r="AL360" i="25"/>
  <c r="W19" i="29" s="1"/>
  <c r="AW372" i="25"/>
  <c r="AT368" i="25"/>
  <c r="BF372" i="25"/>
  <c r="BG368" i="25"/>
  <c r="AE366" i="25"/>
  <c r="AU372" i="25"/>
  <c r="AS370" i="25"/>
  <c r="AO368" i="25"/>
  <c r="AK366" i="25"/>
  <c r="AI360" i="25"/>
  <c r="T19" i="29" s="1"/>
  <c r="AC372" i="25"/>
  <c r="AX360" i="25"/>
  <c r="AI19" i="29" s="1"/>
  <c r="AG360" i="25"/>
  <c r="R19" i="29" s="1"/>
  <c r="AI372" i="25"/>
  <c r="AG370" i="25"/>
  <c r="AC368" i="25"/>
  <c r="BD360" i="25"/>
  <c r="AO19" i="29" s="1"/>
  <c r="AD360" i="25"/>
  <c r="O19" i="29" s="1"/>
  <c r="AM372" i="25"/>
  <c r="AK370" i="25"/>
  <c r="AG368" i="25"/>
  <c r="AC366" i="25"/>
  <c r="AP360" i="25"/>
  <c r="AA19" i="29" s="1"/>
  <c r="BF366" i="25"/>
  <c r="AV360" i="25"/>
  <c r="AG19" i="29" s="1"/>
  <c r="AE360" i="25"/>
  <c r="P19" i="29" s="1"/>
  <c r="AO372" i="25"/>
  <c r="BB372" i="25"/>
  <c r="AV368" i="25"/>
  <c r="AP366" i="25"/>
  <c r="AZ368" i="25"/>
  <c r="AE372" i="25"/>
  <c r="AC370" i="25"/>
  <c r="AZ360" i="25"/>
  <c r="AK19" i="29" s="1"/>
  <c r="BD368" i="25"/>
  <c r="AZ366" i="25"/>
  <c r="AH360" i="25"/>
  <c r="S19" i="29" s="1"/>
  <c r="BF370" i="25"/>
  <c r="BB368" i="25"/>
  <c r="AX366" i="25"/>
  <c r="AN360" i="25"/>
  <c r="Y19" i="29" s="1"/>
  <c r="BD366" i="25"/>
  <c r="BC366" i="25"/>
  <c r="AR360" i="25"/>
  <c r="AC19" i="29" s="1"/>
  <c r="AZ370" i="25"/>
  <c r="AR366" i="25"/>
  <c r="BG366" i="25"/>
  <c r="AZ372" i="25"/>
  <c r="AF360" i="25"/>
  <c r="Q19" i="29" s="1"/>
  <c r="AB199" i="25"/>
  <c r="AK85" i="25"/>
  <c r="AK200" i="25" s="1"/>
  <c r="AN32" i="25"/>
  <c r="AM147" i="25"/>
  <c r="AQ141" i="25"/>
  <c r="H12" i="1"/>
  <c r="AB366" i="25"/>
  <c r="AB370" i="25"/>
  <c r="AB360" i="25"/>
  <c r="M19" i="29" s="1"/>
  <c r="AB368" i="25"/>
  <c r="AB372" i="25"/>
  <c r="H327" i="25"/>
  <c r="I327" i="25"/>
  <c r="F346" i="25"/>
  <c r="I346" i="25"/>
  <c r="G346" i="25"/>
  <c r="H341" i="25"/>
  <c r="H325" i="25"/>
  <c r="H339" i="25"/>
  <c r="H323" i="25"/>
  <c r="H337" i="25"/>
  <c r="H321" i="25"/>
  <c r="H335" i="25"/>
  <c r="I317" i="25"/>
  <c r="H333" i="25"/>
  <c r="H331" i="25"/>
  <c r="H329" i="25"/>
  <c r="I321" i="25"/>
  <c r="I323" i="25"/>
  <c r="I325" i="25"/>
  <c r="I326" i="25"/>
  <c r="I329" i="25"/>
  <c r="I331" i="25"/>
  <c r="I333" i="25"/>
  <c r="I335" i="25"/>
  <c r="I337" i="25"/>
  <c r="I339" i="25"/>
  <c r="I341" i="25"/>
  <c r="I343" i="25"/>
  <c r="I345" i="25"/>
  <c r="F317" i="25"/>
  <c r="F320" i="25"/>
  <c r="F322" i="25"/>
  <c r="F324" i="25"/>
  <c r="F328" i="25"/>
  <c r="F330" i="25"/>
  <c r="F332" i="25"/>
  <c r="F334" i="25"/>
  <c r="F336" i="25"/>
  <c r="F338" i="25"/>
  <c r="F342" i="25"/>
  <c r="F344" i="25"/>
  <c r="F318" i="25"/>
  <c r="G320" i="25"/>
  <c r="G322" i="25"/>
  <c r="G324" i="25"/>
  <c r="G328" i="25"/>
  <c r="G330" i="25"/>
  <c r="G332" i="25"/>
  <c r="G334" i="25"/>
  <c r="G336" i="25"/>
  <c r="G338" i="25"/>
  <c r="G340" i="25"/>
  <c r="G342" i="25"/>
  <c r="G344" i="25"/>
  <c r="G318" i="25"/>
  <c r="G319" i="25"/>
  <c r="H320" i="25"/>
  <c r="H322" i="25"/>
  <c r="H324" i="25"/>
  <c r="H328" i="25"/>
  <c r="H330" i="25"/>
  <c r="H332" i="25"/>
  <c r="H334" i="25"/>
  <c r="H336" i="25"/>
  <c r="H338" i="25"/>
  <c r="H340" i="25"/>
  <c r="H342" i="25"/>
  <c r="H344" i="25"/>
  <c r="H318" i="25"/>
  <c r="H319" i="25"/>
  <c r="I320" i="25"/>
  <c r="I322" i="25"/>
  <c r="I324" i="25"/>
  <c r="I328" i="25"/>
  <c r="I330" i="25"/>
  <c r="I332" i="25"/>
  <c r="I334" i="25"/>
  <c r="I336" i="25"/>
  <c r="I338" i="25"/>
  <c r="I340" i="25"/>
  <c r="I342" i="25"/>
  <c r="I344" i="25"/>
  <c r="I318" i="25"/>
  <c r="I319" i="25"/>
  <c r="F321" i="25"/>
  <c r="F323" i="25"/>
  <c r="F331" i="25"/>
  <c r="F335" i="25"/>
  <c r="F337" i="25"/>
  <c r="F339" i="25"/>
  <c r="F343" i="25"/>
  <c r="G317" i="25"/>
  <c r="G321" i="25"/>
  <c r="G323" i="25"/>
  <c r="G325" i="25"/>
  <c r="G329" i="25"/>
  <c r="G331" i="25"/>
  <c r="G333" i="25"/>
  <c r="G335" i="25"/>
  <c r="G337" i="25"/>
  <c r="G339" i="25"/>
  <c r="G341" i="25"/>
  <c r="G343" i="25"/>
  <c r="G345" i="25"/>
  <c r="H317" i="25"/>
  <c r="H345" i="25"/>
  <c r="H343" i="25"/>
  <c r="H326" i="25"/>
  <c r="O175" i="25"/>
  <c r="O159" i="25"/>
  <c r="O139" i="25"/>
  <c r="O129" i="25"/>
  <c r="O124" i="25"/>
  <c r="O126" i="25"/>
  <c r="O200" i="25"/>
  <c r="O176" i="25"/>
  <c r="O156" i="25"/>
  <c r="O153" i="25"/>
  <c r="O166" i="25"/>
  <c r="O134" i="25"/>
  <c r="O133" i="25"/>
  <c r="O208" i="25"/>
  <c r="O205" i="25"/>
  <c r="O214" i="25"/>
  <c r="O203" i="25"/>
  <c r="O187" i="25"/>
  <c r="O201" i="25"/>
  <c r="O154" i="25"/>
  <c r="O212" i="25"/>
  <c r="O211" i="25"/>
  <c r="O199" i="25"/>
  <c r="O198" i="25"/>
  <c r="O197" i="25"/>
  <c r="O167" i="25"/>
  <c r="O189" i="25"/>
  <c r="O147" i="25"/>
  <c r="O138" i="25"/>
  <c r="O130" i="25"/>
  <c r="O196" i="25"/>
  <c r="O194" i="25"/>
  <c r="O192" i="25"/>
  <c r="O190" i="25"/>
  <c r="O185" i="25"/>
  <c r="O180" i="25"/>
  <c r="O179" i="25"/>
  <c r="BL179" i="25" s="1"/>
  <c r="O177" i="25"/>
  <c r="O171" i="25"/>
  <c r="O163" i="25"/>
  <c r="O161" i="25"/>
  <c r="O145" i="25"/>
  <c r="O142" i="25"/>
  <c r="O141" i="25"/>
  <c r="O127" i="25"/>
  <c r="O123" i="25"/>
  <c r="O215" i="25"/>
  <c r="O195" i="25"/>
  <c r="O183" i="25"/>
  <c r="O174" i="25"/>
  <c r="O169" i="25"/>
  <c r="O165" i="25"/>
  <c r="O206" i="25"/>
  <c r="O204" i="25"/>
  <c r="O202" i="25"/>
  <c r="O164" i="25"/>
  <c r="O144" i="25"/>
  <c r="O207" i="25"/>
  <c r="O148" i="25"/>
  <c r="O146" i="25"/>
  <c r="O193" i="25"/>
  <c r="O191" i="25"/>
  <c r="O188" i="25"/>
  <c r="O186" i="25"/>
  <c r="O184" i="25"/>
  <c r="O170" i="25"/>
  <c r="O168" i="25"/>
  <c r="O162" i="25"/>
  <c r="O131" i="25"/>
  <c r="O155" i="25"/>
  <c r="O143" i="25"/>
  <c r="O140" i="25"/>
  <c r="O160" i="25"/>
  <c r="O150" i="25"/>
  <c r="O136" i="25"/>
  <c r="O151" i="25"/>
  <c r="O132" i="25"/>
  <c r="O128" i="25"/>
  <c r="O125" i="25"/>
  <c r="F57" i="25"/>
  <c r="F21" i="1"/>
  <c r="E21" i="1"/>
  <c r="D21" i="1"/>
  <c r="C21" i="1"/>
  <c r="A135" i="21"/>
  <c r="C135" i="21"/>
  <c r="G135" i="21"/>
  <c r="H135" i="21"/>
  <c r="A136" i="21"/>
  <c r="C136" i="21"/>
  <c r="G136" i="21"/>
  <c r="H136" i="21"/>
  <c r="A75" i="21"/>
  <c r="C75" i="21"/>
  <c r="G75" i="21"/>
  <c r="H75" i="21"/>
  <c r="A76" i="21"/>
  <c r="C76" i="21"/>
  <c r="G76" i="21"/>
  <c r="H76" i="21"/>
  <c r="E20" i="21"/>
  <c r="D20" i="21"/>
  <c r="B21" i="21"/>
  <c r="B76" i="21" s="1"/>
  <c r="B136" i="21" s="1"/>
  <c r="B20" i="21"/>
  <c r="A21" i="21"/>
  <c r="A20" i="21"/>
  <c r="R94" i="25"/>
  <c r="R43" i="25"/>
  <c r="H5" i="25"/>
  <c r="G5" i="25"/>
  <c r="F5" i="25"/>
  <c r="CQ7" i="25"/>
  <c r="BM7" i="25"/>
  <c r="BN7" i="25"/>
  <c r="BO7" i="25"/>
  <c r="BP7" i="25"/>
  <c r="BQ7" i="25"/>
  <c r="BR7" i="25"/>
  <c r="BS7" i="25"/>
  <c r="BT7" i="25"/>
  <c r="BU7" i="25"/>
  <c r="BV7" i="25"/>
  <c r="BW7" i="25"/>
  <c r="BX7" i="25"/>
  <c r="BY7" i="25"/>
  <c r="BZ7" i="25"/>
  <c r="CA7" i="25"/>
  <c r="CB7" i="25"/>
  <c r="CC7" i="25"/>
  <c r="CD7" i="25"/>
  <c r="CE7" i="25"/>
  <c r="CF7" i="25"/>
  <c r="CG7" i="25"/>
  <c r="CH7" i="25"/>
  <c r="CI7" i="25"/>
  <c r="CJ7" i="25"/>
  <c r="CK7" i="25"/>
  <c r="CL7" i="25"/>
  <c r="CM7" i="25"/>
  <c r="CN7" i="25"/>
  <c r="CO7" i="25"/>
  <c r="CP7" i="25"/>
  <c r="BL7" i="25"/>
  <c r="P100" i="25"/>
  <c r="V92" i="25"/>
  <c r="AS92" i="25" s="1"/>
  <c r="U92" i="25"/>
  <c r="AO92" i="25" s="1"/>
  <c r="T92" i="25"/>
  <c r="AK92" i="25" s="1"/>
  <c r="S92" i="25"/>
  <c r="AH92" i="25" s="1"/>
  <c r="AU88" i="25"/>
  <c r="AQ88" i="25"/>
  <c r="V87" i="25"/>
  <c r="U87" i="25"/>
  <c r="T87" i="25"/>
  <c r="S87" i="25"/>
  <c r="V81" i="25"/>
  <c r="AT81" i="25" s="1"/>
  <c r="U81" i="25"/>
  <c r="AP81" i="25" s="1"/>
  <c r="T81" i="25"/>
  <c r="AL81" i="25" s="1"/>
  <c r="S81" i="25"/>
  <c r="V78" i="25"/>
  <c r="AT78" i="25" s="1"/>
  <c r="U78" i="25"/>
  <c r="AP78" i="25" s="1"/>
  <c r="T78" i="25"/>
  <c r="AL78" i="25" s="1"/>
  <c r="S78" i="25"/>
  <c r="V76" i="25"/>
  <c r="U76" i="25"/>
  <c r="AP76" i="25" s="1"/>
  <c r="T76" i="25"/>
  <c r="AL76" i="25" s="1"/>
  <c r="S76" i="25"/>
  <c r="V69" i="25"/>
  <c r="U69" i="25"/>
  <c r="T69" i="25"/>
  <c r="S69" i="25"/>
  <c r="V61" i="25"/>
  <c r="U61" i="25"/>
  <c r="T61" i="25"/>
  <c r="S61" i="25"/>
  <c r="AD57" i="25"/>
  <c r="AD172" i="25" s="1"/>
  <c r="AE57" i="25"/>
  <c r="AC57" i="25"/>
  <c r="BH57" i="25" l="1"/>
  <c r="AE172" i="25"/>
  <c r="BK58" i="25"/>
  <c r="AF183" i="25"/>
  <c r="BK22" i="25"/>
  <c r="AC172" i="25"/>
  <c r="AB200" i="25"/>
  <c r="I12" i="1"/>
  <c r="X372" i="25"/>
  <c r="X370" i="25"/>
  <c r="Z370" i="25"/>
  <c r="K19" i="29"/>
  <c r="X360" i="25"/>
  <c r="Z372" i="25"/>
  <c r="X368" i="25"/>
  <c r="Y368" i="25"/>
  <c r="X366" i="25"/>
  <c r="Z366" i="25"/>
  <c r="I19" i="29"/>
  <c r="Z360" i="25"/>
  <c r="Y372" i="25"/>
  <c r="J19" i="29"/>
  <c r="Y360" i="25"/>
  <c r="Y366" i="25"/>
  <c r="Y370" i="25"/>
  <c r="Z368" i="25"/>
  <c r="H19" i="29"/>
  <c r="AA366" i="25"/>
  <c r="W366" i="25"/>
  <c r="AA372" i="25"/>
  <c r="W372" i="25"/>
  <c r="AA370" i="25"/>
  <c r="W370" i="25"/>
  <c r="AA368" i="25"/>
  <c r="W368" i="25"/>
  <c r="AA360" i="25"/>
  <c r="W360" i="25"/>
  <c r="AM81" i="25"/>
  <c r="AL196" i="25"/>
  <c r="AQ76" i="25"/>
  <c r="AP191" i="25"/>
  <c r="AU81" i="25"/>
  <c r="AT196" i="25"/>
  <c r="AL92" i="25"/>
  <c r="AK207" i="25"/>
  <c r="AV88" i="25"/>
  <c r="AU203" i="25"/>
  <c r="AQ81" i="25"/>
  <c r="AP196" i="25"/>
  <c r="AP92" i="25"/>
  <c r="AO207" i="25"/>
  <c r="AM76" i="25"/>
  <c r="AL191" i="25"/>
  <c r="AI92" i="25"/>
  <c r="AH207" i="25"/>
  <c r="AM78" i="25"/>
  <c r="AL193" i="25"/>
  <c r="AT92" i="25"/>
  <c r="AS207" i="25"/>
  <c r="AU78" i="25"/>
  <c r="AT193" i="25"/>
  <c r="AQ78" i="25"/>
  <c r="AP193" i="25"/>
  <c r="AR88" i="25"/>
  <c r="AQ203" i="25"/>
  <c r="AO32" i="25"/>
  <c r="AN147" i="25"/>
  <c r="AT76" i="25"/>
  <c r="V368" i="25"/>
  <c r="V370" i="25"/>
  <c r="V366" i="25"/>
  <c r="V372" i="25"/>
  <c r="V360" i="25"/>
  <c r="B75" i="21"/>
  <c r="B135" i="21" s="1"/>
  <c r="I347" i="25"/>
  <c r="BK15" i="25"/>
  <c r="BK91" i="25"/>
  <c r="BK25" i="25"/>
  <c r="BK31" i="25"/>
  <c r="BK97" i="25"/>
  <c r="BK16" i="25"/>
  <c r="BK99" i="25"/>
  <c r="BK74" i="25"/>
  <c r="BK82" i="25"/>
  <c r="BK62" i="25"/>
  <c r="R57" i="25"/>
  <c r="BK44" i="25"/>
  <c r="BK88" i="25"/>
  <c r="BK89" i="25"/>
  <c r="BK52" i="25"/>
  <c r="BK83" i="25"/>
  <c r="BK92" i="25"/>
  <c r="BK100" i="25"/>
  <c r="BK75" i="25"/>
  <c r="BK56" i="25"/>
  <c r="BK53" i="25"/>
  <c r="BK45" i="25"/>
  <c r="BK38" i="25"/>
  <c r="BK26" i="25"/>
  <c r="BK21" i="25"/>
  <c r="BK17" i="25"/>
  <c r="BK76" i="25"/>
  <c r="BK27" i="25"/>
  <c r="BK84" i="25"/>
  <c r="BK18" i="25"/>
  <c r="AJ87" i="25"/>
  <c r="BK85" i="25"/>
  <c r="BK69" i="25"/>
  <c r="BK77" i="25"/>
  <c r="BK55" i="25"/>
  <c r="BK47" i="25"/>
  <c r="BK35" i="25"/>
  <c r="BK28" i="25"/>
  <c r="BK11" i="25"/>
  <c r="BK8" i="25"/>
  <c r="F269" i="25"/>
  <c r="F333" i="25" s="1"/>
  <c r="F172" i="25"/>
  <c r="O172" i="25" s="1"/>
  <c r="BK93" i="25"/>
  <c r="BK59" i="25"/>
  <c r="BK10" i="25"/>
  <c r="AT61" i="25"/>
  <c r="AM87" i="25"/>
  <c r="BK86" i="25"/>
  <c r="BK70" i="25"/>
  <c r="BK78" i="25"/>
  <c r="BK64" i="25"/>
  <c r="BK40" i="25"/>
  <c r="BK48" i="25"/>
  <c r="BK33" i="25"/>
  <c r="BK29" i="25"/>
  <c r="BK12" i="25"/>
  <c r="BK9" i="25"/>
  <c r="BK57" i="25"/>
  <c r="BK68" i="25"/>
  <c r="BK46" i="25"/>
  <c r="AW61" i="25"/>
  <c r="AQ87" i="25"/>
  <c r="BK87" i="25"/>
  <c r="BK96" i="25"/>
  <c r="BK71" i="25"/>
  <c r="BK79" i="25"/>
  <c r="BK65" i="25"/>
  <c r="BK41" i="25"/>
  <c r="BK49" i="25"/>
  <c r="BK32" i="25"/>
  <c r="BK30" i="25"/>
  <c r="BK13" i="25"/>
  <c r="BA61" i="25"/>
  <c r="BK80" i="25"/>
  <c r="BK50" i="25"/>
  <c r="BK23" i="25"/>
  <c r="BK14" i="25"/>
  <c r="AU87" i="25"/>
  <c r="BK72" i="25"/>
  <c r="BK60" i="25"/>
  <c r="BE61" i="25"/>
  <c r="BK90" i="25"/>
  <c r="BK73" i="25"/>
  <c r="BK81" i="25"/>
  <c r="BK61" i="25"/>
  <c r="BK51" i="25"/>
  <c r="BK24" i="25"/>
  <c r="BK19" i="25"/>
  <c r="E75" i="21"/>
  <c r="E135" i="21" s="1"/>
  <c r="D75" i="21"/>
  <c r="D135" i="21" s="1"/>
  <c r="E335" i="25" l="1"/>
  <c r="E323" i="25"/>
  <c r="E331" i="25"/>
  <c r="E333" i="25"/>
  <c r="D360" i="25"/>
  <c r="E360" i="25" s="1"/>
  <c r="AJ202" i="25"/>
  <c r="E337" i="25"/>
  <c r="E339" i="25"/>
  <c r="AT176" i="25"/>
  <c r="E322" i="25"/>
  <c r="L19" i="29"/>
  <c r="G19" i="29"/>
  <c r="AU76" i="25"/>
  <c r="AT191" i="25"/>
  <c r="AV78" i="25"/>
  <c r="AV193" i="25" s="1"/>
  <c r="AU193" i="25"/>
  <c r="AN76" i="25"/>
  <c r="AM191" i="25"/>
  <c r="AM92" i="25"/>
  <c r="AL207" i="25"/>
  <c r="AR87" i="25"/>
  <c r="AQ202" i="25"/>
  <c r="AP32" i="25"/>
  <c r="AO147" i="25"/>
  <c r="AU92" i="25"/>
  <c r="AU207" i="25" s="1"/>
  <c r="AT207" i="25"/>
  <c r="AQ92" i="25"/>
  <c r="AP207" i="25"/>
  <c r="AV81" i="25"/>
  <c r="AV196" i="25" s="1"/>
  <c r="AU196" i="25"/>
  <c r="AV87" i="25"/>
  <c r="AU202" i="25"/>
  <c r="BB61" i="25"/>
  <c r="BA176" i="25"/>
  <c r="AS88" i="25"/>
  <c r="AR203" i="25"/>
  <c r="AN78" i="25"/>
  <c r="AM193" i="25"/>
  <c r="AR81" i="25"/>
  <c r="AQ196" i="25"/>
  <c r="AR76" i="25"/>
  <c r="AQ191" i="25"/>
  <c r="BF61" i="25"/>
  <c r="BE176" i="25"/>
  <c r="AX61" i="25"/>
  <c r="AW176" i="25"/>
  <c r="AN87" i="25"/>
  <c r="AM202" i="25"/>
  <c r="AR78" i="25"/>
  <c r="AQ193" i="25"/>
  <c r="AJ92" i="25"/>
  <c r="AI207" i="25"/>
  <c r="AW88" i="25"/>
  <c r="AV203" i="25"/>
  <c r="AN81" i="25"/>
  <c r="AM196" i="25"/>
  <c r="AU61" i="25"/>
  <c r="E318" i="25"/>
  <c r="V336" i="25"/>
  <c r="BI336" i="25"/>
  <c r="E317" i="25"/>
  <c r="E320" i="25"/>
  <c r="E343" i="25"/>
  <c r="E338" i="25"/>
  <c r="E342" i="25"/>
  <c r="E328" i="25"/>
  <c r="E321" i="25"/>
  <c r="AK87" i="25"/>
  <c r="AD184" i="25"/>
  <c r="BH87" i="25" l="1"/>
  <c r="BH92" i="25"/>
  <c r="AJ207" i="25"/>
  <c r="AW203" i="25"/>
  <c r="P203" i="25" s="1" a="1"/>
  <c r="P203" i="25" s="1"/>
  <c r="P193" i="25" a="1"/>
  <c r="P193" i="25" s="1"/>
  <c r="P196" i="25" a="1"/>
  <c r="P196" i="25" s="1"/>
  <c r="AY61" i="25"/>
  <c r="AX176" i="25"/>
  <c r="AO78" i="25"/>
  <c r="AO193" i="25" s="1"/>
  <c r="AN193" i="25"/>
  <c r="BC61" i="25"/>
  <c r="BB176" i="25"/>
  <c r="AN92" i="25"/>
  <c r="AM207" i="25"/>
  <c r="AV61" i="25"/>
  <c r="AV176" i="25" s="1"/>
  <c r="AU176" i="25"/>
  <c r="AE184" i="25"/>
  <c r="AL87" i="25"/>
  <c r="AK202" i="25"/>
  <c r="BG61" i="25"/>
  <c r="BG176" i="25" s="1"/>
  <c r="BF176" i="25"/>
  <c r="AT88" i="25"/>
  <c r="AT203" i="25" s="1"/>
  <c r="AS203" i="25"/>
  <c r="AW87" i="25"/>
  <c r="AV202" i="25"/>
  <c r="AQ32" i="25"/>
  <c r="AP147" i="25"/>
  <c r="AO76" i="25"/>
  <c r="AO191" i="25" s="1"/>
  <c r="AN191" i="25"/>
  <c r="L336" i="25"/>
  <c r="M336" i="25" s="1"/>
  <c r="U372" i="25"/>
  <c r="AS78" i="25"/>
  <c r="AS193" i="25" s="1"/>
  <c r="AR193" i="25"/>
  <c r="AS76" i="25"/>
  <c r="AS191" i="25" s="1"/>
  <c r="AR191" i="25"/>
  <c r="AL184" i="25"/>
  <c r="AO81" i="25"/>
  <c r="AO196" i="25" s="1"/>
  <c r="AN196" i="25"/>
  <c r="AO87" i="25"/>
  <c r="AN202" i="25"/>
  <c r="AS81" i="25"/>
  <c r="AS196" i="25" s="1"/>
  <c r="AR196" i="25"/>
  <c r="AR92" i="25"/>
  <c r="AR207" i="25" s="1"/>
  <c r="AQ207" i="25"/>
  <c r="P207" i="25" s="1" a="1"/>
  <c r="P207" i="25" s="1"/>
  <c r="AS87" i="25"/>
  <c r="AR202" i="25"/>
  <c r="AV76" i="25"/>
  <c r="AV191" i="25" s="1"/>
  <c r="AU191" i="25"/>
  <c r="V335" i="25"/>
  <c r="V334" i="25"/>
  <c r="V344" i="25"/>
  <c r="V332" i="25"/>
  <c r="V330" i="25"/>
  <c r="V324" i="25"/>
  <c r="BI334" i="25"/>
  <c r="BI324" i="25"/>
  <c r="BI332" i="25"/>
  <c r="BI330" i="25"/>
  <c r="BI335" i="25"/>
  <c r="BI344" i="25"/>
  <c r="BI88" i="25" l="1"/>
  <c r="AL202" i="25"/>
  <c r="BI78" i="25"/>
  <c r="AN207" i="25"/>
  <c r="BI92" i="25"/>
  <c r="BI81" i="25"/>
  <c r="BI76" i="25"/>
  <c r="AW202" i="25"/>
  <c r="P202" i="25" s="1" a="1"/>
  <c r="P202" i="25" s="1"/>
  <c r="P191" i="25" a="1"/>
  <c r="P191" i="25" s="1"/>
  <c r="L344" i="25"/>
  <c r="M344" i="25" s="1"/>
  <c r="L334" i="25"/>
  <c r="M334" i="25" s="1"/>
  <c r="U370" i="25"/>
  <c r="L335" i="25"/>
  <c r="U371" i="25"/>
  <c r="AT87" i="25"/>
  <c r="AT202" i="25" s="1"/>
  <c r="AS202" i="25"/>
  <c r="AP87" i="25"/>
  <c r="AP202" i="25" s="1"/>
  <c r="AO202" i="25"/>
  <c r="AR32" i="25"/>
  <c r="BI32" i="25" s="1"/>
  <c r="AQ147" i="25"/>
  <c r="BD61" i="25"/>
  <c r="BC176" i="25"/>
  <c r="L324" i="25"/>
  <c r="M324" i="25" s="1"/>
  <c r="U360" i="25"/>
  <c r="L330" i="25"/>
  <c r="M330" i="25" s="1"/>
  <c r="U366" i="25"/>
  <c r="S372" i="25"/>
  <c r="T372" i="25"/>
  <c r="L332" i="25"/>
  <c r="M332" i="25" s="1"/>
  <c r="U368" i="25"/>
  <c r="AZ61" i="25"/>
  <c r="AY176" i="25"/>
  <c r="BI87" i="25" l="1"/>
  <c r="BI61" i="25"/>
  <c r="BD176" i="25"/>
  <c r="P176" i="25" s="1" a="1"/>
  <c r="P176" i="25" s="1"/>
  <c r="M335" i="25"/>
  <c r="X58" i="25"/>
  <c r="AM184" i="25"/>
  <c r="AR147" i="25"/>
  <c r="P147" i="25" s="1" a="1"/>
  <c r="P147" i="25" s="1"/>
  <c r="S370" i="25"/>
  <c r="T370" i="25"/>
  <c r="AZ176" i="25"/>
  <c r="R61" i="25"/>
  <c r="S368" i="25"/>
  <c r="T368" i="25"/>
  <c r="S366" i="25"/>
  <c r="T366" i="25"/>
  <c r="S360" i="25"/>
  <c r="T360" i="25"/>
  <c r="AD56" i="25"/>
  <c r="AD171" i="25" s="1"/>
  <c r="AE56" i="25"/>
  <c r="AC56" i="25"/>
  <c r="V52" i="25"/>
  <c r="U52" i="25"/>
  <c r="T52" i="25"/>
  <c r="S52" i="25"/>
  <c r="V50" i="25"/>
  <c r="U50" i="25"/>
  <c r="T50" i="25"/>
  <c r="S50" i="25"/>
  <c r="T38" i="25"/>
  <c r="U38" i="25"/>
  <c r="V38" i="25"/>
  <c r="S38" i="25"/>
  <c r="V42" i="25"/>
  <c r="U42" i="25"/>
  <c r="T42" i="25"/>
  <c r="AJ42" i="25" s="1"/>
  <c r="S42" i="25"/>
  <c r="V35" i="25"/>
  <c r="U35" i="25"/>
  <c r="T35" i="25"/>
  <c r="S35" i="25"/>
  <c r="BH56" i="25" l="1"/>
  <c r="BH42" i="25"/>
  <c r="AE171" i="25"/>
  <c r="AJ157" i="25"/>
  <c r="AP42" i="25"/>
  <c r="AC171" i="25"/>
  <c r="AG157" i="25"/>
  <c r="R41" i="25"/>
  <c r="R56" i="25"/>
  <c r="R40" i="25"/>
  <c r="R55" i="25"/>
  <c r="AZ38" i="25"/>
  <c r="BA52" i="25"/>
  <c r="AO38" i="25"/>
  <c r="BE52" i="25"/>
  <c r="AT52" i="25"/>
  <c r="BE35" i="25"/>
  <c r="AV38" i="25"/>
  <c r="AR38" i="25"/>
  <c r="BA35" i="25"/>
  <c r="AT35" i="25"/>
  <c r="AF50" i="25"/>
  <c r="BH50" i="25" s="1"/>
  <c r="AW52" i="25"/>
  <c r="AW35" i="25"/>
  <c r="AL50" i="25" l="1"/>
  <c r="AT167" i="25"/>
  <c r="AT150" i="25"/>
  <c r="AQ42" i="25"/>
  <c r="AP157" i="25"/>
  <c r="AH157" i="25"/>
  <c r="AW38" i="25"/>
  <c r="AW153" i="25" s="1"/>
  <c r="AV153" i="25"/>
  <c r="AM169" i="25"/>
  <c r="BA38" i="25"/>
  <c r="BA153" i="25" s="1"/>
  <c r="AZ153" i="25"/>
  <c r="AG165" i="25"/>
  <c r="AF165" i="25"/>
  <c r="BB35" i="25"/>
  <c r="BA150" i="25"/>
  <c r="AP38" i="25"/>
  <c r="AP153" i="25" s="1"/>
  <c r="AO153" i="25"/>
  <c r="AE169" i="25"/>
  <c r="AX52" i="25"/>
  <c r="AW167" i="25"/>
  <c r="BF35" i="25"/>
  <c r="BE150" i="25"/>
  <c r="AX35" i="25"/>
  <c r="AW150" i="25"/>
  <c r="AS38" i="25"/>
  <c r="AS153" i="25" s="1"/>
  <c r="AR153" i="25"/>
  <c r="BB52" i="25"/>
  <c r="BA167" i="25"/>
  <c r="BF52" i="25"/>
  <c r="BE167" i="25"/>
  <c r="AI157" i="25"/>
  <c r="AU52" i="25"/>
  <c r="AU35" i="25"/>
  <c r="BI42" i="25" l="1"/>
  <c r="AQ157" i="25"/>
  <c r="AQ38" i="25"/>
  <c r="AM50" i="25"/>
  <c r="AL165" i="25"/>
  <c r="AX38" i="25"/>
  <c r="AX153" i="25" s="1"/>
  <c r="AT157" i="25"/>
  <c r="P157" i="25" s="1" a="1"/>
  <c r="P157" i="25" s="1"/>
  <c r="BB38" i="25"/>
  <c r="BB153" i="25" s="1"/>
  <c r="AT38" i="25"/>
  <c r="AT153" i="25" s="1"/>
  <c r="BC52" i="25"/>
  <c r="BB167" i="25"/>
  <c r="AY52" i="25"/>
  <c r="AX167" i="25"/>
  <c r="AV35" i="25"/>
  <c r="AU150" i="25"/>
  <c r="AY35" i="25"/>
  <c r="AX150" i="25"/>
  <c r="AV52" i="25"/>
  <c r="AV167" i="25" s="1"/>
  <c r="AU167" i="25"/>
  <c r="AN169" i="25"/>
  <c r="BG52" i="25"/>
  <c r="BG167" i="25" s="1"/>
  <c r="BF167" i="25"/>
  <c r="BG35" i="25"/>
  <c r="BG150" i="25" s="1"/>
  <c r="BF150" i="25"/>
  <c r="BC35" i="25"/>
  <c r="BB150" i="25"/>
  <c r="AF169" i="25"/>
  <c r="AO165" i="25"/>
  <c r="BI50" i="25" l="1"/>
  <c r="AQ153" i="25"/>
  <c r="AM165" i="25"/>
  <c r="P165" i="25" s="1" a="1"/>
  <c r="P165" i="25" s="1"/>
  <c r="AU38" i="25"/>
  <c r="AU153" i="25" s="1"/>
  <c r="AY38" i="25"/>
  <c r="AY153" i="25" s="1"/>
  <c r="P153" i="25" s="1" a="1"/>
  <c r="P153" i="25" s="1"/>
  <c r="AG169" i="25"/>
  <c r="AV150" i="25"/>
  <c r="R50" i="25"/>
  <c r="AO169" i="25"/>
  <c r="AZ35" i="25"/>
  <c r="AZ150" i="25" s="1"/>
  <c r="AY150" i="25"/>
  <c r="AZ52" i="25"/>
  <c r="AZ167" i="25" s="1"/>
  <c r="AY167" i="25"/>
  <c r="BD35" i="25"/>
  <c r="BC150" i="25"/>
  <c r="BD52" i="25"/>
  <c r="BC167" i="25"/>
  <c r="R42" i="25"/>
  <c r="BI52" i="25" l="1"/>
  <c r="BI38" i="25"/>
  <c r="BI35" i="25"/>
  <c r="R38" i="25"/>
  <c r="BD167" i="25"/>
  <c r="P167" i="25" s="1" a="1"/>
  <c r="P167" i="25" s="1"/>
  <c r="BD150" i="25"/>
  <c r="P150" i="25" s="1" a="1"/>
  <c r="P150" i="25" s="1"/>
  <c r="R52" i="25"/>
  <c r="AP169" i="25"/>
  <c r="R35" i="25"/>
  <c r="R93" i="25"/>
  <c r="V31" i="25"/>
  <c r="U31" i="25"/>
  <c r="T31" i="25"/>
  <c r="S31" i="25"/>
  <c r="V29" i="25"/>
  <c r="AU29" i="25" s="1"/>
  <c r="U29" i="25"/>
  <c r="AQ29" i="25" s="1"/>
  <c r="T29" i="25"/>
  <c r="AM29" i="25" s="1"/>
  <c r="S29" i="25"/>
  <c r="AJ29" i="25" s="1"/>
  <c r="V25" i="25"/>
  <c r="U25" i="25"/>
  <c r="T25" i="25"/>
  <c r="S25" i="25"/>
  <c r="V18" i="25"/>
  <c r="U18" i="25"/>
  <c r="T18" i="25"/>
  <c r="S18" i="25"/>
  <c r="T15" i="25"/>
  <c r="U15" i="25"/>
  <c r="V15" i="25"/>
  <c r="S15" i="25"/>
  <c r="AN29" i="25" l="1"/>
  <c r="AM144" i="25"/>
  <c r="AV29" i="25"/>
  <c r="AU144" i="25"/>
  <c r="AR29" i="25"/>
  <c r="AQ144" i="25"/>
  <c r="AR169" i="25"/>
  <c r="AQ169" i="25"/>
  <c r="AK29" i="25"/>
  <c r="AJ144" i="25"/>
  <c r="BA25" i="25"/>
  <c r="AR15" i="25"/>
  <c r="AO18" i="25"/>
  <c r="AR18" i="25"/>
  <c r="AR133" i="25" s="1"/>
  <c r="AT31" i="25"/>
  <c r="AZ18" i="25"/>
  <c r="AZ133" i="25" s="1"/>
  <c r="AW31" i="25"/>
  <c r="AO15" i="25"/>
  <c r="AT25" i="25"/>
  <c r="BA31" i="25"/>
  <c r="AV15" i="25"/>
  <c r="BE25" i="25"/>
  <c r="AV18" i="25"/>
  <c r="AV133" i="25" s="1"/>
  <c r="AZ15" i="25"/>
  <c r="AW25" i="25"/>
  <c r="BE31" i="25"/>
  <c r="BH29" i="25" l="1"/>
  <c r="P169" i="25" a="1"/>
  <c r="P169" i="25" s="1"/>
  <c r="AT146" i="25"/>
  <c r="AT140" i="25"/>
  <c r="AO133" i="25"/>
  <c r="AO130" i="25"/>
  <c r="AU31" i="25"/>
  <c r="AV31" i="25" s="1"/>
  <c r="AV146" i="25" s="1"/>
  <c r="AS15" i="25"/>
  <c r="AR130" i="25"/>
  <c r="AS29" i="25"/>
  <c r="AR144" i="25"/>
  <c r="BB25" i="25"/>
  <c r="BA140" i="25"/>
  <c r="AX31" i="25"/>
  <c r="AW146" i="25"/>
  <c r="BF25" i="25"/>
  <c r="BE140" i="25"/>
  <c r="BF31" i="25"/>
  <c r="BE146" i="25"/>
  <c r="AX25" i="25"/>
  <c r="AW140" i="25"/>
  <c r="AW29" i="25"/>
  <c r="AV144" i="25"/>
  <c r="AW15" i="25"/>
  <c r="AV130" i="25"/>
  <c r="BA15" i="25"/>
  <c r="AZ130" i="25"/>
  <c r="BB31" i="25"/>
  <c r="BA146" i="25"/>
  <c r="AL29" i="25"/>
  <c r="AK144" i="25"/>
  <c r="AO29" i="25"/>
  <c r="AN144" i="25"/>
  <c r="AP15" i="25"/>
  <c r="AU25" i="25"/>
  <c r="AL144" i="25" l="1"/>
  <c r="AW144" i="25"/>
  <c r="P144" i="25" s="1" a="1"/>
  <c r="P144" i="25" s="1"/>
  <c r="AU146" i="25"/>
  <c r="BC31" i="25"/>
  <c r="BB146" i="25"/>
  <c r="BG31" i="25"/>
  <c r="BG146" i="25" s="1"/>
  <c r="BF146" i="25"/>
  <c r="AT29" i="25"/>
  <c r="AT144" i="25" s="1"/>
  <c r="AS144" i="25"/>
  <c r="AY25" i="25"/>
  <c r="AX140" i="25"/>
  <c r="AP29" i="25"/>
  <c r="AP144" i="25" s="1"/>
  <c r="AO144" i="25"/>
  <c r="AX15" i="25"/>
  <c r="AW130" i="25"/>
  <c r="AT15" i="25"/>
  <c r="AS130" i="25"/>
  <c r="BC25" i="25"/>
  <c r="BB140" i="25"/>
  <c r="BB15" i="25"/>
  <c r="BB130" i="25" s="1"/>
  <c r="BA130" i="25"/>
  <c r="BG25" i="25"/>
  <c r="BG140" i="25" s="1"/>
  <c r="BF140" i="25"/>
  <c r="AV25" i="25"/>
  <c r="AU140" i="25"/>
  <c r="AQ15" i="25"/>
  <c r="AP130" i="25"/>
  <c r="AY31" i="25"/>
  <c r="AX146" i="25"/>
  <c r="BI29" i="25" l="1"/>
  <c r="AQ130" i="25"/>
  <c r="AV140" i="25"/>
  <c r="R29" i="25"/>
  <c r="BD25" i="25"/>
  <c r="BI25" i="25" s="1"/>
  <c r="BC140" i="25"/>
  <c r="AY15" i="25"/>
  <c r="AY130" i="25" s="1"/>
  <c r="P130" i="25" s="1" a="1"/>
  <c r="P130" i="25" s="1"/>
  <c r="AX130" i="25"/>
  <c r="AU15" i="25"/>
  <c r="AU130" i="25" s="1"/>
  <c r="AT130" i="25"/>
  <c r="AZ25" i="25"/>
  <c r="AZ140" i="25" s="1"/>
  <c r="AY140" i="25"/>
  <c r="AZ31" i="25"/>
  <c r="AY146" i="25"/>
  <c r="BD31" i="25"/>
  <c r="BC146" i="25"/>
  <c r="AF19" i="25"/>
  <c r="AG19" i="25"/>
  <c r="AE19" i="25"/>
  <c r="BH19" i="25" s="1"/>
  <c r="BA18" i="25"/>
  <c r="AW18" i="25"/>
  <c r="AS18" i="25"/>
  <c r="AP18" i="25"/>
  <c r="L22" i="26"/>
  <c r="M22" i="26"/>
  <c r="L23" i="26"/>
  <c r="U37" i="25" s="1"/>
  <c r="M23" i="26"/>
  <c r="V37" i="25" s="1"/>
  <c r="L24" i="26"/>
  <c r="M24" i="26"/>
  <c r="L25" i="26"/>
  <c r="M25" i="26"/>
  <c r="M21" i="26"/>
  <c r="L21" i="26"/>
  <c r="H22" i="26"/>
  <c r="I22" i="26"/>
  <c r="J22" i="26"/>
  <c r="H23" i="26"/>
  <c r="I23" i="26"/>
  <c r="J23" i="26"/>
  <c r="H24" i="26"/>
  <c r="I24" i="26"/>
  <c r="J24" i="26"/>
  <c r="H25" i="26"/>
  <c r="I25" i="26"/>
  <c r="J25" i="26"/>
  <c r="I21" i="26"/>
  <c r="J21" i="26"/>
  <c r="H21" i="26"/>
  <c r="D15" i="26"/>
  <c r="D16" i="26" s="1"/>
  <c r="C15" i="26"/>
  <c r="C16" i="26" s="1"/>
  <c r="F14" i="26"/>
  <c r="E14" i="26"/>
  <c r="D14" i="26"/>
  <c r="C14" i="26"/>
  <c r="BI31" i="25" l="1"/>
  <c r="BI15" i="25"/>
  <c r="AZ146" i="25"/>
  <c r="BD140" i="25"/>
  <c r="P140" i="25" s="1" a="1"/>
  <c r="P140" i="25" s="1"/>
  <c r="BD146" i="25"/>
  <c r="P146" i="25" s="1" a="1"/>
  <c r="P146" i="25" s="1"/>
  <c r="AP133" i="25"/>
  <c r="R25" i="25"/>
  <c r="R31" i="25"/>
  <c r="AF134" i="25"/>
  <c r="AX18" i="25"/>
  <c r="AW133" i="25"/>
  <c r="AT18" i="25"/>
  <c r="AS133" i="25"/>
  <c r="AE134" i="25"/>
  <c r="BB18" i="25"/>
  <c r="BB133" i="25" s="1"/>
  <c r="BA133" i="25"/>
  <c r="AG134" i="25"/>
  <c r="R15" i="25"/>
  <c r="V79" i="25"/>
  <c r="AT79" i="25" s="1"/>
  <c r="V72" i="25"/>
  <c r="V99" i="25"/>
  <c r="AR99" i="25" s="1"/>
  <c r="V68" i="25"/>
  <c r="V60" i="25"/>
  <c r="V77" i="25"/>
  <c r="AT77" i="25" s="1"/>
  <c r="V62" i="25"/>
  <c r="V89" i="25"/>
  <c r="AP89" i="25" s="1"/>
  <c r="V98" i="25"/>
  <c r="AR98" i="25" s="1"/>
  <c r="V86" i="25"/>
  <c r="V73" i="25"/>
  <c r="V91" i="25"/>
  <c r="AQ91" i="25" s="1"/>
  <c r="V80" i="25"/>
  <c r="AT80" i="25" s="1"/>
  <c r="V75" i="25"/>
  <c r="AT75" i="25" s="1"/>
  <c r="V51" i="25"/>
  <c r="V53" i="25"/>
  <c r="V47" i="25"/>
  <c r="V34" i="25"/>
  <c r="V48" i="25"/>
  <c r="V49" i="25"/>
  <c r="U72" i="25"/>
  <c r="U79" i="25"/>
  <c r="AP79" i="25" s="1"/>
  <c r="U77" i="25"/>
  <c r="AP77" i="25" s="1"/>
  <c r="U99" i="25"/>
  <c r="AN99" i="25" s="1"/>
  <c r="U68" i="25"/>
  <c r="U60" i="25"/>
  <c r="U75" i="25"/>
  <c r="AP75" i="25" s="1"/>
  <c r="U62" i="25"/>
  <c r="U89" i="25"/>
  <c r="AL89" i="25" s="1"/>
  <c r="U98" i="25"/>
  <c r="AN98" i="25" s="1"/>
  <c r="U86" i="25"/>
  <c r="U73" i="25"/>
  <c r="U91" i="25"/>
  <c r="AM91" i="25" s="1"/>
  <c r="U80" i="25"/>
  <c r="AP80" i="25" s="1"/>
  <c r="U47" i="25"/>
  <c r="U51" i="25"/>
  <c r="U53" i="25"/>
  <c r="U49" i="25"/>
  <c r="U48" i="25"/>
  <c r="U34" i="25"/>
  <c r="T80" i="25"/>
  <c r="AL80" i="25" s="1"/>
  <c r="T75" i="25"/>
  <c r="AL75" i="25" s="1"/>
  <c r="T77" i="25"/>
  <c r="AL77" i="25" s="1"/>
  <c r="T99" i="25"/>
  <c r="AJ99" i="25" s="1"/>
  <c r="T68" i="25"/>
  <c r="T60" i="25"/>
  <c r="T62" i="25"/>
  <c r="T89" i="25"/>
  <c r="AH89" i="25" s="1"/>
  <c r="T91" i="25"/>
  <c r="AI91" i="25" s="1"/>
  <c r="T98" i="25"/>
  <c r="AJ98" i="25" s="1"/>
  <c r="T86" i="25"/>
  <c r="T73" i="25"/>
  <c r="T49" i="25"/>
  <c r="T51" i="25"/>
  <c r="T48" i="25"/>
  <c r="T53" i="25"/>
  <c r="T47" i="25"/>
  <c r="T34" i="25"/>
  <c r="V100" i="25"/>
  <c r="AO100" i="25" s="1"/>
  <c r="V74" i="25"/>
  <c r="V70" i="25"/>
  <c r="V59" i="25"/>
  <c r="V96" i="25"/>
  <c r="AO96" i="25" s="1"/>
  <c r="V97" i="25"/>
  <c r="AO97" i="25" s="1"/>
  <c r="V95" i="25"/>
  <c r="AN95" i="25" s="1"/>
  <c r="V44" i="25"/>
  <c r="U71" i="25"/>
  <c r="U45" i="25"/>
  <c r="T90" i="25"/>
  <c r="V71" i="25"/>
  <c r="V45" i="25"/>
  <c r="U100" i="25"/>
  <c r="AK100" i="25" s="1"/>
  <c r="BH100" i="25" s="1"/>
  <c r="U74" i="25"/>
  <c r="U96" i="25"/>
  <c r="U70" i="25"/>
  <c r="U59" i="25"/>
  <c r="U95" i="25"/>
  <c r="AJ95" i="25" s="1"/>
  <c r="U97" i="25"/>
  <c r="AK97" i="25" s="1"/>
  <c r="BH97" i="25" s="1"/>
  <c r="U44" i="25"/>
  <c r="V90" i="25"/>
  <c r="U90" i="25"/>
  <c r="AB20" i="25"/>
  <c r="R19" i="25"/>
  <c r="AD20" i="25"/>
  <c r="AD135" i="25" s="1"/>
  <c r="AC20" i="25"/>
  <c r="AQ18" i="25"/>
  <c r="U12" i="25"/>
  <c r="AN12" i="25" s="1"/>
  <c r="U24" i="25"/>
  <c r="U16" i="25"/>
  <c r="U23" i="25"/>
  <c r="U11" i="25"/>
  <c r="AJ11" i="25" s="1"/>
  <c r="U8" i="25"/>
  <c r="U33" i="25"/>
  <c r="AO33" i="25" s="1"/>
  <c r="U28" i="25"/>
  <c r="AO28" i="25" s="1"/>
  <c r="U14" i="25"/>
  <c r="U17" i="25"/>
  <c r="U30" i="25"/>
  <c r="U13" i="25"/>
  <c r="T24" i="25"/>
  <c r="T13" i="25"/>
  <c r="T12" i="25"/>
  <c r="AJ12" i="25" s="1"/>
  <c r="T8" i="25"/>
  <c r="T16" i="25"/>
  <c r="T14" i="25"/>
  <c r="T17" i="25"/>
  <c r="T28" i="25"/>
  <c r="AK28" i="25" s="1"/>
  <c r="BH28" i="25" s="1"/>
  <c r="T23" i="25"/>
  <c r="T11" i="25"/>
  <c r="T33" i="25"/>
  <c r="AK33" i="25" s="1"/>
  <c r="BH33" i="25" s="1"/>
  <c r="T30" i="25"/>
  <c r="U32" i="25"/>
  <c r="U9" i="25"/>
  <c r="U10" i="25"/>
  <c r="AG10" i="25" s="1"/>
  <c r="V32" i="25"/>
  <c r="V9" i="25"/>
  <c r="AO9" i="25" s="1"/>
  <c r="V10" i="25"/>
  <c r="AK10" i="25" s="1"/>
  <c r="V30" i="25"/>
  <c r="V16" i="25"/>
  <c r="V23" i="25"/>
  <c r="V11" i="25"/>
  <c r="AN11" i="25" s="1"/>
  <c r="V33" i="25"/>
  <c r="AS33" i="25" s="1"/>
  <c r="V24" i="25"/>
  <c r="V28" i="25"/>
  <c r="AS28" i="25" s="1"/>
  <c r="V14" i="25"/>
  <c r="V8" i="25"/>
  <c r="AT8" i="25" s="1"/>
  <c r="V17" i="25"/>
  <c r="V13" i="25"/>
  <c r="V12" i="25"/>
  <c r="AR12" i="25" s="1"/>
  <c r="BH20" i="25" l="1"/>
  <c r="AC135" i="25"/>
  <c r="P134" i="25" a="1"/>
  <c r="P134" i="25" s="1"/>
  <c r="AP194" i="25"/>
  <c r="AO12" i="25"/>
  <c r="AN127" i="25"/>
  <c r="AK95" i="25"/>
  <c r="AJ210" i="25"/>
  <c r="AP97" i="25"/>
  <c r="AO212" i="25"/>
  <c r="AK99" i="25"/>
  <c r="AJ214" i="25"/>
  <c r="AQ77" i="25"/>
  <c r="AP192" i="25"/>
  <c r="AP28" i="25"/>
  <c r="AO143" i="25"/>
  <c r="AQ133" i="25"/>
  <c r="AP96" i="25"/>
  <c r="AO211" i="25"/>
  <c r="AM77" i="25"/>
  <c r="AL192" i="25"/>
  <c r="AO98" i="25"/>
  <c r="AN213" i="25"/>
  <c r="AS98" i="25"/>
  <c r="AR213" i="25"/>
  <c r="AU79" i="25"/>
  <c r="AT194" i="25"/>
  <c r="AP33" i="25"/>
  <c r="AO148" i="25"/>
  <c r="AK98" i="25"/>
  <c r="AJ213" i="25"/>
  <c r="AM75" i="25"/>
  <c r="AL190" i="25"/>
  <c r="AM89" i="25"/>
  <c r="AL204" i="25"/>
  <c r="AQ89" i="25"/>
  <c r="AP204" i="25"/>
  <c r="AU18" i="25"/>
  <c r="AU133" i="25" s="1"/>
  <c r="AT133" i="25"/>
  <c r="AU8" i="25"/>
  <c r="AT123" i="25"/>
  <c r="AL10" i="25"/>
  <c r="AK125" i="25"/>
  <c r="AK96" i="25"/>
  <c r="BH96" i="25" s="1"/>
  <c r="AJ91" i="25"/>
  <c r="AI206" i="25"/>
  <c r="AM80" i="25"/>
  <c r="AL195" i="25"/>
  <c r="AL33" i="25"/>
  <c r="AK148" i="25"/>
  <c r="AK11" i="25"/>
  <c r="AJ126" i="25"/>
  <c r="AI89" i="25"/>
  <c r="AH204" i="25"/>
  <c r="AQ75" i="25"/>
  <c r="AP190" i="25"/>
  <c r="AU75" i="25"/>
  <c r="AT190" i="25"/>
  <c r="AU77" i="25"/>
  <c r="AT192" i="25"/>
  <c r="AY18" i="25"/>
  <c r="AY133" i="25" s="1"/>
  <c r="AX133" i="25"/>
  <c r="AK12" i="25"/>
  <c r="AJ127" i="25"/>
  <c r="AL28" i="25"/>
  <c r="AK143" i="25"/>
  <c r="AB21" i="25"/>
  <c r="AB135" i="25"/>
  <c r="P135" i="25" s="1" a="1"/>
  <c r="P135" i="25" s="1"/>
  <c r="AL100" i="25"/>
  <c r="AK215" i="25"/>
  <c r="AO215" i="25"/>
  <c r="AP100" i="25"/>
  <c r="AQ80" i="25"/>
  <c r="AP195" i="25"/>
  <c r="AU80" i="25"/>
  <c r="AT195" i="25"/>
  <c r="AP9" i="25"/>
  <c r="AO124" i="25"/>
  <c r="AT33" i="25"/>
  <c r="AS148" i="25"/>
  <c r="AN91" i="25"/>
  <c r="AM206" i="25"/>
  <c r="AR91" i="25"/>
  <c r="AQ206" i="25"/>
  <c r="AT28" i="25"/>
  <c r="AS143" i="25"/>
  <c r="AH10" i="25"/>
  <c r="AG125" i="25"/>
  <c r="AS12" i="25"/>
  <c r="AR127" i="25"/>
  <c r="AO11" i="25"/>
  <c r="AN126" i="25"/>
  <c r="AL97" i="25"/>
  <c r="AK212" i="25"/>
  <c r="AO95" i="25"/>
  <c r="AN210" i="25"/>
  <c r="AO99" i="25"/>
  <c r="AN214" i="25"/>
  <c r="AS99" i="25"/>
  <c r="AR214" i="25"/>
  <c r="AD21" i="25"/>
  <c r="AF11" i="25"/>
  <c r="AC21" i="25"/>
  <c r="AK8" i="25"/>
  <c r="BH8" i="25" s="1"/>
  <c r="AL8" i="25"/>
  <c r="AK9" i="25"/>
  <c r="BH9" i="25" s="1"/>
  <c r="BE51" i="25"/>
  <c r="AW51" i="25"/>
  <c r="AH163" i="25"/>
  <c r="BA62" i="25"/>
  <c r="BE62" i="25"/>
  <c r="AH164" i="25"/>
  <c r="AW62" i="25"/>
  <c r="BA34" i="25"/>
  <c r="BA60" i="25"/>
  <c r="BE60" i="25"/>
  <c r="BA51" i="25"/>
  <c r="AW60" i="25"/>
  <c r="AL47" i="25"/>
  <c r="AW34" i="25"/>
  <c r="AL73" i="25"/>
  <c r="BE34" i="25"/>
  <c r="AP73" i="25"/>
  <c r="AL53" i="25"/>
  <c r="AQ86" i="25"/>
  <c r="AU86" i="25"/>
  <c r="AM86" i="25"/>
  <c r="AP53" i="25"/>
  <c r="AZ14" i="25"/>
  <c r="AM13" i="25"/>
  <c r="BE24" i="25"/>
  <c r="AQ13" i="25"/>
  <c r="BA23" i="25"/>
  <c r="AR17" i="25"/>
  <c r="BA30" i="25"/>
  <c r="AQ16" i="25"/>
  <c r="AW24" i="25"/>
  <c r="AR14" i="25"/>
  <c r="AV17" i="25"/>
  <c r="BA24" i="25"/>
  <c r="BE30" i="25"/>
  <c r="AW23" i="25"/>
  <c r="AU13" i="25"/>
  <c r="AM16" i="25"/>
  <c r="AV14" i="25"/>
  <c r="BE23" i="25"/>
  <c r="AZ17" i="25"/>
  <c r="AU16" i="25"/>
  <c r="AW30" i="25"/>
  <c r="R20" i="25"/>
  <c r="J57" i="25"/>
  <c r="J172" i="25" s="1"/>
  <c r="BH98" i="25" l="1"/>
  <c r="BH21" i="25"/>
  <c r="BH99" i="25"/>
  <c r="BH12" i="25"/>
  <c r="BH95" i="25"/>
  <c r="BI18" i="25"/>
  <c r="AL48" i="25"/>
  <c r="P133" i="25" a="1"/>
  <c r="P133" i="25" s="1"/>
  <c r="AW177" i="25"/>
  <c r="AF126" i="25"/>
  <c r="AW139" i="25"/>
  <c r="AR132" i="25"/>
  <c r="AM128" i="25"/>
  <c r="AW149" i="25"/>
  <c r="AB136" i="25"/>
  <c r="AW166" i="25"/>
  <c r="AW138" i="25"/>
  <c r="AW175" i="25"/>
  <c r="AK123" i="25"/>
  <c r="AM131" i="25"/>
  <c r="AR129" i="25"/>
  <c r="AX30" i="25"/>
  <c r="AW145" i="25"/>
  <c r="AH162" i="25"/>
  <c r="BF62" i="25"/>
  <c r="BE177" i="25"/>
  <c r="AT99" i="25"/>
  <c r="AT214" i="25" s="1"/>
  <c r="AS214" i="25"/>
  <c r="AM97" i="25"/>
  <c r="AL212" i="25"/>
  <c r="AI10" i="25"/>
  <c r="AH125" i="25"/>
  <c r="AO91" i="25"/>
  <c r="AN206" i="25"/>
  <c r="AQ9" i="25"/>
  <c r="AP124" i="25"/>
  <c r="AL12" i="25"/>
  <c r="AK127" i="25"/>
  <c r="AR75" i="25"/>
  <c r="AQ190" i="25"/>
  <c r="BF24" i="25"/>
  <c r="BE139" i="25"/>
  <c r="AV13" i="25"/>
  <c r="AU128" i="25"/>
  <c r="AW17" i="25"/>
  <c r="AV132" i="25"/>
  <c r="BB23" i="25"/>
  <c r="BA138" i="25"/>
  <c r="AR86" i="25"/>
  <c r="AQ201" i="25"/>
  <c r="BF34" i="25"/>
  <c r="BE149" i="25"/>
  <c r="BF51" i="25"/>
  <c r="BE166" i="25"/>
  <c r="AN80" i="25"/>
  <c r="AM195" i="25"/>
  <c r="AM10" i="25"/>
  <c r="AM125" i="25" s="1"/>
  <c r="AL125" i="25"/>
  <c r="AV79" i="25"/>
  <c r="AV194" i="25" s="1"/>
  <c r="AU194" i="25"/>
  <c r="AN77" i="25"/>
  <c r="AM192" i="25"/>
  <c r="AQ28" i="25"/>
  <c r="AP143" i="25"/>
  <c r="BA14" i="25"/>
  <c r="AZ129" i="25"/>
  <c r="BB51" i="25"/>
  <c r="BA166" i="25"/>
  <c r="AC136" i="25"/>
  <c r="AP99" i="25"/>
  <c r="AO214" i="25"/>
  <c r="AU28" i="25"/>
  <c r="AU143" i="25" s="1"/>
  <c r="AT143" i="25"/>
  <c r="AV80" i="25"/>
  <c r="AV195" i="25" s="1"/>
  <c r="AU195" i="25"/>
  <c r="AM100" i="25"/>
  <c r="AL215" i="25"/>
  <c r="AL11" i="25"/>
  <c r="AK126" i="25"/>
  <c r="AR16" i="25"/>
  <c r="AQ131" i="25"/>
  <c r="AM73" i="25"/>
  <c r="AL188" i="25"/>
  <c r="AK91" i="25"/>
  <c r="AJ206" i="25"/>
  <c r="AV8" i="25"/>
  <c r="AV123" i="25" s="1"/>
  <c r="AU123" i="25"/>
  <c r="AN89" i="25"/>
  <c r="AM204" i="25"/>
  <c r="AT98" i="25"/>
  <c r="AT213" i="25" s="1"/>
  <c r="AS213" i="25"/>
  <c r="AQ96" i="25"/>
  <c r="AP211" i="25"/>
  <c r="AR77" i="25"/>
  <c r="AQ192" i="25"/>
  <c r="AL95" i="25"/>
  <c r="AK210" i="25"/>
  <c r="AN86" i="25"/>
  <c r="AM201" i="25"/>
  <c r="AM53" i="25"/>
  <c r="AL168" i="25"/>
  <c r="AL163" i="25"/>
  <c r="BB60" i="25"/>
  <c r="BA175" i="25"/>
  <c r="BB62" i="25"/>
  <c r="BA177" i="25"/>
  <c r="AP11" i="25"/>
  <c r="AP126" i="25" s="1"/>
  <c r="AO126" i="25"/>
  <c r="AS91" i="25"/>
  <c r="AR206" i="25"/>
  <c r="AR80" i="25"/>
  <c r="AQ195" i="25"/>
  <c r="AV77" i="25"/>
  <c r="AV192" i="25" s="1"/>
  <c r="AU192" i="25"/>
  <c r="AL96" i="25"/>
  <c r="AK211" i="25"/>
  <c r="BA17" i="25"/>
  <c r="AZ132" i="25"/>
  <c r="BF30" i="25"/>
  <c r="BE145" i="25"/>
  <c r="BB30" i="25"/>
  <c r="BA145" i="25"/>
  <c r="AV86" i="25"/>
  <c r="AU201" i="25"/>
  <c r="AM47" i="25"/>
  <c r="AM48" i="25" s="1"/>
  <c r="AM49" i="25" s="1"/>
  <c r="AL162" i="25"/>
  <c r="AD136" i="25"/>
  <c r="AM33" i="25"/>
  <c r="AL148" i="25"/>
  <c r="AN75" i="25"/>
  <c r="AM190" i="25"/>
  <c r="AP98" i="25"/>
  <c r="AO213" i="25"/>
  <c r="AL99" i="25"/>
  <c r="AK214" i="25"/>
  <c r="AV16" i="25"/>
  <c r="AU131" i="25"/>
  <c r="AW14" i="25"/>
  <c r="AV129" i="25"/>
  <c r="AR13" i="25"/>
  <c r="AQ128" i="25"/>
  <c r="BF23" i="25"/>
  <c r="BE138" i="25"/>
  <c r="AL9" i="25"/>
  <c r="AK124" i="25"/>
  <c r="AP95" i="25"/>
  <c r="AP210" i="25" s="1"/>
  <c r="AO210" i="25"/>
  <c r="AT12" i="25"/>
  <c r="AT127" i="25" s="1"/>
  <c r="AS127" i="25"/>
  <c r="AU33" i="25"/>
  <c r="AU148" i="25" s="1"/>
  <c r="AT148" i="25"/>
  <c r="AQ100" i="25"/>
  <c r="AP215" i="25"/>
  <c r="AM28" i="25"/>
  <c r="AL143" i="25"/>
  <c r="AV75" i="25"/>
  <c r="AV190" i="25" s="1"/>
  <c r="AU190" i="25"/>
  <c r="AJ89" i="25"/>
  <c r="AI204" i="25"/>
  <c r="BB24" i="25"/>
  <c r="BA139" i="25"/>
  <c r="AQ53" i="25"/>
  <c r="AP168" i="25"/>
  <c r="AQ73" i="25"/>
  <c r="AP188" i="25"/>
  <c r="BF60" i="25"/>
  <c r="BE175" i="25"/>
  <c r="BB34" i="25"/>
  <c r="BA149" i="25"/>
  <c r="AM8" i="25"/>
  <c r="AL123" i="25"/>
  <c r="AR89" i="25"/>
  <c r="AR204" i="25" s="1"/>
  <c r="AQ204" i="25"/>
  <c r="AL98" i="25"/>
  <c r="AK213" i="25"/>
  <c r="AQ33" i="25"/>
  <c r="AP148" i="25"/>
  <c r="R18" i="25"/>
  <c r="AQ97" i="25"/>
  <c r="AP212" i="25"/>
  <c r="AP12" i="25"/>
  <c r="AO127" i="25"/>
  <c r="AX60" i="25"/>
  <c r="AX62" i="25"/>
  <c r="R21" i="25"/>
  <c r="AG11" i="25"/>
  <c r="AI11" i="25"/>
  <c r="AG183" i="25"/>
  <c r="R74" i="25"/>
  <c r="AX34" i="25"/>
  <c r="AX51" i="25"/>
  <c r="R37" i="25"/>
  <c r="AN13" i="25"/>
  <c r="AN16" i="25"/>
  <c r="AX23" i="25"/>
  <c r="AS14" i="25"/>
  <c r="AS17" i="25"/>
  <c r="AX24" i="25"/>
  <c r="BI10" i="25" l="1"/>
  <c r="AL49" i="25"/>
  <c r="BH91" i="25"/>
  <c r="AS206" i="25"/>
  <c r="P206" i="25" s="1" a="1"/>
  <c r="P206" i="25" s="1"/>
  <c r="AQ124" i="25"/>
  <c r="P124" i="25" s="1" a="1"/>
  <c r="P124" i="25" s="1"/>
  <c r="AQ212" i="25"/>
  <c r="P212" i="25" s="1" a="1"/>
  <c r="P212" i="25" s="1"/>
  <c r="AI126" i="25"/>
  <c r="P195" i="25" a="1"/>
  <c r="P195" i="25" s="1"/>
  <c r="P192" i="25" a="1"/>
  <c r="P192" i="25" s="1"/>
  <c r="P136" i="25" a="1"/>
  <c r="P136" i="25" s="1"/>
  <c r="P190" i="25" a="1"/>
  <c r="P190" i="25" s="1"/>
  <c r="AI49" i="25"/>
  <c r="P123" i="25" a="1"/>
  <c r="P123" i="25" s="1"/>
  <c r="P204" i="25" a="1"/>
  <c r="P204" i="25" s="1"/>
  <c r="BG60" i="25"/>
  <c r="BG175" i="25" s="1"/>
  <c r="BF175" i="25"/>
  <c r="BC24" i="25"/>
  <c r="BB139" i="25"/>
  <c r="AO16" i="25"/>
  <c r="AN131" i="25"/>
  <c r="AI163" i="25"/>
  <c r="AQ215" i="25"/>
  <c r="P215" i="25" s="1" a="1"/>
  <c r="P215" i="25" s="1"/>
  <c r="AS13" i="25"/>
  <c r="AR128" i="25"/>
  <c r="AM99" i="25"/>
  <c r="AM214" i="25" s="1"/>
  <c r="AL214" i="25"/>
  <c r="AO75" i="25"/>
  <c r="AO190" i="25" s="1"/>
  <c r="AN190" i="25"/>
  <c r="AN47" i="25"/>
  <c r="AM162" i="25"/>
  <c r="BB17" i="25"/>
  <c r="BA132" i="25"/>
  <c r="AS80" i="25"/>
  <c r="AS195" i="25" s="1"/>
  <c r="AR195" i="25"/>
  <c r="AM163" i="25"/>
  <c r="AS77" i="25"/>
  <c r="AS192" i="25" s="1"/>
  <c r="AR192" i="25"/>
  <c r="AO89" i="25"/>
  <c r="AO204" i="25" s="1"/>
  <c r="AN204" i="25"/>
  <c r="AS16" i="25"/>
  <c r="AR131" i="25"/>
  <c r="AQ99" i="25"/>
  <c r="AP214" i="25"/>
  <c r="BB14" i="25"/>
  <c r="BA129" i="25"/>
  <c r="AO80" i="25"/>
  <c r="AO195" i="25" s="1"/>
  <c r="AN195" i="25"/>
  <c r="AS86" i="25"/>
  <c r="AR201" i="25"/>
  <c r="BG24" i="25"/>
  <c r="BG139" i="25" s="1"/>
  <c r="BF139" i="25"/>
  <c r="AH11" i="25"/>
  <c r="AG126" i="25"/>
  <c r="AR33" i="25"/>
  <c r="AR148" i="25" s="1"/>
  <c r="AQ148" i="25"/>
  <c r="P148" i="25" s="1" a="1"/>
  <c r="P148" i="25" s="1"/>
  <c r="AR73" i="25"/>
  <c r="AR188" i="25" s="1"/>
  <c r="AQ188" i="25"/>
  <c r="AK89" i="25"/>
  <c r="BH89" i="25" s="1"/>
  <c r="AJ204" i="25"/>
  <c r="AQ12" i="25"/>
  <c r="AP127" i="25"/>
  <c r="AM9" i="25"/>
  <c r="AL124" i="25"/>
  <c r="AX14" i="25"/>
  <c r="AW129" i="25"/>
  <c r="AN33" i="25"/>
  <c r="AN148" i="25" s="1"/>
  <c r="AM148" i="25"/>
  <c r="AW86" i="25"/>
  <c r="AV201" i="25"/>
  <c r="AM96" i="25"/>
  <c r="AL211" i="25"/>
  <c r="AN53" i="25"/>
  <c r="AM168" i="25"/>
  <c r="AQ211" i="25"/>
  <c r="P211" i="25" s="1" a="1"/>
  <c r="P211" i="25" s="1"/>
  <c r="AM11" i="25"/>
  <c r="AM126" i="25" s="1"/>
  <c r="AL126" i="25"/>
  <c r="BG51" i="25"/>
  <c r="BG166" i="25" s="1"/>
  <c r="BF166" i="25"/>
  <c r="BC23" i="25"/>
  <c r="BB138" i="25"/>
  <c r="AP91" i="25"/>
  <c r="AP206" i="25" s="1"/>
  <c r="AO206" i="25"/>
  <c r="BG62" i="25"/>
  <c r="BG177" i="25" s="1"/>
  <c r="BF177" i="25"/>
  <c r="AT17" i="25"/>
  <c r="AS132" i="25"/>
  <c r="AO13" i="25"/>
  <c r="AN128" i="25"/>
  <c r="AM98" i="25"/>
  <c r="AM213" i="25" s="1"/>
  <c r="AL213" i="25"/>
  <c r="AN8" i="25"/>
  <c r="AM123" i="25"/>
  <c r="AY51" i="25"/>
  <c r="AX166" i="25"/>
  <c r="AY62" i="25"/>
  <c r="AX177" i="25"/>
  <c r="AM164" i="25"/>
  <c r="AW16" i="25"/>
  <c r="AV131" i="25"/>
  <c r="AQ98" i="25"/>
  <c r="AP213" i="25"/>
  <c r="BC30" i="25"/>
  <c r="BB145" i="25"/>
  <c r="BC62" i="25"/>
  <c r="BB177" i="25"/>
  <c r="AO86" i="25"/>
  <c r="AN201" i="25"/>
  <c r="AL91" i="25"/>
  <c r="AK206" i="25"/>
  <c r="AR28" i="25"/>
  <c r="AR143" i="25" s="1"/>
  <c r="AQ143" i="25"/>
  <c r="P143" i="25" s="1" a="1"/>
  <c r="P143" i="25" s="1"/>
  <c r="AL183" i="25"/>
  <c r="AX17" i="25"/>
  <c r="AW132" i="25"/>
  <c r="AS75" i="25"/>
  <c r="AS190" i="25" s="1"/>
  <c r="AR190" i="25"/>
  <c r="AJ10" i="25"/>
  <c r="BH10" i="25" s="1"/>
  <c r="AI125" i="25"/>
  <c r="P125" i="25" s="1" a="1"/>
  <c r="P125" i="25" s="1"/>
  <c r="AJ48" i="25"/>
  <c r="AI162" i="25"/>
  <c r="AY23" i="25"/>
  <c r="AX138" i="25"/>
  <c r="AY34" i="25"/>
  <c r="AX149" i="25"/>
  <c r="BC34" i="25"/>
  <c r="BB149" i="25"/>
  <c r="AR53" i="25"/>
  <c r="AR168" i="25" s="1"/>
  <c r="AQ168" i="25"/>
  <c r="AN28" i="25"/>
  <c r="AM143" i="25"/>
  <c r="AT14" i="25"/>
  <c r="AS129" i="25"/>
  <c r="AY24" i="25"/>
  <c r="AX139" i="25"/>
  <c r="AY60" i="25"/>
  <c r="AX175" i="25"/>
  <c r="BG23" i="25"/>
  <c r="BG138" i="25" s="1"/>
  <c r="BF138" i="25"/>
  <c r="BG30" i="25"/>
  <c r="BF145" i="25"/>
  <c r="BC60" i="25"/>
  <c r="BB175" i="25"/>
  <c r="AM95" i="25"/>
  <c r="AL210" i="25"/>
  <c r="AN73" i="25"/>
  <c r="AM188" i="25"/>
  <c r="AN100" i="25"/>
  <c r="AN215" i="25" s="1"/>
  <c r="AM215" i="25"/>
  <c r="BC51" i="25"/>
  <c r="BB166" i="25"/>
  <c r="AO77" i="25"/>
  <c r="AO192" i="25" s="1"/>
  <c r="AN192" i="25"/>
  <c r="BG34" i="25"/>
  <c r="BG149" i="25" s="1"/>
  <c r="BF149" i="25"/>
  <c r="AW13" i="25"/>
  <c r="AV128" i="25"/>
  <c r="AM12" i="25"/>
  <c r="AL127" i="25"/>
  <c r="AN97" i="25"/>
  <c r="AM212" i="25"/>
  <c r="AY30" i="25"/>
  <c r="AX145" i="25"/>
  <c r="R32" i="25"/>
  <c r="BI75" i="25" l="1"/>
  <c r="P126" i="25" a="1"/>
  <c r="P126" i="25" s="1"/>
  <c r="BI11" i="25"/>
  <c r="BI99" i="25"/>
  <c r="BI97" i="25"/>
  <c r="BH11" i="25"/>
  <c r="BI77" i="25"/>
  <c r="AL206" i="25"/>
  <c r="BI91" i="25"/>
  <c r="BI98" i="25"/>
  <c r="BI95" i="25"/>
  <c r="BI80" i="25"/>
  <c r="BI33" i="25"/>
  <c r="BI28" i="25"/>
  <c r="AL164" i="25"/>
  <c r="BI100" i="25"/>
  <c r="AN48" i="25"/>
  <c r="AN163" i="25" s="1"/>
  <c r="BI12" i="25"/>
  <c r="BI89" i="25"/>
  <c r="AJ125" i="25"/>
  <c r="AH126" i="25"/>
  <c r="AW128" i="25"/>
  <c r="P128" i="25" s="1" a="1"/>
  <c r="P128" i="25" s="1"/>
  <c r="BG145" i="25"/>
  <c r="AQ213" i="25"/>
  <c r="P213" i="25" s="1" a="1"/>
  <c r="P213" i="25" s="1"/>
  <c r="AW201" i="25"/>
  <c r="P201" i="25" s="1" a="1"/>
  <c r="P201" i="25" s="1"/>
  <c r="AQ127" i="25"/>
  <c r="P127" i="25" s="1" a="1"/>
  <c r="P127" i="25" s="1"/>
  <c r="BB129" i="25"/>
  <c r="P129" i="25" s="1" a="1"/>
  <c r="P129" i="25" s="1"/>
  <c r="AQ214" i="25"/>
  <c r="P214" i="25" s="1" a="1"/>
  <c r="P214" i="25" s="1"/>
  <c r="AW131" i="25"/>
  <c r="P131" i="25" s="1" a="1"/>
  <c r="P131" i="25" s="1"/>
  <c r="AM210" i="25"/>
  <c r="P210" i="25" s="1" a="1"/>
  <c r="P210" i="25" s="1"/>
  <c r="BB132" i="25"/>
  <c r="P132" i="25" s="1" a="1"/>
  <c r="P132" i="25" s="1"/>
  <c r="R10" i="25"/>
  <c r="P175" i="25" a="1"/>
  <c r="P175" i="25" s="1"/>
  <c r="P188" i="25" a="1"/>
  <c r="P188" i="25" s="1"/>
  <c r="AK204" i="25"/>
  <c r="P145" i="25" a="1"/>
  <c r="P145" i="25" s="1"/>
  <c r="AN212" i="25"/>
  <c r="AJ49" i="25"/>
  <c r="AJ164" i="25" s="1"/>
  <c r="AI164" i="25"/>
  <c r="P149" i="25" a="1"/>
  <c r="P149" i="25" s="1"/>
  <c r="P139" i="25" a="1"/>
  <c r="P139" i="25" s="1"/>
  <c r="P166" i="25" a="1"/>
  <c r="P166" i="25" s="1"/>
  <c r="P138" i="25" a="1"/>
  <c r="P138" i="25" s="1"/>
  <c r="P177" i="25" a="1"/>
  <c r="P177" i="25" s="1"/>
  <c r="P168" i="25" a="1"/>
  <c r="P168" i="25" s="1"/>
  <c r="AY14" i="25"/>
  <c r="AY129" i="25" s="1"/>
  <c r="AX129" i="25"/>
  <c r="AT86" i="25"/>
  <c r="AT201" i="25" s="1"/>
  <c r="AS201" i="25"/>
  <c r="AT16" i="25"/>
  <c r="AT131" i="25" s="1"/>
  <c r="AS131" i="25"/>
  <c r="AP16" i="25"/>
  <c r="AO131" i="25"/>
  <c r="AM127" i="25"/>
  <c r="R12" i="25"/>
  <c r="BD51" i="25"/>
  <c r="BD166" i="25" s="1"/>
  <c r="BC166" i="25"/>
  <c r="AU14" i="25"/>
  <c r="AT129" i="25"/>
  <c r="AI183" i="25"/>
  <c r="AP86" i="25"/>
  <c r="AO201" i="25"/>
  <c r="AZ51" i="25"/>
  <c r="AY166" i="25"/>
  <c r="AN96" i="25"/>
  <c r="AM211" i="25"/>
  <c r="AN9" i="25"/>
  <c r="BI9" i="25" s="1"/>
  <c r="AM124" i="25"/>
  <c r="AT13" i="25"/>
  <c r="AT128" i="25" s="1"/>
  <c r="AS128" i="25"/>
  <c r="BD24" i="25"/>
  <c r="BD139" i="25" s="1"/>
  <c r="BC139" i="25"/>
  <c r="BD60" i="25"/>
  <c r="BD175" i="25" s="1"/>
  <c r="BC175" i="25"/>
  <c r="AN143" i="25"/>
  <c r="R28" i="25"/>
  <c r="AZ34" i="25"/>
  <c r="AZ149" i="25" s="1"/>
  <c r="AY149" i="25"/>
  <c r="BD62" i="25"/>
  <c r="BD177" i="25" s="1"/>
  <c r="BC177" i="25"/>
  <c r="AP13" i="25"/>
  <c r="AO128" i="25"/>
  <c r="BC138" i="25"/>
  <c r="BD23" i="25"/>
  <c r="BD138" i="25" s="1"/>
  <c r="AO53" i="25"/>
  <c r="AN168" i="25"/>
  <c r="R33" i="25"/>
  <c r="AO47" i="25"/>
  <c r="AN162" i="25"/>
  <c r="AZ30" i="25"/>
  <c r="AY145" i="25"/>
  <c r="AZ60" i="25"/>
  <c r="AY175" i="25"/>
  <c r="AZ23" i="25"/>
  <c r="AY138" i="25"/>
  <c r="AY17" i="25"/>
  <c r="AY132" i="25" s="1"/>
  <c r="AX132" i="25"/>
  <c r="AO8" i="25"/>
  <c r="AN123" i="25"/>
  <c r="AU17" i="25"/>
  <c r="AT132" i="25"/>
  <c r="AJ163" i="25"/>
  <c r="AO73" i="25"/>
  <c r="AO188" i="25" s="1"/>
  <c r="AN188" i="25"/>
  <c r="AZ24" i="25"/>
  <c r="AY139" i="25"/>
  <c r="BD34" i="25"/>
  <c r="BD149" i="25" s="1"/>
  <c r="BC149" i="25"/>
  <c r="AK47" i="25"/>
  <c r="BH47" i="25" s="1"/>
  <c r="AJ162" i="25"/>
  <c r="AM183" i="25"/>
  <c r="BD30" i="25"/>
  <c r="BD145" i="25" s="1"/>
  <c r="BC145" i="25"/>
  <c r="AZ62" i="25"/>
  <c r="AZ177" i="25" s="1"/>
  <c r="AY177" i="25"/>
  <c r="BI24" i="25" l="1"/>
  <c r="BI73" i="25"/>
  <c r="BI16" i="25"/>
  <c r="BI23" i="25"/>
  <c r="BI53" i="25"/>
  <c r="AP201" i="25"/>
  <c r="BI86" i="25"/>
  <c r="BI96" i="25"/>
  <c r="BI51" i="25"/>
  <c r="BI62" i="25"/>
  <c r="BI30" i="25"/>
  <c r="BI60" i="25"/>
  <c r="BI17" i="25"/>
  <c r="BI8" i="25"/>
  <c r="BI34" i="25"/>
  <c r="AN49" i="25"/>
  <c r="BI13" i="25"/>
  <c r="BI14" i="25"/>
  <c r="AZ175" i="25"/>
  <c r="AP47" i="25"/>
  <c r="AZ145" i="25"/>
  <c r="AO162" i="25"/>
  <c r="AO48" i="25"/>
  <c r="AO49" i="25" s="1"/>
  <c r="AO164" i="25" s="1"/>
  <c r="AK162" i="25"/>
  <c r="AK48" i="25"/>
  <c r="BH48" i="25" s="1"/>
  <c r="R60" i="25"/>
  <c r="R34" i="25"/>
  <c r="AP128" i="25"/>
  <c r="R13" i="25"/>
  <c r="AO123" i="25"/>
  <c r="R8" i="25"/>
  <c r="AZ138" i="25"/>
  <c r="R23" i="25"/>
  <c r="AN211" i="25"/>
  <c r="R16" i="25"/>
  <c r="AP131" i="25"/>
  <c r="AU129" i="25"/>
  <c r="R14" i="25"/>
  <c r="AZ139" i="25"/>
  <c r="R24" i="25"/>
  <c r="AO168" i="25"/>
  <c r="R53" i="25"/>
  <c r="R30" i="25"/>
  <c r="AZ166" i="25"/>
  <c r="R51" i="25"/>
  <c r="AN124" i="25"/>
  <c r="R9" i="25"/>
  <c r="R62" i="25"/>
  <c r="AU132" i="25"/>
  <c r="R17" i="25"/>
  <c r="AN164" i="25" l="1"/>
  <c r="AK163" i="25"/>
  <c r="AQ47" i="25"/>
  <c r="AP48" i="25"/>
  <c r="AP162" i="25"/>
  <c r="AK49" i="25"/>
  <c r="BH49" i="25" s="1"/>
  <c r="AR47" i="25" l="1"/>
  <c r="AQ48" i="25"/>
  <c r="AQ162" i="25"/>
  <c r="AP49" i="25"/>
  <c r="AP163" i="25"/>
  <c r="AK164" i="25"/>
  <c r="BI47" i="25" l="1"/>
  <c r="AP164" i="25"/>
  <c r="R47" i="25"/>
  <c r="AQ49" i="25"/>
  <c r="AQ163" i="25"/>
  <c r="AR48" i="25"/>
  <c r="BI48" i="25" s="1"/>
  <c r="AR162" i="25"/>
  <c r="P162" i="25" s="1" a="1"/>
  <c r="P162" i="25" s="1"/>
  <c r="AR49" i="25" l="1"/>
  <c r="BI49" i="25" s="1"/>
  <c r="AR163" i="25"/>
  <c r="P163" i="25" s="1" a="1"/>
  <c r="P163" i="25" s="1"/>
  <c r="AQ164" i="25"/>
  <c r="Q95" i="25"/>
  <c r="P96" i="25"/>
  <c r="Q93" i="25"/>
  <c r="J100" i="25"/>
  <c r="J215" i="25" s="1"/>
  <c r="J99" i="25"/>
  <c r="J214" i="25" s="1"/>
  <c r="J97" i="25"/>
  <c r="J212" i="25" s="1"/>
  <c r="J96" i="25"/>
  <c r="J211" i="25" s="1"/>
  <c r="J93" i="25"/>
  <c r="J208" i="25" s="1"/>
  <c r="K92" i="25"/>
  <c r="K207" i="25" s="1"/>
  <c r="J91" i="25"/>
  <c r="J206" i="25" s="1"/>
  <c r="K90" i="25"/>
  <c r="K205" i="25" s="1"/>
  <c r="J89" i="25"/>
  <c r="J204" i="25" s="1"/>
  <c r="M88" i="25"/>
  <c r="M203" i="25" s="1"/>
  <c r="K87" i="25"/>
  <c r="K202" i="25" s="1"/>
  <c r="J86" i="25"/>
  <c r="J201" i="25" s="1"/>
  <c r="M85" i="25"/>
  <c r="M200" i="25" s="1"/>
  <c r="K84" i="25"/>
  <c r="K199" i="25" s="1"/>
  <c r="J83" i="25"/>
  <c r="J198" i="25" s="1"/>
  <c r="J82" i="25"/>
  <c r="J197" i="25" s="1"/>
  <c r="K81" i="25"/>
  <c r="K196" i="25" s="1"/>
  <c r="J80" i="25"/>
  <c r="J195" i="25" s="1"/>
  <c r="M79" i="25"/>
  <c r="M194" i="25" s="1"/>
  <c r="K78" i="25"/>
  <c r="K193" i="25" s="1"/>
  <c r="J77" i="25"/>
  <c r="J192" i="25" s="1"/>
  <c r="K76" i="25"/>
  <c r="K191" i="25" s="1"/>
  <c r="J75" i="25"/>
  <c r="J190" i="25" s="1"/>
  <c r="J74" i="25"/>
  <c r="J189" i="25" s="1"/>
  <c r="J73" i="25"/>
  <c r="J188" i="25" s="1"/>
  <c r="M72" i="25"/>
  <c r="M187" i="25" s="1"/>
  <c r="K71" i="25"/>
  <c r="K186" i="25" s="1"/>
  <c r="J70" i="25"/>
  <c r="J185" i="25" s="1"/>
  <c r="K69" i="25"/>
  <c r="K184" i="25" s="1"/>
  <c r="J68" i="25"/>
  <c r="J183" i="25" s="1"/>
  <c r="F67" i="25"/>
  <c r="F66" i="25"/>
  <c r="J64" i="25"/>
  <c r="J179" i="25" s="1"/>
  <c r="J65" i="25"/>
  <c r="J180" i="25" s="1"/>
  <c r="J62" i="25"/>
  <c r="J177" i="25" s="1"/>
  <c r="K61" i="25"/>
  <c r="K176" i="25" s="1"/>
  <c r="J60" i="25"/>
  <c r="J175" i="25" s="1"/>
  <c r="J59" i="25"/>
  <c r="J174" i="25" s="1"/>
  <c r="M55" i="25"/>
  <c r="M170" i="25" s="1"/>
  <c r="K169" i="25"/>
  <c r="J53" i="25"/>
  <c r="J168" i="25" s="1"/>
  <c r="K52" i="25"/>
  <c r="K167" i="25" s="1"/>
  <c r="J51" i="25"/>
  <c r="J166" i="25" s="1"/>
  <c r="K50" i="25"/>
  <c r="K165" i="25" s="1"/>
  <c r="J48" i="25"/>
  <c r="J163" i="25" s="1"/>
  <c r="J49" i="25"/>
  <c r="J164" i="25" s="1"/>
  <c r="J47" i="25"/>
  <c r="J162" i="25" s="1"/>
  <c r="M46" i="25"/>
  <c r="M161" i="25" s="1"/>
  <c r="K45" i="25"/>
  <c r="K160" i="25" s="1"/>
  <c r="J44" i="25"/>
  <c r="J159" i="25" s="1"/>
  <c r="J41" i="25"/>
  <c r="J156" i="25" s="1"/>
  <c r="K40" i="25"/>
  <c r="K155" i="25" s="1"/>
  <c r="K35" i="25"/>
  <c r="K150" i="25" s="1"/>
  <c r="J33" i="25"/>
  <c r="J148" i="25" s="1"/>
  <c r="J32" i="25"/>
  <c r="J147" i="25" s="1"/>
  <c r="K31" i="25"/>
  <c r="K146" i="25" s="1"/>
  <c r="J30" i="25"/>
  <c r="J145" i="25" s="1"/>
  <c r="K29" i="25"/>
  <c r="K144" i="25" s="1"/>
  <c r="J28" i="25"/>
  <c r="J143" i="25" s="1"/>
  <c r="K27" i="25"/>
  <c r="K142" i="25" s="1"/>
  <c r="J26" i="25"/>
  <c r="J141" i="25" s="1"/>
  <c r="K25" i="25"/>
  <c r="K140" i="25" s="1"/>
  <c r="J24" i="25"/>
  <c r="J139" i="25" s="1"/>
  <c r="J23" i="25"/>
  <c r="J138" i="25" s="1"/>
  <c r="J21" i="25"/>
  <c r="J136" i="25" s="1"/>
  <c r="J19" i="25"/>
  <c r="J134" i="25" s="1"/>
  <c r="L38" i="25"/>
  <c r="L153" i="25" s="1"/>
  <c r="K18" i="25"/>
  <c r="K133" i="25" s="1"/>
  <c r="K15" i="25"/>
  <c r="K130" i="25" s="1"/>
  <c r="J9" i="25"/>
  <c r="J124" i="25" s="1"/>
  <c r="J10" i="25"/>
  <c r="J125" i="25" s="1"/>
  <c r="J11" i="25"/>
  <c r="J126" i="25" s="1"/>
  <c r="J12" i="25"/>
  <c r="J127" i="25" s="1"/>
  <c r="J13" i="25"/>
  <c r="J128" i="25" s="1"/>
  <c r="J14" i="25"/>
  <c r="J129" i="25" s="1"/>
  <c r="J16" i="25"/>
  <c r="J131" i="25" s="1"/>
  <c r="J17" i="25"/>
  <c r="J132" i="25" s="1"/>
  <c r="J8" i="25"/>
  <c r="J123" i="25" s="1"/>
  <c r="AR164" i="25" l="1"/>
  <c r="P164" i="25" s="1" a="1"/>
  <c r="P164" i="25" s="1"/>
  <c r="R49" i="25"/>
  <c r="J66" i="25"/>
  <c r="J181" i="25" s="1"/>
  <c r="F278" i="25"/>
  <c r="F181" i="25"/>
  <c r="O181" i="25" s="1"/>
  <c r="BM181" i="25" s="1"/>
  <c r="BK66" i="25"/>
  <c r="J67" i="25"/>
  <c r="J182" i="25" s="1"/>
  <c r="F279" i="25"/>
  <c r="F182" i="25"/>
  <c r="O182" i="25" s="1"/>
  <c r="BL182" i="25" s="1"/>
  <c r="BK67" i="25"/>
  <c r="Q96" i="25"/>
  <c r="M6" i="25"/>
  <c r="I6" i="25"/>
  <c r="D99" i="25"/>
  <c r="A95" i="25"/>
  <c r="A97" i="25"/>
  <c r="A98" i="25"/>
  <c r="A99" i="25"/>
  <c r="F98" i="25"/>
  <c r="F95" i="25"/>
  <c r="F94" i="25"/>
  <c r="D91" i="25"/>
  <c r="D89" i="25"/>
  <c r="D86" i="25"/>
  <c r="A83" i="25"/>
  <c r="A295" i="25" s="1"/>
  <c r="D303" i="25" l="1"/>
  <c r="D298" i="25"/>
  <c r="D301" i="25"/>
  <c r="F341" i="25"/>
  <c r="E341" i="25"/>
  <c r="D204" i="25"/>
  <c r="Q204" i="25" s="1"/>
  <c r="A310" i="25"/>
  <c r="A213" i="25"/>
  <c r="D206" i="25"/>
  <c r="Q206" i="25" s="1"/>
  <c r="D201" i="25"/>
  <c r="Q201" i="25" s="1"/>
  <c r="A96" i="25"/>
  <c r="A307" i="25"/>
  <c r="A210" i="25"/>
  <c r="C262" i="25"/>
  <c r="C165" i="25"/>
  <c r="J94" i="25"/>
  <c r="J209" i="25" s="1"/>
  <c r="F306" i="25"/>
  <c r="F209" i="25"/>
  <c r="O209" i="25" s="1"/>
  <c r="BK94" i="25"/>
  <c r="J95" i="25"/>
  <c r="J210" i="25" s="1"/>
  <c r="F307" i="25"/>
  <c r="F210" i="25"/>
  <c r="O210" i="25" s="1"/>
  <c r="BK95" i="25"/>
  <c r="A309" i="25"/>
  <c r="A212" i="25"/>
  <c r="D311" i="25"/>
  <c r="D214" i="25"/>
  <c r="Q214" i="25" s="1"/>
  <c r="A311" i="25"/>
  <c r="A214" i="25"/>
  <c r="A84" i="25"/>
  <c r="A296" i="25" s="1"/>
  <c r="A198" i="25"/>
  <c r="J98" i="25"/>
  <c r="J213" i="25" s="1"/>
  <c r="F310" i="25"/>
  <c r="F213" i="25"/>
  <c r="O213" i="25" s="1"/>
  <c r="BK98" i="25"/>
  <c r="A241" i="25"/>
  <c r="A144" i="25"/>
  <c r="D92" i="25"/>
  <c r="D90" i="25"/>
  <c r="D87" i="25"/>
  <c r="F63" i="25"/>
  <c r="D80" i="25"/>
  <c r="D77" i="25"/>
  <c r="D75" i="25"/>
  <c r="D73" i="25"/>
  <c r="D70" i="25"/>
  <c r="A66" i="25"/>
  <c r="D299" i="25" l="1"/>
  <c r="D302" i="25"/>
  <c r="D304" i="25"/>
  <c r="G327" i="25"/>
  <c r="E345" i="25"/>
  <c r="F345" i="25"/>
  <c r="J63" i="25"/>
  <c r="J178" i="25" s="1"/>
  <c r="F275" i="25"/>
  <c r="F340" i="25" s="1"/>
  <c r="F178" i="25"/>
  <c r="O178" i="25" s="1"/>
  <c r="BK63" i="25"/>
  <c r="A278" i="25"/>
  <c r="A181" i="25"/>
  <c r="D282" i="25"/>
  <c r="D185" i="25"/>
  <c r="Q185" i="25" s="1"/>
  <c r="D285" i="25"/>
  <c r="D188" i="25"/>
  <c r="Q188" i="25" s="1"/>
  <c r="C263" i="25"/>
  <c r="C166" i="25"/>
  <c r="D287" i="25"/>
  <c r="D190" i="25"/>
  <c r="Q190" i="25" s="1"/>
  <c r="D205" i="25"/>
  <c r="Q205" i="25" s="1"/>
  <c r="D289" i="25"/>
  <c r="D192" i="25"/>
  <c r="Q192" i="25" s="1"/>
  <c r="D207" i="25"/>
  <c r="Q207" i="25" s="1"/>
  <c r="A308" i="25"/>
  <c r="A211" i="25"/>
  <c r="D310" i="25"/>
  <c r="D213" i="25"/>
  <c r="Q213" i="25" s="1"/>
  <c r="D309" i="25"/>
  <c r="D212" i="25"/>
  <c r="Q212" i="25" s="1"/>
  <c r="D202" i="25"/>
  <c r="Q202" i="25" s="1"/>
  <c r="D292" i="25"/>
  <c r="D195" i="25"/>
  <c r="Q195" i="25" s="1"/>
  <c r="A85" i="25"/>
  <c r="A297" i="25" s="1"/>
  <c r="A199" i="25"/>
  <c r="D88" i="25"/>
  <c r="D81" i="25"/>
  <c r="D78" i="25"/>
  <c r="D76" i="25"/>
  <c r="D71" i="25"/>
  <c r="D300" i="25" l="1"/>
  <c r="E340" i="25"/>
  <c r="F327" i="25"/>
  <c r="E327" i="25"/>
  <c r="F326" i="25"/>
  <c r="D203" i="25"/>
  <c r="Q203" i="25" s="1"/>
  <c r="A200" i="25"/>
  <c r="C264" i="25"/>
  <c r="C167" i="25"/>
  <c r="D283" i="25"/>
  <c r="D186" i="25"/>
  <c r="Q186" i="25" s="1"/>
  <c r="D288" i="25"/>
  <c r="D191" i="25"/>
  <c r="Q191" i="25" s="1"/>
  <c r="D290" i="25"/>
  <c r="D193" i="25"/>
  <c r="Q193" i="25" s="1"/>
  <c r="D293" i="25"/>
  <c r="D196" i="25"/>
  <c r="Q196" i="25" s="1"/>
  <c r="D72" i="25"/>
  <c r="D79" i="25"/>
  <c r="D53" i="25"/>
  <c r="D49" i="25"/>
  <c r="D51" i="25"/>
  <c r="D48" i="25"/>
  <c r="D47" i="25"/>
  <c r="F43" i="25"/>
  <c r="D260" i="25" l="1"/>
  <c r="D163" i="25"/>
  <c r="Q163" i="25" s="1"/>
  <c r="D284" i="25"/>
  <c r="D187" i="25"/>
  <c r="Q187" i="25" s="1"/>
  <c r="D261" i="25"/>
  <c r="D164" i="25"/>
  <c r="Q164" i="25" s="1"/>
  <c r="D263" i="25"/>
  <c r="D166" i="25"/>
  <c r="Q166" i="25" s="1"/>
  <c r="D259" i="25"/>
  <c r="D162" i="25"/>
  <c r="Q162" i="25" s="1"/>
  <c r="D265" i="25"/>
  <c r="D168" i="25"/>
  <c r="Q168" i="25" s="1"/>
  <c r="J43" i="25"/>
  <c r="J158" i="25" s="1"/>
  <c r="F255" i="25"/>
  <c r="F158" i="25"/>
  <c r="O158" i="25" s="1"/>
  <c r="BK43" i="25"/>
  <c r="D291" i="25"/>
  <c r="D194" i="25"/>
  <c r="Q194" i="25" s="1"/>
  <c r="D54" i="25"/>
  <c r="D50" i="25"/>
  <c r="D52" i="25"/>
  <c r="F329" i="25" l="1"/>
  <c r="E329" i="25"/>
  <c r="D264" i="25"/>
  <c r="D167" i="25"/>
  <c r="Q167" i="25" s="1"/>
  <c r="D266" i="25"/>
  <c r="D169" i="25"/>
  <c r="Q169" i="25" s="1"/>
  <c r="C265" i="25"/>
  <c r="C168" i="25"/>
  <c r="D262" i="25"/>
  <c r="D165" i="25"/>
  <c r="Q165" i="25" s="1"/>
  <c r="F20" i="25"/>
  <c r="L36" i="25"/>
  <c r="L151" i="25" s="1"/>
  <c r="E39" i="25"/>
  <c r="G42" i="25"/>
  <c r="F34" i="25"/>
  <c r="Q21" i="25"/>
  <c r="F6" i="25" l="1"/>
  <c r="E251" i="25"/>
  <c r="E154" i="25"/>
  <c r="G254" i="25"/>
  <c r="G157" i="25"/>
  <c r="O157" i="25" s="1"/>
  <c r="BK42" i="25"/>
  <c r="C266" i="25"/>
  <c r="C169" i="25"/>
  <c r="J20" i="25"/>
  <c r="J135" i="25" s="1"/>
  <c r="F232" i="25"/>
  <c r="F319" i="25" s="1"/>
  <c r="F135" i="25"/>
  <c r="O135" i="25" s="1"/>
  <c r="BK20" i="25"/>
  <c r="J34" i="25"/>
  <c r="J149" i="25" s="1"/>
  <c r="F246" i="25"/>
  <c r="F325" i="25" s="1"/>
  <c r="F149" i="25"/>
  <c r="O149" i="25" s="1"/>
  <c r="BK34" i="25"/>
  <c r="K39" i="25"/>
  <c r="K154" i="25" s="1"/>
  <c r="K42" i="25"/>
  <c r="K157" i="25" s="1"/>
  <c r="H37" i="25"/>
  <c r="A28" i="25"/>
  <c r="G326" i="25" l="1"/>
  <c r="G347" i="25" s="1"/>
  <c r="E325" i="25"/>
  <c r="E326" i="25"/>
  <c r="E319" i="25"/>
  <c r="F347" i="25"/>
  <c r="A240" i="25"/>
  <c r="A143" i="25"/>
  <c r="BK37" i="25"/>
  <c r="H249" i="25"/>
  <c r="H152" i="25"/>
  <c r="H6" i="25"/>
  <c r="L37" i="25"/>
  <c r="G6" i="25"/>
  <c r="K6" i="25"/>
  <c r="D23" i="25"/>
  <c r="A23" i="25"/>
  <c r="E11" i="25"/>
  <c r="P11" i="25"/>
  <c r="O11" i="25"/>
  <c r="Q10" i="25"/>
  <c r="A13" i="25"/>
  <c r="D13" i="25"/>
  <c r="D14" i="25"/>
  <c r="D16" i="25"/>
  <c r="D17" i="25"/>
  <c r="D12" i="25"/>
  <c r="E346" i="25" l="1"/>
  <c r="E347" i="25" s="1"/>
  <c r="BK5" i="25"/>
  <c r="H346" i="25"/>
  <c r="H347" i="25" s="1"/>
  <c r="BK103" i="25"/>
  <c r="Q11" i="25"/>
  <c r="F20" i="21"/>
  <c r="L6" i="25"/>
  <c r="L152" i="25"/>
  <c r="D229" i="25"/>
  <c r="D132" i="25"/>
  <c r="D224" i="25"/>
  <c r="D127" i="25"/>
  <c r="E21" i="21"/>
  <c r="E76" i="21" s="1"/>
  <c r="E136" i="21" s="1"/>
  <c r="E223" i="25"/>
  <c r="E126" i="25"/>
  <c r="D228" i="25"/>
  <c r="D131" i="25"/>
  <c r="A235" i="25"/>
  <c r="A138" i="25"/>
  <c r="A14" i="25"/>
  <c r="A225" i="25"/>
  <c r="A128" i="25"/>
  <c r="D21" i="21"/>
  <c r="D226" i="25"/>
  <c r="D129" i="25"/>
  <c r="D235" i="25"/>
  <c r="D138" i="25"/>
  <c r="D225" i="25"/>
  <c r="D128" i="25"/>
  <c r="D18" i="25"/>
  <c r="D15" i="25"/>
  <c r="D38" i="25"/>
  <c r="A19" i="25"/>
  <c r="D76" i="21" l="1"/>
  <c r="D136" i="21" s="1"/>
  <c r="A226" i="25"/>
  <c r="A129" i="25"/>
  <c r="D227" i="25"/>
  <c r="D130" i="25"/>
  <c r="F75" i="21"/>
  <c r="F135" i="21" s="1"/>
  <c r="AB20" i="21"/>
  <c r="AB75" i="21" s="1"/>
  <c r="S20" i="21"/>
  <c r="S75" i="21" s="1"/>
  <c r="Z20" i="21"/>
  <c r="Z75" i="21" s="1"/>
  <c r="AM20" i="21"/>
  <c r="AM75" i="21" s="1"/>
  <c r="N20" i="21"/>
  <c r="N75" i="21" s="1"/>
  <c r="R20" i="21"/>
  <c r="R75" i="21" s="1"/>
  <c r="AO20" i="21"/>
  <c r="AO75" i="21" s="1"/>
  <c r="AE20" i="21"/>
  <c r="AE75" i="21" s="1"/>
  <c r="AG20" i="21"/>
  <c r="AG75" i="21" s="1"/>
  <c r="AN20" i="21"/>
  <c r="AN75" i="21" s="1"/>
  <c r="W20" i="21"/>
  <c r="W75" i="21" s="1"/>
  <c r="X20" i="21"/>
  <c r="X75" i="21" s="1"/>
  <c r="AU20" i="21"/>
  <c r="AU75" i="21" s="1"/>
  <c r="K20" i="21"/>
  <c r="K75" i="21" s="1"/>
  <c r="T20" i="21"/>
  <c r="T75" i="21" s="1"/>
  <c r="Q20" i="21"/>
  <c r="Q75" i="21" s="1"/>
  <c r="AL20" i="21"/>
  <c r="AL75" i="21" s="1"/>
  <c r="AJ20" i="21"/>
  <c r="AJ75" i="21" s="1"/>
  <c r="Y20" i="21"/>
  <c r="Y75" i="21" s="1"/>
  <c r="AF20" i="21"/>
  <c r="AF75" i="21" s="1"/>
  <c r="O20" i="21"/>
  <c r="O75" i="21" s="1"/>
  <c r="AT20" i="21"/>
  <c r="AT75" i="21" s="1"/>
  <c r="AS20" i="21"/>
  <c r="AS75" i="21" s="1"/>
  <c r="L20" i="21"/>
  <c r="L75" i="21" s="1"/>
  <c r="AK20" i="21"/>
  <c r="AK75" i="21" s="1"/>
  <c r="AH20" i="21"/>
  <c r="AH75" i="21" s="1"/>
  <c r="M20" i="21"/>
  <c r="M75" i="21" s="1"/>
  <c r="AR20" i="21"/>
  <c r="AR75" i="21" s="1"/>
  <c r="AQ20" i="21"/>
  <c r="AQ75" i="21" s="1"/>
  <c r="P20" i="21"/>
  <c r="P75" i="21" s="1"/>
  <c r="AD20" i="21"/>
  <c r="AD75" i="21" s="1"/>
  <c r="AC20" i="21"/>
  <c r="AC75" i="21" s="1"/>
  <c r="AI20" i="21"/>
  <c r="AI75" i="21" s="1"/>
  <c r="AP20" i="21"/>
  <c r="AP75" i="21" s="1"/>
  <c r="U20" i="21"/>
  <c r="U75" i="21" s="1"/>
  <c r="AA20" i="21"/>
  <c r="AA75" i="21" s="1"/>
  <c r="I20" i="21"/>
  <c r="I75" i="21" s="1"/>
  <c r="I135" i="21" s="1"/>
  <c r="V20" i="21"/>
  <c r="V75" i="21" s="1"/>
  <c r="J20" i="21"/>
  <c r="J75" i="21" s="1"/>
  <c r="D230" i="25"/>
  <c r="D133" i="25"/>
  <c r="A231" i="25"/>
  <c r="A134" i="25"/>
  <c r="D250" i="25"/>
  <c r="D153" i="25"/>
  <c r="A15" i="25"/>
  <c r="A16" i="25"/>
  <c r="F21" i="21"/>
  <c r="F76" i="21" s="1"/>
  <c r="F136" i="21" s="1"/>
  <c r="K21" i="21" l="1"/>
  <c r="K76" i="21" s="1"/>
  <c r="Z21" i="21"/>
  <c r="Z76" i="21" s="1"/>
  <c r="I21" i="21"/>
  <c r="I76" i="21" s="1"/>
  <c r="I136" i="21" s="1"/>
  <c r="AE21" i="21"/>
  <c r="AE76" i="21" s="1"/>
  <c r="X21" i="21"/>
  <c r="X76" i="21" s="1"/>
  <c r="AG21" i="21"/>
  <c r="AG76" i="21" s="1"/>
  <c r="S21" i="21"/>
  <c r="S76" i="21" s="1"/>
  <c r="AB21" i="21"/>
  <c r="AB76" i="21" s="1"/>
  <c r="AQ21" i="21"/>
  <c r="AQ76" i="21" s="1"/>
  <c r="AO21" i="21"/>
  <c r="AO76" i="21" s="1"/>
  <c r="AJ21" i="21"/>
  <c r="AJ76" i="21" s="1"/>
  <c r="AD21" i="21"/>
  <c r="AD76" i="21" s="1"/>
  <c r="U21" i="21"/>
  <c r="U76" i="21" s="1"/>
  <c r="AH21" i="21"/>
  <c r="AH76" i="21" s="1"/>
  <c r="AP21" i="21"/>
  <c r="AP76" i="21" s="1"/>
  <c r="AC21" i="21"/>
  <c r="AC76" i="21" s="1"/>
  <c r="W21" i="21"/>
  <c r="W76" i="21" s="1"/>
  <c r="AR21" i="21"/>
  <c r="AR76" i="21" s="1"/>
  <c r="P21" i="21"/>
  <c r="P76" i="21" s="1"/>
  <c r="J21" i="21"/>
  <c r="J76" i="21" s="1"/>
  <c r="AN21" i="21"/>
  <c r="AN76" i="21" s="1"/>
  <c r="O21" i="21"/>
  <c r="O76" i="21" s="1"/>
  <c r="L21" i="21"/>
  <c r="L76" i="21" s="1"/>
  <c r="T21" i="21"/>
  <c r="T76" i="21" s="1"/>
  <c r="AA21" i="21"/>
  <c r="AA76" i="21" s="1"/>
  <c r="AI21" i="21"/>
  <c r="AI76" i="21" s="1"/>
  <c r="Y21" i="21"/>
  <c r="Y76" i="21" s="1"/>
  <c r="AT21" i="21"/>
  <c r="AT76" i="21" s="1"/>
  <c r="M21" i="21"/>
  <c r="M76" i="21" s="1"/>
  <c r="A17" i="25"/>
  <c r="A228" i="25"/>
  <c r="A131" i="25"/>
  <c r="AK21" i="21"/>
  <c r="AK76" i="21" s="1"/>
  <c r="AS21" i="21"/>
  <c r="AS76" i="21" s="1"/>
  <c r="AF21" i="21"/>
  <c r="AF76" i="21" s="1"/>
  <c r="AM21" i="21"/>
  <c r="AM76" i="21" s="1"/>
  <c r="AU21" i="21"/>
  <c r="AU76" i="21" s="1"/>
  <c r="A227" i="25"/>
  <c r="A130" i="25"/>
  <c r="N21" i="21"/>
  <c r="N76" i="21" s="1"/>
  <c r="V21" i="21"/>
  <c r="V76" i="21" s="1"/>
  <c r="AL21" i="21"/>
  <c r="AL76" i="21" s="1"/>
  <c r="Q21" i="21"/>
  <c r="Q76" i="21" s="1"/>
  <c r="R21" i="21"/>
  <c r="R76" i="21" s="1"/>
  <c r="J11" i="1"/>
  <c r="K11" i="1" s="1"/>
  <c r="L11" i="1" s="1"/>
  <c r="M11" i="1" s="1"/>
  <c r="N11" i="1" s="1"/>
  <c r="O11" i="1" s="1"/>
  <c r="P11" i="1" s="1"/>
  <c r="Q11" i="1" s="1"/>
  <c r="R11" i="1" s="1"/>
  <c r="S11" i="1" s="1"/>
  <c r="T11" i="1" s="1"/>
  <c r="U11" i="1" s="1"/>
  <c r="V11" i="1" s="1"/>
  <c r="W11" i="1" s="1"/>
  <c r="X11" i="1" s="1"/>
  <c r="Y11" i="1" s="1"/>
  <c r="Z11" i="1" s="1"/>
  <c r="AA11" i="1" s="1"/>
  <c r="AB11" i="1" s="1"/>
  <c r="AC11" i="1" s="1"/>
  <c r="AD11" i="1" s="1"/>
  <c r="AE11" i="1" s="1"/>
  <c r="AF11" i="1" s="1"/>
  <c r="AG11" i="1" s="1"/>
  <c r="AH11" i="1" s="1"/>
  <c r="AI11" i="1" s="1"/>
  <c r="AJ11" i="1" s="1"/>
  <c r="AK11" i="1" s="1"/>
  <c r="AL11" i="1" s="1"/>
  <c r="AM11" i="1" s="1"/>
  <c r="AN11" i="1" s="1"/>
  <c r="AO11" i="1" s="1"/>
  <c r="AP11" i="1" s="1"/>
  <c r="AQ11" i="1" s="1"/>
  <c r="G120" i="21"/>
  <c r="G60" i="21"/>
  <c r="G61" i="21"/>
  <c r="G121" i="21" s="1"/>
  <c r="G62" i="21"/>
  <c r="G122" i="21" s="1"/>
  <c r="G63" i="21"/>
  <c r="G123" i="21" s="1"/>
  <c r="G64" i="21"/>
  <c r="G124" i="21" s="1"/>
  <c r="G65" i="21"/>
  <c r="G125" i="21" s="1"/>
  <c r="G66" i="21"/>
  <c r="G126" i="21" s="1"/>
  <c r="G67" i="21"/>
  <c r="G127" i="21" s="1"/>
  <c r="G68" i="21"/>
  <c r="G128" i="21" s="1"/>
  <c r="G69" i="21"/>
  <c r="G129" i="21" s="1"/>
  <c r="G70" i="21"/>
  <c r="G130" i="21" s="1"/>
  <c r="G71" i="21"/>
  <c r="G131" i="21" s="1"/>
  <c r="G72" i="21"/>
  <c r="G132" i="21" s="1"/>
  <c r="G73" i="21"/>
  <c r="G133" i="21" s="1"/>
  <c r="G74" i="21"/>
  <c r="G134" i="21" s="1"/>
  <c r="G77" i="21"/>
  <c r="G137" i="21" s="1"/>
  <c r="G78" i="21"/>
  <c r="G138" i="21" s="1"/>
  <c r="G79" i="21"/>
  <c r="G139" i="21" s="1"/>
  <c r="G80" i="21"/>
  <c r="G140" i="21" s="1"/>
  <c r="G81" i="21"/>
  <c r="G141" i="21" s="1"/>
  <c r="G82" i="21"/>
  <c r="G142" i="21" s="1"/>
  <c r="G83" i="21"/>
  <c r="G143" i="21" s="1"/>
  <c r="G84" i="21"/>
  <c r="G144" i="21" s="1"/>
  <c r="G85" i="21"/>
  <c r="G145" i="21" s="1"/>
  <c r="G86" i="21"/>
  <c r="G146" i="21" s="1"/>
  <c r="G87" i="21"/>
  <c r="G147" i="21" s="1"/>
  <c r="G88" i="21"/>
  <c r="G148" i="21" s="1"/>
  <c r="G89" i="21"/>
  <c r="G149" i="21" s="1"/>
  <c r="G90" i="21"/>
  <c r="G150" i="21" s="1"/>
  <c r="G91" i="21"/>
  <c r="G151" i="21" s="1"/>
  <c r="G92" i="21"/>
  <c r="G152" i="21" s="1"/>
  <c r="G93" i="21"/>
  <c r="G153" i="21" s="1"/>
  <c r="G94" i="21"/>
  <c r="G154" i="21" s="1"/>
  <c r="G95" i="21"/>
  <c r="G155" i="21" s="1"/>
  <c r="G96" i="21"/>
  <c r="G156" i="21" s="1"/>
  <c r="G97" i="21"/>
  <c r="G157" i="21" s="1"/>
  <c r="G98" i="21"/>
  <c r="G158" i="21" s="1"/>
  <c r="G99" i="21"/>
  <c r="G159" i="21" s="1"/>
  <c r="G100" i="21"/>
  <c r="G160" i="21" s="1"/>
  <c r="G101" i="21"/>
  <c r="G161" i="21" s="1"/>
  <c r="G102" i="21"/>
  <c r="G162" i="21" s="1"/>
  <c r="G103" i="21"/>
  <c r="G163" i="21" s="1"/>
  <c r="G104" i="21"/>
  <c r="G164" i="21" s="1"/>
  <c r="G105" i="21"/>
  <c r="G165" i="21" s="1"/>
  <c r="G106" i="21"/>
  <c r="G166" i="21" s="1"/>
  <c r="G107" i="21"/>
  <c r="G167" i="21" s="1"/>
  <c r="G108" i="21"/>
  <c r="G168" i="21" s="1"/>
  <c r="G109" i="21"/>
  <c r="G169" i="21" s="1"/>
  <c r="G110" i="21"/>
  <c r="G170" i="21" s="1"/>
  <c r="G59" i="21"/>
  <c r="G119" i="21" s="1"/>
  <c r="C23" i="1"/>
  <c r="C34" i="1"/>
  <c r="B34" i="1" s="1"/>
  <c r="J58" i="21"/>
  <c r="K58" i="21"/>
  <c r="L58" i="21"/>
  <c r="M58" i="21"/>
  <c r="N58" i="21"/>
  <c r="O58" i="21"/>
  <c r="P58" i="21"/>
  <c r="Q58" i="21"/>
  <c r="R58" i="21"/>
  <c r="S58" i="21"/>
  <c r="T58" i="21"/>
  <c r="U58" i="21"/>
  <c r="V58" i="21"/>
  <c r="W58" i="21"/>
  <c r="X58" i="21"/>
  <c r="Y58" i="21"/>
  <c r="Z58" i="21"/>
  <c r="AA58" i="21"/>
  <c r="AB58" i="21"/>
  <c r="AC58" i="21"/>
  <c r="AD58" i="21"/>
  <c r="AE58" i="21"/>
  <c r="AF58" i="21"/>
  <c r="AG58" i="21"/>
  <c r="AH58" i="21"/>
  <c r="AI58" i="21"/>
  <c r="AJ58" i="21"/>
  <c r="AK58" i="21"/>
  <c r="AL58" i="21"/>
  <c r="AM58" i="21"/>
  <c r="AN58" i="21"/>
  <c r="AO58" i="21"/>
  <c r="AP58" i="21"/>
  <c r="AQ58" i="21"/>
  <c r="AR58" i="21"/>
  <c r="AS58" i="21"/>
  <c r="AT58" i="21"/>
  <c r="AU58" i="21"/>
  <c r="I58" i="21"/>
  <c r="BL125" i="25" l="1"/>
  <c r="BL126" i="25"/>
  <c r="BL127" i="25"/>
  <c r="BL128" i="25"/>
  <c r="BL129" i="25"/>
  <c r="BL130" i="25"/>
  <c r="BL131" i="25"/>
  <c r="BL132" i="25"/>
  <c r="BL133" i="25"/>
  <c r="BL134" i="25"/>
  <c r="BL135" i="25"/>
  <c r="BL136" i="25"/>
  <c r="BL138" i="25"/>
  <c r="BL139" i="25"/>
  <c r="BL140" i="25"/>
  <c r="BL141" i="25"/>
  <c r="BL142" i="25"/>
  <c r="BL124" i="25"/>
  <c r="BL144" i="25"/>
  <c r="BL145" i="25"/>
  <c r="BL146" i="25"/>
  <c r="BL147" i="25"/>
  <c r="BL148" i="25"/>
  <c r="BL149" i="25"/>
  <c r="BL150" i="25"/>
  <c r="BL151" i="25"/>
  <c r="BL152" i="25"/>
  <c r="BL153" i="25"/>
  <c r="BL154" i="25"/>
  <c r="BL155" i="25"/>
  <c r="BL156" i="25"/>
  <c r="BL157" i="25"/>
  <c r="BL158" i="25"/>
  <c r="BL161" i="25"/>
  <c r="BL162" i="25"/>
  <c r="BL163" i="25"/>
  <c r="BL164" i="25"/>
  <c r="BL165" i="25"/>
  <c r="BL166" i="25"/>
  <c r="BL167" i="25"/>
  <c r="BL168" i="25"/>
  <c r="BL169" i="25"/>
  <c r="BL170" i="25"/>
  <c r="BL171" i="25"/>
  <c r="BL172" i="25"/>
  <c r="BL174" i="25"/>
  <c r="BL175" i="25"/>
  <c r="BL176" i="25"/>
  <c r="BL177" i="25"/>
  <c r="BL178" i="25"/>
  <c r="BL180" i="25"/>
  <c r="BL181" i="25"/>
  <c r="BL185" i="25"/>
  <c r="BL188" i="25"/>
  <c r="BL193" i="25"/>
  <c r="BL184" i="25"/>
  <c r="BL191" i="25"/>
  <c r="BL198" i="25"/>
  <c r="BL200" i="25"/>
  <c r="BL123" i="25"/>
  <c r="BL210" i="25"/>
  <c r="BL213" i="25"/>
  <c r="BL214" i="25"/>
  <c r="BL215" i="25"/>
  <c r="BL190" i="25"/>
  <c r="BL195" i="25"/>
  <c r="BL205" i="25"/>
  <c r="BL206" i="25"/>
  <c r="BL207" i="25"/>
  <c r="BL208" i="25"/>
  <c r="BL209" i="25"/>
  <c r="BL211" i="25"/>
  <c r="BL212" i="25"/>
  <c r="BL199" i="25"/>
  <c r="BL201" i="25"/>
  <c r="BL187" i="25"/>
  <c r="BL192" i="25"/>
  <c r="BL194" i="25"/>
  <c r="BL196" i="25"/>
  <c r="BL202" i="25"/>
  <c r="BL203" i="25"/>
  <c r="BL204" i="25"/>
  <c r="BL143" i="25"/>
  <c r="BL183" i="25"/>
  <c r="BL186" i="25"/>
  <c r="BL189" i="25"/>
  <c r="BL197" i="25"/>
  <c r="N113" i="21"/>
  <c r="J114" i="21"/>
  <c r="BL58" i="25" s="1"/>
  <c r="A229" i="25"/>
  <c r="A132" i="25"/>
  <c r="A18" i="25"/>
  <c r="A38" i="25"/>
  <c r="BL270" i="25" l="1"/>
  <c r="BL43" i="25"/>
  <c r="BL100" i="25"/>
  <c r="BL65" i="25"/>
  <c r="BL277" i="25" s="1"/>
  <c r="J135" i="21"/>
  <c r="BL41" i="25"/>
  <c r="BL253" i="25" s="1"/>
  <c r="BL96" i="25"/>
  <c r="BL308" i="25" s="1"/>
  <c r="BL95" i="25"/>
  <c r="BL307" i="25" s="1"/>
  <c r="BL26" i="25"/>
  <c r="BL238" i="25" s="1"/>
  <c r="BL85" i="25"/>
  <c r="BL297" i="25" s="1"/>
  <c r="BL56" i="25"/>
  <c r="BL268" i="25" s="1"/>
  <c r="AB367" i="25" s="1"/>
  <c r="M24" i="29" s="1"/>
  <c r="BL27" i="25"/>
  <c r="BL239" i="25" s="1"/>
  <c r="BL55" i="25"/>
  <c r="BL267" i="25" s="1"/>
  <c r="K114" i="21"/>
  <c r="BL63" i="25"/>
  <c r="BL275" i="25" s="1"/>
  <c r="BL83" i="25"/>
  <c r="BL295" i="25" s="1"/>
  <c r="J136" i="21"/>
  <c r="BL84" i="25"/>
  <c r="BL296" i="25" s="1"/>
  <c r="BL57" i="25"/>
  <c r="BL269" i="25" s="1"/>
  <c r="AB369" i="25" s="1"/>
  <c r="M25" i="29" s="1"/>
  <c r="BL19" i="25"/>
  <c r="BL93" i="25"/>
  <c r="BL21" i="25"/>
  <c r="BL233" i="25" s="1"/>
  <c r="BL40" i="25"/>
  <c r="BL252" i="25" s="1"/>
  <c r="BL94" i="25"/>
  <c r="BL306" i="25" s="1"/>
  <c r="BL279" i="25"/>
  <c r="BL276" i="25"/>
  <c r="BL248" i="25"/>
  <c r="BL278" i="25"/>
  <c r="BL251" i="25"/>
  <c r="BM125" i="25"/>
  <c r="BM126" i="25"/>
  <c r="BM127" i="25"/>
  <c r="BM128" i="25"/>
  <c r="BM129" i="25"/>
  <c r="BM130" i="25"/>
  <c r="BM131" i="25"/>
  <c r="BM132" i="25"/>
  <c r="BM133" i="25"/>
  <c r="BM124" i="25"/>
  <c r="BM144" i="25"/>
  <c r="BM145" i="25"/>
  <c r="BM146" i="25"/>
  <c r="BM147" i="25"/>
  <c r="BM148" i="25"/>
  <c r="BM149" i="25"/>
  <c r="BM150" i="25"/>
  <c r="BM151" i="25"/>
  <c r="BM248" i="25" s="1"/>
  <c r="BM152" i="25"/>
  <c r="BM154" i="25"/>
  <c r="BM251" i="25" s="1"/>
  <c r="BM156" i="25"/>
  <c r="BM153" i="25"/>
  <c r="BM135" i="25"/>
  <c r="BM138" i="25"/>
  <c r="BM140" i="25"/>
  <c r="BM155" i="25"/>
  <c r="BM143" i="25"/>
  <c r="BM183" i="25"/>
  <c r="BM187" i="25"/>
  <c r="BM188" i="25"/>
  <c r="BM189" i="25"/>
  <c r="BM190" i="25"/>
  <c r="BM191" i="25"/>
  <c r="BM192" i="25"/>
  <c r="BM193" i="25"/>
  <c r="BM194" i="25"/>
  <c r="BM195" i="25"/>
  <c r="BM196" i="25"/>
  <c r="BM197" i="25"/>
  <c r="BM158" i="25"/>
  <c r="BM161" i="25"/>
  <c r="BM166" i="25"/>
  <c r="BM170" i="25"/>
  <c r="BM174" i="25"/>
  <c r="BM179" i="25"/>
  <c r="BM204" i="25"/>
  <c r="BM162" i="25"/>
  <c r="BM167" i="25"/>
  <c r="BM171" i="25"/>
  <c r="BM177" i="25"/>
  <c r="BM182" i="25"/>
  <c r="BM279" i="25" s="1"/>
  <c r="BM139" i="25"/>
  <c r="BM164" i="25"/>
  <c r="BM169" i="25"/>
  <c r="BM172" i="25"/>
  <c r="BM203" i="25"/>
  <c r="BM136" i="25"/>
  <c r="BM123" i="25"/>
  <c r="BM163" i="25"/>
  <c r="BM168" i="25"/>
  <c r="BM175" i="25"/>
  <c r="BM202" i="25"/>
  <c r="BM134" i="25"/>
  <c r="BM206" i="25"/>
  <c r="BM207" i="25"/>
  <c r="BM208" i="25"/>
  <c r="BM209" i="25"/>
  <c r="BM210" i="25"/>
  <c r="BM211" i="25"/>
  <c r="BM212" i="25"/>
  <c r="BM213" i="25"/>
  <c r="BM214" i="25"/>
  <c r="BM215" i="25"/>
  <c r="BM157" i="25"/>
  <c r="BM165" i="25"/>
  <c r="BM176" i="25"/>
  <c r="BM278" i="25"/>
  <c r="BM201" i="25"/>
  <c r="BL255" i="25"/>
  <c r="BL20" i="25"/>
  <c r="BL74" i="25"/>
  <c r="O113" i="21"/>
  <c r="A250" i="25"/>
  <c r="A153" i="25"/>
  <c r="A230" i="25"/>
  <c r="A133" i="25"/>
  <c r="H110" i="21"/>
  <c r="H170" i="21" s="1"/>
  <c r="H109" i="21"/>
  <c r="H169" i="21" s="1"/>
  <c r="H108" i="21"/>
  <c r="H168" i="21" s="1"/>
  <c r="H105" i="21"/>
  <c r="H165" i="21" s="1"/>
  <c r="H104" i="21"/>
  <c r="H164" i="21" s="1"/>
  <c r="H103" i="21"/>
  <c r="H163" i="21" s="1"/>
  <c r="H102" i="21"/>
  <c r="H162" i="21" s="1"/>
  <c r="H101" i="21"/>
  <c r="H161" i="21" s="1"/>
  <c r="H100" i="21"/>
  <c r="H160" i="21" s="1"/>
  <c r="H99" i="21"/>
  <c r="H159" i="21" s="1"/>
  <c r="H98" i="21"/>
  <c r="H158" i="21" s="1"/>
  <c r="H97" i="21"/>
  <c r="H157" i="21" s="1"/>
  <c r="H96" i="21"/>
  <c r="H156" i="21" s="1"/>
  <c r="H95" i="21"/>
  <c r="H155" i="21" s="1"/>
  <c r="H94" i="21"/>
  <c r="H154" i="21" s="1"/>
  <c r="H93" i="21"/>
  <c r="H153" i="21" s="1"/>
  <c r="H92" i="21"/>
  <c r="H152" i="21" s="1"/>
  <c r="H91" i="21"/>
  <c r="H151" i="21" s="1"/>
  <c r="H90" i="21"/>
  <c r="H150" i="21" s="1"/>
  <c r="H89" i="21"/>
  <c r="H149" i="21" s="1"/>
  <c r="H88" i="21"/>
  <c r="H148" i="21" s="1"/>
  <c r="H87" i="21"/>
  <c r="H147" i="21" s="1"/>
  <c r="H86" i="21"/>
  <c r="H146" i="21" s="1"/>
  <c r="H85" i="21"/>
  <c r="H145" i="21" s="1"/>
  <c r="H84" i="21"/>
  <c r="H144" i="21" s="1"/>
  <c r="H83" i="21"/>
  <c r="H143" i="21" s="1"/>
  <c r="H77" i="21"/>
  <c r="H137" i="21" s="1"/>
  <c r="H74" i="21"/>
  <c r="H134" i="21" s="1"/>
  <c r="H73" i="21"/>
  <c r="H133" i="21" s="1"/>
  <c r="H72" i="21"/>
  <c r="H132" i="21" s="1"/>
  <c r="H71" i="21"/>
  <c r="H131" i="21" s="1"/>
  <c r="H70" i="21"/>
  <c r="H130" i="21" s="1"/>
  <c r="H69" i="21"/>
  <c r="H129" i="21" s="1"/>
  <c r="H68" i="21"/>
  <c r="H128" i="21" s="1"/>
  <c r="H67" i="21"/>
  <c r="H127" i="21" s="1"/>
  <c r="H66" i="21"/>
  <c r="H126" i="21" s="1"/>
  <c r="H65" i="21"/>
  <c r="H125" i="21" s="1"/>
  <c r="H64" i="21"/>
  <c r="H124" i="21" s="1"/>
  <c r="H63" i="21"/>
  <c r="H123" i="21" s="1"/>
  <c r="H61" i="21"/>
  <c r="H121" i="21" s="1"/>
  <c r="H60" i="21"/>
  <c r="H120" i="21" s="1"/>
  <c r="H59" i="21"/>
  <c r="H119" i="21" s="1"/>
  <c r="B59" i="21"/>
  <c r="B119" i="21" s="1"/>
  <c r="C59" i="21"/>
  <c r="C119" i="21" s="1"/>
  <c r="B60" i="21"/>
  <c r="B120" i="21" s="1"/>
  <c r="C60" i="21"/>
  <c r="C120" i="21" s="1"/>
  <c r="B61" i="21"/>
  <c r="B121" i="21" s="1"/>
  <c r="C61" i="21"/>
  <c r="C121" i="21" s="1"/>
  <c r="B62" i="21"/>
  <c r="B122" i="21" s="1"/>
  <c r="B63" i="21"/>
  <c r="B123" i="21" s="1"/>
  <c r="C63" i="21"/>
  <c r="C123" i="21" s="1"/>
  <c r="B64" i="21"/>
  <c r="B124" i="21" s="1"/>
  <c r="C64" i="21"/>
  <c r="C124" i="21" s="1"/>
  <c r="B65" i="21"/>
  <c r="B125" i="21" s="1"/>
  <c r="C65" i="21"/>
  <c r="C125" i="21" s="1"/>
  <c r="B66" i="21"/>
  <c r="B126" i="21" s="1"/>
  <c r="C66" i="21"/>
  <c r="C126" i="21" s="1"/>
  <c r="B67" i="21"/>
  <c r="B127" i="21" s="1"/>
  <c r="C67" i="21"/>
  <c r="C127" i="21" s="1"/>
  <c r="D67" i="21"/>
  <c r="D127" i="21" s="1"/>
  <c r="E67" i="21"/>
  <c r="E127" i="21" s="1"/>
  <c r="F67" i="21"/>
  <c r="F127" i="21" s="1"/>
  <c r="B68" i="21"/>
  <c r="B128" i="21" s="1"/>
  <c r="C68" i="21"/>
  <c r="C128" i="21" s="1"/>
  <c r="B69" i="21"/>
  <c r="B129" i="21" s="1"/>
  <c r="C69" i="21"/>
  <c r="C129" i="21" s="1"/>
  <c r="B70" i="21"/>
  <c r="B130" i="21" s="1"/>
  <c r="C70" i="21"/>
  <c r="C130" i="21" s="1"/>
  <c r="B71" i="21"/>
  <c r="B131" i="21" s="1"/>
  <c r="C71" i="21"/>
  <c r="C131" i="21" s="1"/>
  <c r="B72" i="21"/>
  <c r="B132" i="21" s="1"/>
  <c r="C72" i="21"/>
  <c r="C132" i="21" s="1"/>
  <c r="B73" i="21"/>
  <c r="B133" i="21" s="1"/>
  <c r="C73" i="21"/>
  <c r="C133" i="21" s="1"/>
  <c r="B74" i="21"/>
  <c r="B134" i="21" s="1"/>
  <c r="C74" i="21"/>
  <c r="C134" i="21" s="1"/>
  <c r="B77" i="21"/>
  <c r="B137" i="21" s="1"/>
  <c r="C77" i="21"/>
  <c r="C137" i="21" s="1"/>
  <c r="B78" i="21"/>
  <c r="B138" i="21" s="1"/>
  <c r="C78" i="21"/>
  <c r="C138" i="21" s="1"/>
  <c r="B79" i="21"/>
  <c r="B139" i="21" s="1"/>
  <c r="C79" i="21"/>
  <c r="C139" i="21" s="1"/>
  <c r="B80" i="21"/>
  <c r="B140" i="21" s="1"/>
  <c r="C80" i="21"/>
  <c r="C140" i="21" s="1"/>
  <c r="B81" i="21"/>
  <c r="B141" i="21" s="1"/>
  <c r="C81" i="21"/>
  <c r="C141" i="21" s="1"/>
  <c r="B82" i="21"/>
  <c r="B142" i="21" s="1"/>
  <c r="C82" i="21"/>
  <c r="C142" i="21" s="1"/>
  <c r="B83" i="21"/>
  <c r="B143" i="21" s="1"/>
  <c r="C83" i="21"/>
  <c r="C143" i="21" s="1"/>
  <c r="B84" i="21"/>
  <c r="B144" i="21" s="1"/>
  <c r="C84" i="21"/>
  <c r="C144" i="21" s="1"/>
  <c r="B85" i="21"/>
  <c r="B145" i="21" s="1"/>
  <c r="C85" i="21"/>
  <c r="C145" i="21" s="1"/>
  <c r="B86" i="21"/>
  <c r="B146" i="21" s="1"/>
  <c r="C86" i="21"/>
  <c r="C146" i="21" s="1"/>
  <c r="B87" i="21"/>
  <c r="B147" i="21" s="1"/>
  <c r="C87" i="21"/>
  <c r="C147" i="21" s="1"/>
  <c r="B88" i="21"/>
  <c r="B148" i="21" s="1"/>
  <c r="C88" i="21"/>
  <c r="C148" i="21" s="1"/>
  <c r="B89" i="21"/>
  <c r="B149" i="21" s="1"/>
  <c r="C89" i="21"/>
  <c r="C149" i="21" s="1"/>
  <c r="B90" i="21"/>
  <c r="B150" i="21" s="1"/>
  <c r="C90" i="21"/>
  <c r="C150" i="21" s="1"/>
  <c r="B91" i="21"/>
  <c r="B151" i="21" s="1"/>
  <c r="C91" i="21"/>
  <c r="C151" i="21" s="1"/>
  <c r="B92" i="21"/>
  <c r="B152" i="21" s="1"/>
  <c r="C92" i="21"/>
  <c r="C152" i="21" s="1"/>
  <c r="D92" i="21"/>
  <c r="D152" i="21" s="1"/>
  <c r="E92" i="21"/>
  <c r="E152" i="21" s="1"/>
  <c r="F92" i="21"/>
  <c r="F152" i="21" s="1"/>
  <c r="B93" i="21"/>
  <c r="B153" i="21" s="1"/>
  <c r="C93" i="21"/>
  <c r="C153" i="21" s="1"/>
  <c r="D93" i="21"/>
  <c r="D153" i="21" s="1"/>
  <c r="E93" i="21"/>
  <c r="E153" i="21" s="1"/>
  <c r="F93" i="21"/>
  <c r="F153" i="21" s="1"/>
  <c r="B94" i="21"/>
  <c r="B154" i="21" s="1"/>
  <c r="C94" i="21"/>
  <c r="C154" i="21" s="1"/>
  <c r="D94" i="21"/>
  <c r="D154" i="21" s="1"/>
  <c r="E94" i="21"/>
  <c r="E154" i="21" s="1"/>
  <c r="F94" i="21"/>
  <c r="F154" i="21" s="1"/>
  <c r="B95" i="21"/>
  <c r="B155" i="21" s="1"/>
  <c r="C95" i="21"/>
  <c r="C155" i="21" s="1"/>
  <c r="B96" i="21"/>
  <c r="B156" i="21" s="1"/>
  <c r="C96" i="21"/>
  <c r="C156" i="21" s="1"/>
  <c r="B97" i="21"/>
  <c r="B157" i="21" s="1"/>
  <c r="C97" i="21"/>
  <c r="C157" i="21" s="1"/>
  <c r="B98" i="21"/>
  <c r="B158" i="21" s="1"/>
  <c r="C98" i="21"/>
  <c r="C158" i="21" s="1"/>
  <c r="B99" i="21"/>
  <c r="B159" i="21" s="1"/>
  <c r="C99" i="21"/>
  <c r="C159" i="21" s="1"/>
  <c r="B100" i="21"/>
  <c r="B160" i="21" s="1"/>
  <c r="C100" i="21"/>
  <c r="C160" i="21" s="1"/>
  <c r="B101" i="21"/>
  <c r="B161" i="21" s="1"/>
  <c r="C101" i="21"/>
  <c r="C161" i="21" s="1"/>
  <c r="B102" i="21"/>
  <c r="B162" i="21" s="1"/>
  <c r="C102" i="21"/>
  <c r="C162" i="21" s="1"/>
  <c r="B103" i="21"/>
  <c r="B163" i="21" s="1"/>
  <c r="C103" i="21"/>
  <c r="C163" i="21" s="1"/>
  <c r="B104" i="21"/>
  <c r="B164" i="21" s="1"/>
  <c r="C104" i="21"/>
  <c r="C164" i="21" s="1"/>
  <c r="B105" i="21"/>
  <c r="B165" i="21" s="1"/>
  <c r="C105" i="21"/>
  <c r="C165" i="21" s="1"/>
  <c r="A105" i="21"/>
  <c r="A165" i="21" s="1"/>
  <c r="A107" i="21"/>
  <c r="A167" i="21" s="1"/>
  <c r="A99" i="21"/>
  <c r="A159" i="21" s="1"/>
  <c r="A100" i="21"/>
  <c r="A160" i="21" s="1"/>
  <c r="A101" i="21"/>
  <c r="A161" i="21" s="1"/>
  <c r="A102" i="21"/>
  <c r="A162" i="21" s="1"/>
  <c r="A103" i="21"/>
  <c r="A163" i="21" s="1"/>
  <c r="A104" i="21"/>
  <c r="A164" i="21" s="1"/>
  <c r="A91" i="21"/>
  <c r="A151" i="21" s="1"/>
  <c r="A92" i="21"/>
  <c r="A152" i="21" s="1"/>
  <c r="A93" i="21"/>
  <c r="A153" i="21" s="1"/>
  <c r="A94" i="21"/>
  <c r="A154" i="21" s="1"/>
  <c r="A95" i="21"/>
  <c r="A155" i="21" s="1"/>
  <c r="A96" i="21"/>
  <c r="A156" i="21" s="1"/>
  <c r="A97" i="21"/>
  <c r="A157" i="21" s="1"/>
  <c r="A98" i="21"/>
  <c r="A158" i="21" s="1"/>
  <c r="A60" i="21"/>
  <c r="A120" i="21" s="1"/>
  <c r="A61" i="21"/>
  <c r="A121" i="21" s="1"/>
  <c r="A63" i="21"/>
  <c r="A123" i="21" s="1"/>
  <c r="A64" i="21"/>
  <c r="A124" i="21" s="1"/>
  <c r="A65" i="21"/>
  <c r="A125" i="21" s="1"/>
  <c r="A66" i="21"/>
  <c r="A126" i="21" s="1"/>
  <c r="A67" i="21"/>
  <c r="A127" i="21" s="1"/>
  <c r="A68" i="21"/>
  <c r="A128" i="21" s="1"/>
  <c r="A69" i="21"/>
  <c r="A129" i="21" s="1"/>
  <c r="A70" i="21"/>
  <c r="A130" i="21" s="1"/>
  <c r="A71" i="21"/>
  <c r="A131" i="21" s="1"/>
  <c r="A72" i="21"/>
  <c r="A132" i="21" s="1"/>
  <c r="A73" i="21"/>
  <c r="A133" i="21" s="1"/>
  <c r="A74" i="21"/>
  <c r="A134" i="21" s="1"/>
  <c r="A77" i="21"/>
  <c r="A137" i="21" s="1"/>
  <c r="A78" i="21"/>
  <c r="A138" i="21" s="1"/>
  <c r="A79" i="21"/>
  <c r="A139" i="21" s="1"/>
  <c r="A80" i="21"/>
  <c r="A140" i="21" s="1"/>
  <c r="A81" i="21"/>
  <c r="A141" i="21" s="1"/>
  <c r="A82" i="21"/>
  <c r="A142" i="21" s="1"/>
  <c r="A83" i="21"/>
  <c r="A143" i="21" s="1"/>
  <c r="A84" i="21"/>
  <c r="A144" i="21" s="1"/>
  <c r="A85" i="21"/>
  <c r="A145" i="21" s="1"/>
  <c r="A86" i="21"/>
  <c r="A146" i="21" s="1"/>
  <c r="A87" i="21"/>
  <c r="A147" i="21" s="1"/>
  <c r="A88" i="21"/>
  <c r="A148" i="21" s="1"/>
  <c r="A89" i="21"/>
  <c r="A149" i="21" s="1"/>
  <c r="A90" i="21"/>
  <c r="A150" i="21" s="1"/>
  <c r="A59" i="21"/>
  <c r="A119" i="21" s="1"/>
  <c r="H27" i="21"/>
  <c r="H82" i="21" s="1"/>
  <c r="H142" i="21" s="1"/>
  <c r="H23" i="21"/>
  <c r="H24" i="21" s="1"/>
  <c r="H25" i="21" s="1"/>
  <c r="H26" i="21" s="1"/>
  <c r="H81" i="21" s="1"/>
  <c r="H141" i="21" s="1"/>
  <c r="B110" i="21"/>
  <c r="B170" i="21" s="1"/>
  <c r="C110" i="21"/>
  <c r="C170" i="21" s="1"/>
  <c r="D110" i="21"/>
  <c r="D170" i="21" s="1"/>
  <c r="E110" i="21"/>
  <c r="E170" i="21" s="1"/>
  <c r="F110" i="21"/>
  <c r="F170" i="21" s="1"/>
  <c r="A110" i="21"/>
  <c r="A170" i="21" s="1"/>
  <c r="C108" i="21"/>
  <c r="C168" i="21" s="1"/>
  <c r="D108" i="21"/>
  <c r="D168" i="21" s="1"/>
  <c r="E108" i="21"/>
  <c r="E168" i="21" s="1"/>
  <c r="F108" i="21"/>
  <c r="F168" i="21" s="1"/>
  <c r="C109" i="21"/>
  <c r="C169" i="21" s="1"/>
  <c r="D109" i="21"/>
  <c r="D169" i="21" s="1"/>
  <c r="E109" i="21"/>
  <c r="E169" i="21" s="1"/>
  <c r="F109" i="21"/>
  <c r="F169" i="21" s="1"/>
  <c r="H7" i="21"/>
  <c r="H62" i="21" s="1"/>
  <c r="H122" i="21" s="1"/>
  <c r="C7" i="21"/>
  <c r="C62" i="21" s="1"/>
  <c r="C122" i="21" s="1"/>
  <c r="A7" i="21"/>
  <c r="A62" i="21" s="1"/>
  <c r="A122" i="21" s="1"/>
  <c r="A108" i="21"/>
  <c r="A168" i="21" s="1"/>
  <c r="B108" i="21"/>
  <c r="B168" i="21" s="1"/>
  <c r="A109" i="21"/>
  <c r="A169" i="21" s="1"/>
  <c r="B109" i="21"/>
  <c r="B169" i="21" s="1"/>
  <c r="I12" i="21"/>
  <c r="J12" i="21"/>
  <c r="K12" i="21"/>
  <c r="L12" i="21"/>
  <c r="M12" i="21"/>
  <c r="N12" i="21"/>
  <c r="O12" i="21"/>
  <c r="P12" i="21"/>
  <c r="Q12" i="21"/>
  <c r="R12" i="21"/>
  <c r="S12" i="21"/>
  <c r="T12" i="21"/>
  <c r="U12" i="21"/>
  <c r="V12" i="21"/>
  <c r="W12" i="21"/>
  <c r="X12" i="21"/>
  <c r="Y12" i="21"/>
  <c r="Z12" i="21"/>
  <c r="AA12" i="21"/>
  <c r="AB12" i="21"/>
  <c r="AC12" i="21"/>
  <c r="AD12" i="21"/>
  <c r="AE12" i="21"/>
  <c r="AF12" i="21"/>
  <c r="AG12" i="21"/>
  <c r="AH12" i="21"/>
  <c r="AI12" i="21"/>
  <c r="AJ12" i="21"/>
  <c r="AK12" i="21"/>
  <c r="AL12" i="21"/>
  <c r="AM12" i="21"/>
  <c r="AN12" i="21"/>
  <c r="AO12" i="21"/>
  <c r="AP12" i="21"/>
  <c r="AQ12" i="21"/>
  <c r="AR12" i="21"/>
  <c r="AS12" i="21"/>
  <c r="AT12" i="21"/>
  <c r="AU12" i="21"/>
  <c r="I37" i="21"/>
  <c r="J37" i="21"/>
  <c r="K37" i="21"/>
  <c r="L37" i="21"/>
  <c r="M37" i="21"/>
  <c r="N37" i="21"/>
  <c r="O37" i="21"/>
  <c r="P37" i="21"/>
  <c r="Q37" i="21"/>
  <c r="R37" i="21"/>
  <c r="S37" i="21"/>
  <c r="T37" i="21"/>
  <c r="U37" i="21"/>
  <c r="V37" i="21"/>
  <c r="W37" i="21"/>
  <c r="X37" i="21"/>
  <c r="Y37" i="21"/>
  <c r="Z37" i="21"/>
  <c r="AA37" i="21"/>
  <c r="AB37" i="21"/>
  <c r="AC37" i="21"/>
  <c r="AD37" i="21"/>
  <c r="AE37" i="21"/>
  <c r="AF37" i="21"/>
  <c r="AG37" i="21"/>
  <c r="AH37" i="21"/>
  <c r="AI37" i="21"/>
  <c r="AJ37" i="21"/>
  <c r="AK37" i="21"/>
  <c r="AL37" i="21"/>
  <c r="AM37" i="21"/>
  <c r="AN37" i="21"/>
  <c r="AO37" i="21"/>
  <c r="AP37" i="21"/>
  <c r="AQ37" i="21"/>
  <c r="AR37" i="21"/>
  <c r="AS37" i="21"/>
  <c r="AT37" i="21"/>
  <c r="AU37" i="21"/>
  <c r="I38" i="21"/>
  <c r="J38" i="21"/>
  <c r="K38" i="21"/>
  <c r="L38" i="21"/>
  <c r="M38" i="21"/>
  <c r="N38" i="21"/>
  <c r="O38" i="21"/>
  <c r="P38" i="21"/>
  <c r="Q38" i="21"/>
  <c r="R38" i="21"/>
  <c r="S38" i="21"/>
  <c r="T38" i="21"/>
  <c r="U38" i="21"/>
  <c r="V38" i="21"/>
  <c r="W38" i="21"/>
  <c r="X38" i="21"/>
  <c r="Y38" i="21"/>
  <c r="Z38" i="21"/>
  <c r="AA38" i="21"/>
  <c r="AB38" i="21"/>
  <c r="AC38" i="21"/>
  <c r="AD38" i="21"/>
  <c r="AE38" i="21"/>
  <c r="AF38" i="21"/>
  <c r="AG38" i="21"/>
  <c r="AH38" i="21"/>
  <c r="AI38" i="21"/>
  <c r="AJ38" i="21"/>
  <c r="AK38" i="21"/>
  <c r="AL38" i="21"/>
  <c r="AM38" i="21"/>
  <c r="AN38" i="21"/>
  <c r="AO38" i="21"/>
  <c r="AP38" i="21"/>
  <c r="AQ38" i="21"/>
  <c r="AR38" i="21"/>
  <c r="AS38" i="21"/>
  <c r="AT38" i="21"/>
  <c r="AU38" i="21"/>
  <c r="I39" i="21"/>
  <c r="J39" i="21"/>
  <c r="K39" i="21"/>
  <c r="L39" i="21"/>
  <c r="M39" i="21"/>
  <c r="N39" i="21"/>
  <c r="O39" i="21"/>
  <c r="P39" i="21"/>
  <c r="Q39" i="21"/>
  <c r="R39" i="21"/>
  <c r="S39" i="21"/>
  <c r="T39" i="21"/>
  <c r="U39" i="21"/>
  <c r="V39" i="21"/>
  <c r="W39" i="21"/>
  <c r="X39" i="21"/>
  <c r="Y39" i="21"/>
  <c r="Z39" i="21"/>
  <c r="AA39" i="21"/>
  <c r="AB39" i="21"/>
  <c r="AC39" i="21"/>
  <c r="AD39" i="21"/>
  <c r="AE39" i="21"/>
  <c r="AF39" i="21"/>
  <c r="AG39" i="21"/>
  <c r="AH39" i="21"/>
  <c r="AI39" i="21"/>
  <c r="AJ39" i="21"/>
  <c r="AK39" i="21"/>
  <c r="AL39" i="21"/>
  <c r="AM39" i="21"/>
  <c r="AN39" i="21"/>
  <c r="AO39" i="21"/>
  <c r="AP39" i="21"/>
  <c r="AQ39" i="21"/>
  <c r="AR39" i="21"/>
  <c r="AS39" i="21"/>
  <c r="AT39" i="21"/>
  <c r="AU39" i="21"/>
  <c r="E50" i="21"/>
  <c r="E49" i="21"/>
  <c r="E48" i="21"/>
  <c r="E47" i="21"/>
  <c r="E46" i="21"/>
  <c r="E45" i="21"/>
  <c r="E44" i="21"/>
  <c r="E43" i="21"/>
  <c r="E42" i="21"/>
  <c r="E41" i="21"/>
  <c r="E40" i="21"/>
  <c r="E36" i="21"/>
  <c r="E35" i="21"/>
  <c r="E34" i="21"/>
  <c r="E33" i="21"/>
  <c r="E32" i="21"/>
  <c r="E31" i="21"/>
  <c r="E30" i="21"/>
  <c r="P62" i="25" s="1"/>
  <c r="E29" i="21"/>
  <c r="F29" i="21" s="1"/>
  <c r="F84" i="21" s="1"/>
  <c r="F144" i="21" s="1"/>
  <c r="E28" i="21"/>
  <c r="E27" i="21"/>
  <c r="E26" i="21"/>
  <c r="E25" i="21"/>
  <c r="E24" i="21"/>
  <c r="D24" i="21" s="1"/>
  <c r="D79" i="21" s="1"/>
  <c r="D139" i="21" s="1"/>
  <c r="E23" i="21"/>
  <c r="D23" i="21" s="1"/>
  <c r="D78" i="21" s="1"/>
  <c r="D138" i="21" s="1"/>
  <c r="E22" i="21"/>
  <c r="F22" i="21" s="1"/>
  <c r="F77" i="21" s="1"/>
  <c r="F137" i="21" s="1"/>
  <c r="E19" i="21"/>
  <c r="E18" i="21"/>
  <c r="E17" i="21"/>
  <c r="E16" i="21"/>
  <c r="E15" i="21"/>
  <c r="E14" i="21"/>
  <c r="E69" i="21" s="1"/>
  <c r="E129" i="21" s="1"/>
  <c r="P35" i="25" s="1"/>
  <c r="E13" i="21"/>
  <c r="F13" i="21" s="1"/>
  <c r="F68" i="21" s="1"/>
  <c r="F128" i="21" s="1"/>
  <c r="Q34" i="25" s="1"/>
  <c r="E11" i="21"/>
  <c r="D11" i="21" s="1"/>
  <c r="D66" i="21" s="1"/>
  <c r="D126" i="21" s="1"/>
  <c r="E10" i="21"/>
  <c r="E9" i="21"/>
  <c r="E8" i="21"/>
  <c r="E6" i="21"/>
  <c r="E5" i="21"/>
  <c r="E4" i="21"/>
  <c r="H38" i="1"/>
  <c r="H39" i="1"/>
  <c r="B37" i="1"/>
  <c r="B32" i="1"/>
  <c r="C32" i="1"/>
  <c r="K32" i="1"/>
  <c r="J32" i="1"/>
  <c r="C28" i="1"/>
  <c r="D28" i="1"/>
  <c r="E28" i="1"/>
  <c r="F28" i="1"/>
  <c r="B28" i="1"/>
  <c r="B22" i="1"/>
  <c r="BM22" i="25" l="1"/>
  <c r="BM234" i="25" s="1"/>
  <c r="BM58" i="25"/>
  <c r="AB371" i="25"/>
  <c r="K136" i="21"/>
  <c r="BM11" i="25" s="1"/>
  <c r="BM94" i="25"/>
  <c r="BM96" i="25"/>
  <c r="BM308" i="25" s="1"/>
  <c r="BM93" i="25"/>
  <c r="BM305" i="25" s="1"/>
  <c r="N4" i="30"/>
  <c r="BM95" i="25"/>
  <c r="BL305" i="25"/>
  <c r="BM19" i="25"/>
  <c r="K135" i="21"/>
  <c r="BM10" i="25" s="1"/>
  <c r="L114" i="21"/>
  <c r="BM74" i="25"/>
  <c r="BM21" i="25"/>
  <c r="BM56" i="25"/>
  <c r="BM268" i="25" s="1"/>
  <c r="AC367" i="25" s="1"/>
  <c r="N24" i="29" s="1"/>
  <c r="BM55" i="25"/>
  <c r="BM267" i="25" s="1"/>
  <c r="BL231" i="25"/>
  <c r="BM20" i="25"/>
  <c r="BM232" i="25" s="1"/>
  <c r="BM57" i="25"/>
  <c r="BM269" i="25" s="1"/>
  <c r="AC369" i="25" s="1"/>
  <c r="N25" i="29" s="1"/>
  <c r="BM64" i="25"/>
  <c r="BM276" i="25" s="1"/>
  <c r="BM100" i="25"/>
  <c r="BM41" i="25"/>
  <c r="BM253" i="25" s="1"/>
  <c r="BM40" i="25"/>
  <c r="BM252" i="25" s="1"/>
  <c r="BM43" i="25"/>
  <c r="BM255" i="25" s="1"/>
  <c r="BN125" i="25"/>
  <c r="BN126" i="25"/>
  <c r="BN127" i="25"/>
  <c r="BN128" i="25"/>
  <c r="BN129" i="25"/>
  <c r="BN130" i="25"/>
  <c r="BN131" i="25"/>
  <c r="BN132" i="25"/>
  <c r="BN133" i="25"/>
  <c r="BN134" i="25"/>
  <c r="BN135" i="25"/>
  <c r="BN136" i="25"/>
  <c r="BN138" i="25"/>
  <c r="BN139" i="25"/>
  <c r="BN140" i="25"/>
  <c r="BN141" i="25"/>
  <c r="BN142" i="25"/>
  <c r="BN143" i="25"/>
  <c r="BN124" i="25"/>
  <c r="BN144" i="25"/>
  <c r="BN145" i="25"/>
  <c r="BN146" i="25"/>
  <c r="BN147" i="25"/>
  <c r="BN148" i="25"/>
  <c r="BN149" i="25"/>
  <c r="BN150" i="25"/>
  <c r="BN151" i="25"/>
  <c r="BN248" i="25" s="1"/>
  <c r="BN152" i="25"/>
  <c r="BN153" i="25"/>
  <c r="BN154" i="25"/>
  <c r="BN251" i="25" s="1"/>
  <c r="BN155" i="25"/>
  <c r="BN156" i="25"/>
  <c r="BN183" i="25"/>
  <c r="BN184" i="25"/>
  <c r="BN185" i="25"/>
  <c r="BN186" i="25"/>
  <c r="BN187" i="25"/>
  <c r="BN188" i="25"/>
  <c r="BN189" i="25"/>
  <c r="BN190" i="25"/>
  <c r="BN191" i="25"/>
  <c r="BN192" i="25"/>
  <c r="BN193" i="25"/>
  <c r="BN194" i="25"/>
  <c r="BN195" i="25"/>
  <c r="BN196" i="25"/>
  <c r="BN197" i="25"/>
  <c r="BN198" i="25"/>
  <c r="BN199" i="25"/>
  <c r="BN200" i="25"/>
  <c r="BN201" i="25"/>
  <c r="BN202" i="25"/>
  <c r="BN203" i="25"/>
  <c r="BN204" i="25"/>
  <c r="BN157" i="25"/>
  <c r="BN158" i="25"/>
  <c r="BN159" i="25"/>
  <c r="BN160" i="25"/>
  <c r="BN161" i="25"/>
  <c r="BN162" i="25"/>
  <c r="BN163" i="25"/>
  <c r="BN164" i="25"/>
  <c r="BN165" i="25"/>
  <c r="BN166" i="25"/>
  <c r="BN167" i="25"/>
  <c r="BN168" i="25"/>
  <c r="BN169" i="25"/>
  <c r="BN170" i="25"/>
  <c r="BN171" i="25"/>
  <c r="BN172" i="25"/>
  <c r="BN174" i="25"/>
  <c r="BN175" i="25"/>
  <c r="BN176" i="25"/>
  <c r="BN177" i="25"/>
  <c r="BN178" i="25"/>
  <c r="BN179" i="25"/>
  <c r="BN180" i="25"/>
  <c r="BN181" i="25"/>
  <c r="BN278" i="25" s="1"/>
  <c r="BN182" i="25"/>
  <c r="BN279" i="25" s="1"/>
  <c r="BN205" i="25"/>
  <c r="BN209" i="25"/>
  <c r="BN210" i="25"/>
  <c r="BN206" i="25"/>
  <c r="BN212" i="25"/>
  <c r="BN207" i="25"/>
  <c r="BN208" i="25"/>
  <c r="BN213" i="25"/>
  <c r="BN215" i="25"/>
  <c r="BN123" i="25"/>
  <c r="BN211" i="25"/>
  <c r="BN214" i="25"/>
  <c r="AB376" i="25"/>
  <c r="M30" i="29" s="1"/>
  <c r="AB364" i="25"/>
  <c r="M22" i="29" s="1"/>
  <c r="AB356" i="25"/>
  <c r="M15" i="29" s="1"/>
  <c r="BL286" i="25"/>
  <c r="BL232" i="25"/>
  <c r="P113" i="21"/>
  <c r="P61" i="25"/>
  <c r="BL11" i="25"/>
  <c r="BL10" i="25"/>
  <c r="P71" i="25"/>
  <c r="P72" i="25"/>
  <c r="F31" i="21"/>
  <c r="F42" i="21"/>
  <c r="P91" i="25"/>
  <c r="P92" i="25"/>
  <c r="F50" i="21"/>
  <c r="P99" i="25"/>
  <c r="D49" i="21"/>
  <c r="P98" i="25"/>
  <c r="F4" i="21"/>
  <c r="P45" i="25"/>
  <c r="P46" i="25"/>
  <c r="P44" i="25"/>
  <c r="P37" i="25"/>
  <c r="F5" i="21"/>
  <c r="P47" i="25"/>
  <c r="F25" i="21"/>
  <c r="P29" i="25"/>
  <c r="P28" i="25"/>
  <c r="F33" i="21"/>
  <c r="P75" i="25"/>
  <c r="P76" i="25"/>
  <c r="F26" i="21"/>
  <c r="P31" i="25"/>
  <c r="P30" i="25"/>
  <c r="F43" i="21"/>
  <c r="P8" i="25"/>
  <c r="D15" i="21"/>
  <c r="P12" i="25"/>
  <c r="F44" i="21"/>
  <c r="P9" i="25"/>
  <c r="D6" i="21"/>
  <c r="D61" i="21" s="1"/>
  <c r="D121" i="21" s="1"/>
  <c r="P48" i="25"/>
  <c r="E71" i="21"/>
  <c r="E131" i="21" s="1"/>
  <c r="P13" i="25"/>
  <c r="F34" i="21"/>
  <c r="P77" i="25"/>
  <c r="P78" i="25"/>
  <c r="P79" i="25"/>
  <c r="D45" i="21"/>
  <c r="P32" i="25"/>
  <c r="D8" i="21"/>
  <c r="P52" i="25"/>
  <c r="P51" i="25"/>
  <c r="F17" i="21"/>
  <c r="P14" i="25"/>
  <c r="P15" i="25"/>
  <c r="E82" i="21"/>
  <c r="E142" i="21" s="1"/>
  <c r="P25" i="25"/>
  <c r="P24" i="25"/>
  <c r="D35" i="21"/>
  <c r="P80" i="25"/>
  <c r="P81" i="25"/>
  <c r="F46" i="21"/>
  <c r="P33" i="25"/>
  <c r="F41" i="21"/>
  <c r="P86" i="25"/>
  <c r="P87" i="25"/>
  <c r="P88" i="25"/>
  <c r="E87" i="21"/>
  <c r="E147" i="21" s="1"/>
  <c r="P73" i="25"/>
  <c r="E64" i="21"/>
  <c r="E124" i="21" s="1"/>
  <c r="D18" i="21"/>
  <c r="P16" i="25"/>
  <c r="F28" i="21"/>
  <c r="P23" i="25"/>
  <c r="E91" i="21"/>
  <c r="E151" i="21" s="1"/>
  <c r="P70" i="25"/>
  <c r="F47" i="21"/>
  <c r="P59" i="25"/>
  <c r="F30" i="21"/>
  <c r="Q62" i="25" s="1"/>
  <c r="F10" i="21"/>
  <c r="P53" i="25"/>
  <c r="P42" i="25"/>
  <c r="F19" i="21"/>
  <c r="P18" i="25"/>
  <c r="P17" i="25"/>
  <c r="P38" i="25"/>
  <c r="F40" i="21"/>
  <c r="P89" i="25"/>
  <c r="P90" i="25"/>
  <c r="F48" i="21"/>
  <c r="P97" i="25"/>
  <c r="E100" i="21"/>
  <c r="E160" i="21" s="1"/>
  <c r="E74" i="21"/>
  <c r="E134" i="21" s="1"/>
  <c r="H78" i="21"/>
  <c r="H138" i="21" s="1"/>
  <c r="H80" i="21"/>
  <c r="H140" i="21" s="1"/>
  <c r="E66" i="21"/>
  <c r="E126" i="21" s="1"/>
  <c r="E98" i="21"/>
  <c r="E158" i="21" s="1"/>
  <c r="E84" i="21"/>
  <c r="E144" i="21" s="1"/>
  <c r="J94" i="21"/>
  <c r="J154" i="21" s="1"/>
  <c r="R94" i="21"/>
  <c r="Z94" i="21"/>
  <c r="AH94" i="21"/>
  <c r="AP94" i="21"/>
  <c r="K94" i="21"/>
  <c r="K154" i="21" s="1"/>
  <c r="S94" i="21"/>
  <c r="AA94" i="21"/>
  <c r="AI94" i="21"/>
  <c r="AQ94" i="21"/>
  <c r="L94" i="21"/>
  <c r="T94" i="21"/>
  <c r="AB94" i="21"/>
  <c r="AJ94" i="21"/>
  <c r="AR94" i="21"/>
  <c r="M94" i="21"/>
  <c r="U94" i="21"/>
  <c r="AC94" i="21"/>
  <c r="AK94" i="21"/>
  <c r="AS94" i="21"/>
  <c r="N94" i="21"/>
  <c r="V94" i="21"/>
  <c r="AD94" i="21"/>
  <c r="AL94" i="21"/>
  <c r="AT94" i="21"/>
  <c r="P94" i="21"/>
  <c r="AM94" i="21"/>
  <c r="O94" i="21"/>
  <c r="Q94" i="21"/>
  <c r="AN94" i="21"/>
  <c r="W94" i="21"/>
  <c r="AO94" i="21"/>
  <c r="AF94" i="21"/>
  <c r="X94" i="21"/>
  <c r="AU94" i="21"/>
  <c r="Y94" i="21"/>
  <c r="AE94" i="21"/>
  <c r="I94" i="21"/>
  <c r="I154" i="21" s="1"/>
  <c r="AG94" i="21"/>
  <c r="E103" i="21"/>
  <c r="E163" i="21" s="1"/>
  <c r="E95" i="21"/>
  <c r="E155" i="21" s="1"/>
  <c r="E79" i="21"/>
  <c r="E139" i="21" s="1"/>
  <c r="E61" i="21"/>
  <c r="E121" i="21" s="1"/>
  <c r="H79" i="21"/>
  <c r="H139" i="21" s="1"/>
  <c r="E72" i="21"/>
  <c r="E132" i="21" s="1"/>
  <c r="E101" i="21"/>
  <c r="E161" i="21" s="1"/>
  <c r="E85" i="21"/>
  <c r="E145" i="21" s="1"/>
  <c r="E77" i="21"/>
  <c r="E137" i="21" s="1"/>
  <c r="E59" i="21"/>
  <c r="E119" i="21" s="1"/>
  <c r="E104" i="21"/>
  <c r="E164" i="21" s="1"/>
  <c r="E96" i="21"/>
  <c r="E156" i="21" s="1"/>
  <c r="E88" i="21"/>
  <c r="E148" i="21" s="1"/>
  <c r="E80" i="21"/>
  <c r="E140" i="21" s="1"/>
  <c r="E70" i="21"/>
  <c r="E130" i="21" s="1"/>
  <c r="E90" i="21"/>
  <c r="E150" i="21" s="1"/>
  <c r="E99" i="21"/>
  <c r="E159" i="21" s="1"/>
  <c r="E83" i="21"/>
  <c r="E143" i="21" s="1"/>
  <c r="E73" i="21"/>
  <c r="E133" i="21" s="1"/>
  <c r="E65" i="21"/>
  <c r="E125" i="21" s="1"/>
  <c r="E102" i="21"/>
  <c r="E162" i="21" s="1"/>
  <c r="E86" i="21"/>
  <c r="E146" i="21" s="1"/>
  <c r="E78" i="21"/>
  <c r="E138" i="21" s="1"/>
  <c r="E68" i="21"/>
  <c r="E128" i="21" s="1"/>
  <c r="P34" i="25" s="1"/>
  <c r="E60" i="21"/>
  <c r="E120" i="21" s="1"/>
  <c r="P92" i="21"/>
  <c r="X92" i="21"/>
  <c r="AF92" i="21"/>
  <c r="AN92" i="21"/>
  <c r="I92" i="21"/>
  <c r="I152" i="21" s="1"/>
  <c r="Q92" i="21"/>
  <c r="Y92" i="21"/>
  <c r="AG92" i="21"/>
  <c r="AO92" i="21"/>
  <c r="J92" i="21"/>
  <c r="J152" i="21" s="1"/>
  <c r="R92" i="21"/>
  <c r="Z92" i="21"/>
  <c r="AH92" i="21"/>
  <c r="AP92" i="21"/>
  <c r="K92" i="21"/>
  <c r="K152" i="21" s="1"/>
  <c r="S92" i="21"/>
  <c r="AA92" i="21"/>
  <c r="AI92" i="21"/>
  <c r="AQ92" i="21"/>
  <c r="L92" i="21"/>
  <c r="T92" i="21"/>
  <c r="AB92" i="21"/>
  <c r="AJ92" i="21"/>
  <c r="AR92" i="21"/>
  <c r="AD92" i="21"/>
  <c r="M92" i="21"/>
  <c r="AE92" i="21"/>
  <c r="AC92" i="21"/>
  <c r="N92" i="21"/>
  <c r="AK92" i="21"/>
  <c r="O92" i="21"/>
  <c r="AL92" i="21"/>
  <c r="W92" i="21"/>
  <c r="U92" i="21"/>
  <c r="AM92" i="21"/>
  <c r="AS92" i="21"/>
  <c r="AT92" i="21"/>
  <c r="AU92" i="21"/>
  <c r="V92" i="21"/>
  <c r="E105" i="21"/>
  <c r="E165" i="21" s="1"/>
  <c r="E97" i="21"/>
  <c r="E157" i="21" s="1"/>
  <c r="E89" i="21"/>
  <c r="E149" i="21" s="1"/>
  <c r="E81" i="21"/>
  <c r="E141" i="21" s="1"/>
  <c r="E63" i="21"/>
  <c r="E123" i="21" s="1"/>
  <c r="M67" i="21"/>
  <c r="U67" i="21"/>
  <c r="AC67" i="21"/>
  <c r="AK67" i="21"/>
  <c r="AS67" i="21"/>
  <c r="N67" i="21"/>
  <c r="V67" i="21"/>
  <c r="AD67" i="21"/>
  <c r="AL67" i="21"/>
  <c r="AT67" i="21"/>
  <c r="O67" i="21"/>
  <c r="W67" i="21"/>
  <c r="AE67" i="21"/>
  <c r="AM67" i="21"/>
  <c r="AU67" i="21"/>
  <c r="P67" i="21"/>
  <c r="X67" i="21"/>
  <c r="AF67" i="21"/>
  <c r="AN67" i="21"/>
  <c r="I67" i="21"/>
  <c r="I127" i="21" s="1"/>
  <c r="Q67" i="21"/>
  <c r="Y67" i="21"/>
  <c r="AG67" i="21"/>
  <c r="AO67" i="21"/>
  <c r="K67" i="21"/>
  <c r="K127" i="21" s="1"/>
  <c r="S67" i="21"/>
  <c r="AA67" i="21"/>
  <c r="AI67" i="21"/>
  <c r="AQ67" i="21"/>
  <c r="AB67" i="21"/>
  <c r="AH67" i="21"/>
  <c r="AJ67" i="21"/>
  <c r="J67" i="21"/>
  <c r="J127" i="21" s="1"/>
  <c r="AP67" i="21"/>
  <c r="L67" i="21"/>
  <c r="AR67" i="21"/>
  <c r="T67" i="21"/>
  <c r="R67" i="21"/>
  <c r="Z67" i="21"/>
  <c r="I93" i="21"/>
  <c r="I153" i="21" s="1"/>
  <c r="Q93" i="21"/>
  <c r="Y93" i="21"/>
  <c r="AG93" i="21"/>
  <c r="AO93" i="21"/>
  <c r="J93" i="21"/>
  <c r="J153" i="21" s="1"/>
  <c r="R93" i="21"/>
  <c r="Z93" i="21"/>
  <c r="AH93" i="21"/>
  <c r="AP93" i="21"/>
  <c r="K93" i="21"/>
  <c r="K153" i="21" s="1"/>
  <c r="S93" i="21"/>
  <c r="AA93" i="21"/>
  <c r="AI93" i="21"/>
  <c r="AQ93" i="21"/>
  <c r="L93" i="21"/>
  <c r="T93" i="21"/>
  <c r="AB93" i="21"/>
  <c r="AJ93" i="21"/>
  <c r="AR93" i="21"/>
  <c r="M93" i="21"/>
  <c r="U93" i="21"/>
  <c r="AC93" i="21"/>
  <c r="AK93" i="21"/>
  <c r="AS93" i="21"/>
  <c r="N93" i="21"/>
  <c r="AF93" i="21"/>
  <c r="X93" i="21"/>
  <c r="O93" i="21"/>
  <c r="AL93" i="21"/>
  <c r="AD93" i="21"/>
  <c r="P93" i="21"/>
  <c r="AM93" i="21"/>
  <c r="V93" i="21"/>
  <c r="AN93" i="21"/>
  <c r="AE93" i="21"/>
  <c r="W93" i="21"/>
  <c r="AT93" i="21"/>
  <c r="AU93" i="21"/>
  <c r="L32" i="1"/>
  <c r="E32" i="1" s="1"/>
  <c r="B39" i="1"/>
  <c r="L55" i="21"/>
  <c r="L110" i="21" s="1"/>
  <c r="T55" i="21"/>
  <c r="T110" i="21" s="1"/>
  <c r="D44" i="21"/>
  <c r="W44" i="21" s="1"/>
  <c r="W99" i="21" s="1"/>
  <c r="S54" i="21"/>
  <c r="S109" i="21" s="1"/>
  <c r="AJ55" i="21"/>
  <c r="AJ110" i="21" s="1"/>
  <c r="AB55" i="21"/>
  <c r="AB110" i="21" s="1"/>
  <c r="D29" i="21"/>
  <c r="AR29" i="21" s="1"/>
  <c r="AR84" i="21" s="1"/>
  <c r="K54" i="21"/>
  <c r="K109" i="21" s="1"/>
  <c r="K169" i="21" s="1"/>
  <c r="D46" i="21"/>
  <c r="T46" i="21" s="1"/>
  <c r="T101" i="21" s="1"/>
  <c r="Z53" i="21"/>
  <c r="Z108" i="21" s="1"/>
  <c r="AQ54" i="21"/>
  <c r="AQ109" i="21" s="1"/>
  <c r="AI54" i="21"/>
  <c r="AI109" i="21" s="1"/>
  <c r="M53" i="21"/>
  <c r="M108" i="21" s="1"/>
  <c r="O55" i="21"/>
  <c r="O110" i="21" s="1"/>
  <c r="AA54" i="21"/>
  <c r="AA109" i="21" s="1"/>
  <c r="P55" i="21"/>
  <c r="P110" i="21" s="1"/>
  <c r="AR55" i="21"/>
  <c r="AR110" i="21" s="1"/>
  <c r="N54" i="21"/>
  <c r="N109" i="21" s="1"/>
  <c r="O54" i="21"/>
  <c r="O109" i="21" s="1"/>
  <c r="AT55" i="21"/>
  <c r="AT110" i="21" s="1"/>
  <c r="AL55" i="21"/>
  <c r="AL110" i="21" s="1"/>
  <c r="AD55" i="21"/>
  <c r="AD110" i="21" s="1"/>
  <c r="V55" i="21"/>
  <c r="V110" i="21" s="1"/>
  <c r="N55" i="21"/>
  <c r="N110" i="21" s="1"/>
  <c r="AS54" i="21"/>
  <c r="AS109" i="21" s="1"/>
  <c r="AK54" i="21"/>
  <c r="AK109" i="21" s="1"/>
  <c r="AC54" i="21"/>
  <c r="AC109" i="21" s="1"/>
  <c r="U54" i="21"/>
  <c r="U109" i="21" s="1"/>
  <c r="M54" i="21"/>
  <c r="M109" i="21" s="1"/>
  <c r="AR53" i="21"/>
  <c r="AR108" i="21" s="1"/>
  <c r="AJ53" i="21"/>
  <c r="AJ108" i="21" s="1"/>
  <c r="AB53" i="21"/>
  <c r="AB108" i="21" s="1"/>
  <c r="T53" i="21"/>
  <c r="T108" i="21" s="1"/>
  <c r="L53" i="21"/>
  <c r="L108" i="21" s="1"/>
  <c r="AH53" i="21"/>
  <c r="AH108" i="21" s="1"/>
  <c r="AS55" i="21"/>
  <c r="AS110" i="21" s="1"/>
  <c r="AK55" i="21"/>
  <c r="AK110" i="21" s="1"/>
  <c r="AC55" i="21"/>
  <c r="AC110" i="21" s="1"/>
  <c r="U55" i="21"/>
  <c r="U110" i="21" s="1"/>
  <c r="M55" i="21"/>
  <c r="M110" i="21" s="1"/>
  <c r="AR54" i="21"/>
  <c r="AR109" i="21" s="1"/>
  <c r="AJ54" i="21"/>
  <c r="AJ109" i="21" s="1"/>
  <c r="AB54" i="21"/>
  <c r="AB109" i="21" s="1"/>
  <c r="T54" i="21"/>
  <c r="T109" i="21" s="1"/>
  <c r="L54" i="21"/>
  <c r="L109" i="21" s="1"/>
  <c r="AQ53" i="21"/>
  <c r="AQ108" i="21" s="1"/>
  <c r="AI53" i="21"/>
  <c r="AI108" i="21" s="1"/>
  <c r="AA53" i="21"/>
  <c r="AA108" i="21" s="1"/>
  <c r="S53" i="21"/>
  <c r="S108" i="21" s="1"/>
  <c r="K53" i="21"/>
  <c r="K108" i="21" s="1"/>
  <c r="K168" i="21" s="1"/>
  <c r="J53" i="21"/>
  <c r="J108" i="21" s="1"/>
  <c r="J168" i="21" s="1"/>
  <c r="AQ55" i="21"/>
  <c r="AQ110" i="21" s="1"/>
  <c r="AI55" i="21"/>
  <c r="AI110" i="21" s="1"/>
  <c r="AA55" i="21"/>
  <c r="AA110" i="21" s="1"/>
  <c r="S55" i="21"/>
  <c r="S110" i="21" s="1"/>
  <c r="K55" i="21"/>
  <c r="K110" i="21" s="1"/>
  <c r="K170" i="21" s="1"/>
  <c r="AP54" i="21"/>
  <c r="AP109" i="21" s="1"/>
  <c r="AH54" i="21"/>
  <c r="AH109" i="21" s="1"/>
  <c r="Z54" i="21"/>
  <c r="Z109" i="21" s="1"/>
  <c r="R54" i="21"/>
  <c r="R109" i="21" s="1"/>
  <c r="J54" i="21"/>
  <c r="J109" i="21" s="1"/>
  <c r="J169" i="21" s="1"/>
  <c r="AO53" i="21"/>
  <c r="AO108" i="21" s="1"/>
  <c r="AG53" i="21"/>
  <c r="AG108" i="21" s="1"/>
  <c r="Y53" i="21"/>
  <c r="Y108" i="21" s="1"/>
  <c r="Q53" i="21"/>
  <c r="Q108" i="21" s="1"/>
  <c r="I53" i="21"/>
  <c r="I108" i="21" s="1"/>
  <c r="I168" i="21" s="1"/>
  <c r="AP53" i="21"/>
  <c r="AP108" i="21" s="1"/>
  <c r="AP55" i="21"/>
  <c r="AP110" i="21" s="1"/>
  <c r="AH55" i="21"/>
  <c r="AH110" i="21" s="1"/>
  <c r="Z55" i="21"/>
  <c r="Z110" i="21" s="1"/>
  <c r="R55" i="21"/>
  <c r="R110" i="21" s="1"/>
  <c r="J55" i="21"/>
  <c r="J110" i="21" s="1"/>
  <c r="J170" i="21" s="1"/>
  <c r="AO54" i="21"/>
  <c r="AO109" i="21" s="1"/>
  <c r="AG54" i="21"/>
  <c r="AG109" i="21" s="1"/>
  <c r="Y54" i="21"/>
  <c r="Y109" i="21" s="1"/>
  <c r="Q54" i="21"/>
  <c r="Q109" i="21" s="1"/>
  <c r="I54" i="21"/>
  <c r="I109" i="21" s="1"/>
  <c r="I169" i="21" s="1"/>
  <c r="AN53" i="21"/>
  <c r="AN108" i="21" s="1"/>
  <c r="AF53" i="21"/>
  <c r="AF108" i="21" s="1"/>
  <c r="X53" i="21"/>
  <c r="X108" i="21" s="1"/>
  <c r="P53" i="21"/>
  <c r="P108" i="21" s="1"/>
  <c r="R53" i="21"/>
  <c r="R108" i="21" s="1"/>
  <c r="F18" i="21"/>
  <c r="Q16" i="25" s="1"/>
  <c r="AO55" i="21"/>
  <c r="AO110" i="21" s="1"/>
  <c r="AG55" i="21"/>
  <c r="AG110" i="21" s="1"/>
  <c r="Y55" i="21"/>
  <c r="Y110" i="21" s="1"/>
  <c r="Q55" i="21"/>
  <c r="Q110" i="21" s="1"/>
  <c r="I55" i="21"/>
  <c r="I110" i="21" s="1"/>
  <c r="I170" i="21" s="1"/>
  <c r="AN54" i="21"/>
  <c r="AN109" i="21" s="1"/>
  <c r="AF54" i="21"/>
  <c r="AF109" i="21" s="1"/>
  <c r="X54" i="21"/>
  <c r="X109" i="21" s="1"/>
  <c r="P54" i="21"/>
  <c r="P109" i="21" s="1"/>
  <c r="AU53" i="21"/>
  <c r="AU108" i="21" s="1"/>
  <c r="AM53" i="21"/>
  <c r="AM108" i="21" s="1"/>
  <c r="AE53" i="21"/>
  <c r="AE108" i="21" s="1"/>
  <c r="W53" i="21"/>
  <c r="W108" i="21" s="1"/>
  <c r="O53" i="21"/>
  <c r="O108" i="21" s="1"/>
  <c r="D19" i="21"/>
  <c r="AH19" i="21" s="1"/>
  <c r="AH74" i="21" s="1"/>
  <c r="AN55" i="21"/>
  <c r="AN110" i="21" s="1"/>
  <c r="AF55" i="21"/>
  <c r="AF110" i="21" s="1"/>
  <c r="X55" i="21"/>
  <c r="X110" i="21" s="1"/>
  <c r="AU54" i="21"/>
  <c r="AU109" i="21" s="1"/>
  <c r="AM54" i="21"/>
  <c r="AM109" i="21" s="1"/>
  <c r="AE54" i="21"/>
  <c r="AE109" i="21" s="1"/>
  <c r="W54" i="21"/>
  <c r="W109" i="21" s="1"/>
  <c r="AT53" i="21"/>
  <c r="AT108" i="21" s="1"/>
  <c r="AL53" i="21"/>
  <c r="AL108" i="21" s="1"/>
  <c r="AD53" i="21"/>
  <c r="AD108" i="21" s="1"/>
  <c r="V53" i="21"/>
  <c r="V108" i="21" s="1"/>
  <c r="N53" i="21"/>
  <c r="N108" i="21" s="1"/>
  <c r="AU55" i="21"/>
  <c r="AU110" i="21" s="1"/>
  <c r="AM55" i="21"/>
  <c r="AM110" i="21" s="1"/>
  <c r="AE55" i="21"/>
  <c r="AE110" i="21" s="1"/>
  <c r="W55" i="21"/>
  <c r="W110" i="21" s="1"/>
  <c r="AT54" i="21"/>
  <c r="AT109" i="21" s="1"/>
  <c r="AL54" i="21"/>
  <c r="AL109" i="21" s="1"/>
  <c r="AD54" i="21"/>
  <c r="AD109" i="21" s="1"/>
  <c r="V54" i="21"/>
  <c r="V109" i="21" s="1"/>
  <c r="AS53" i="21"/>
  <c r="AS108" i="21" s="1"/>
  <c r="AK53" i="21"/>
  <c r="AK108" i="21" s="1"/>
  <c r="AC53" i="21"/>
  <c r="AC108" i="21" s="1"/>
  <c r="U53" i="21"/>
  <c r="U108" i="21" s="1"/>
  <c r="D33" i="21"/>
  <c r="E7" i="21"/>
  <c r="F6" i="21"/>
  <c r="D28" i="21"/>
  <c r="O23" i="25" s="1"/>
  <c r="D43" i="21"/>
  <c r="O8" i="25" s="1"/>
  <c r="D47" i="21"/>
  <c r="D4" i="21"/>
  <c r="F23" i="21"/>
  <c r="AB23" i="21" s="1"/>
  <c r="D42" i="21"/>
  <c r="D40" i="21"/>
  <c r="F16" i="21"/>
  <c r="D16" i="21"/>
  <c r="F9" i="21"/>
  <c r="D9" i="21"/>
  <c r="F35" i="21"/>
  <c r="F11" i="21"/>
  <c r="D31" i="21"/>
  <c r="F36" i="21"/>
  <c r="D36" i="21"/>
  <c r="D14" i="21"/>
  <c r="D69" i="21" s="1"/>
  <c r="D129" i="21" s="1"/>
  <c r="F14" i="21"/>
  <c r="F69" i="21" s="1"/>
  <c r="F129" i="21" s="1"/>
  <c r="Q35" i="25" s="1"/>
  <c r="D27" i="21"/>
  <c r="F27" i="21"/>
  <c r="D32" i="21"/>
  <c r="F32" i="21"/>
  <c r="D50" i="21"/>
  <c r="F24" i="21"/>
  <c r="AN29" i="21"/>
  <c r="AN84" i="21" s="1"/>
  <c r="F15" i="21"/>
  <c r="D25" i="21"/>
  <c r="F49" i="21"/>
  <c r="F45" i="21"/>
  <c r="Q32" i="25" s="1"/>
  <c r="D5" i="21"/>
  <c r="F8" i="21"/>
  <c r="D13" i="21"/>
  <c r="D68" i="21" s="1"/>
  <c r="D128" i="21" s="1"/>
  <c r="O34" i="25" s="1"/>
  <c r="D22" i="21"/>
  <c r="D77" i="21" s="1"/>
  <c r="D137" i="21" s="1"/>
  <c r="D30" i="21"/>
  <c r="O62" i="25" s="1"/>
  <c r="D41" i="21"/>
  <c r="D10" i="21"/>
  <c r="D17" i="21"/>
  <c r="D26" i="21"/>
  <c r="D34" i="21"/>
  <c r="D48" i="21"/>
  <c r="D39" i="1"/>
  <c r="C39" i="1"/>
  <c r="BM306" i="25" l="1"/>
  <c r="BN22" i="25"/>
  <c r="BN234" i="25" s="1"/>
  <c r="BN58" i="25"/>
  <c r="BN270" i="25" s="1"/>
  <c r="AD371" i="25" s="1"/>
  <c r="O26" i="29" s="1"/>
  <c r="M26" i="29"/>
  <c r="BM270" i="25"/>
  <c r="BM68" i="25"/>
  <c r="BM307" i="25"/>
  <c r="BM233" i="25"/>
  <c r="BN20" i="25"/>
  <c r="O4" i="30"/>
  <c r="BM286" i="25"/>
  <c r="BN64" i="25"/>
  <c r="BN65" i="25"/>
  <c r="BN56" i="25"/>
  <c r="BN83" i="25"/>
  <c r="BN295" i="25" s="1"/>
  <c r="L153" i="21"/>
  <c r="L154" i="21"/>
  <c r="BN100" i="25"/>
  <c r="BN57" i="25"/>
  <c r="BN74" i="25"/>
  <c r="BN95" i="25"/>
  <c r="BN307" i="25" s="1"/>
  <c r="BN43" i="25"/>
  <c r="BN40" i="25"/>
  <c r="BN252" i="25" s="1"/>
  <c r="BN84" i="25"/>
  <c r="BN296" i="25" s="1"/>
  <c r="BN27" i="25"/>
  <c r="BN239" i="25" s="1"/>
  <c r="BN96" i="25"/>
  <c r="BN308" i="25" s="1"/>
  <c r="BN63" i="25"/>
  <c r="BN41" i="25"/>
  <c r="BN253" i="25" s="1"/>
  <c r="BN93" i="25"/>
  <c r="BN305" i="25" s="1"/>
  <c r="L168" i="21"/>
  <c r="L136" i="21"/>
  <c r="BN11" i="25" s="1"/>
  <c r="BN223" i="25" s="1"/>
  <c r="BN55" i="25"/>
  <c r="AA55" i="25" s="1"/>
  <c r="M114" i="21"/>
  <c r="BO58" i="25" s="1"/>
  <c r="BO270" i="25" s="1"/>
  <c r="AE371" i="25" s="1"/>
  <c r="P26" i="29" s="1"/>
  <c r="BN94" i="25"/>
  <c r="BN19" i="25"/>
  <c r="L169" i="21"/>
  <c r="L127" i="21"/>
  <c r="L170" i="21"/>
  <c r="L135" i="21"/>
  <c r="BN10" i="25" s="1"/>
  <c r="BN222" i="25" s="1"/>
  <c r="BN26" i="25"/>
  <c r="BN21" i="25"/>
  <c r="L152" i="21"/>
  <c r="BN85" i="25"/>
  <c r="BN297" i="25" s="1"/>
  <c r="BM231" i="25"/>
  <c r="AC364" i="25"/>
  <c r="N22" i="29" s="1"/>
  <c r="J12" i="1"/>
  <c r="BO124" i="25"/>
  <c r="BO125" i="25"/>
  <c r="BO126" i="25"/>
  <c r="BO127" i="25"/>
  <c r="BO128" i="25"/>
  <c r="BO129" i="25"/>
  <c r="BO130" i="25"/>
  <c r="BO132" i="25"/>
  <c r="BO153" i="25"/>
  <c r="BO155" i="25"/>
  <c r="BO157" i="25"/>
  <c r="BO158" i="25"/>
  <c r="BO159" i="25"/>
  <c r="BO160" i="25"/>
  <c r="BO161" i="25"/>
  <c r="BO162" i="25"/>
  <c r="BO163" i="25"/>
  <c r="BO164" i="25"/>
  <c r="BO165" i="25"/>
  <c r="BO166" i="25"/>
  <c r="BO167" i="25"/>
  <c r="BO168" i="25"/>
  <c r="BO169" i="25"/>
  <c r="BO170" i="25"/>
  <c r="BO267" i="25" s="1"/>
  <c r="BO171" i="25"/>
  <c r="BO268" i="25" s="1"/>
  <c r="AE367" i="25" s="1"/>
  <c r="P24" i="29" s="1"/>
  <c r="BO172" i="25"/>
  <c r="BO269" i="25" s="1"/>
  <c r="AE369" i="25" s="1"/>
  <c r="P25" i="29" s="1"/>
  <c r="BO174" i="25"/>
  <c r="BO175" i="25"/>
  <c r="BO176" i="25"/>
  <c r="BO177" i="25"/>
  <c r="BO178" i="25"/>
  <c r="BO179" i="25"/>
  <c r="BO180" i="25"/>
  <c r="BO181" i="25"/>
  <c r="BO182" i="25"/>
  <c r="BO279" i="25" s="1"/>
  <c r="BO131" i="25"/>
  <c r="BO143" i="25"/>
  <c r="BO154" i="25"/>
  <c r="BO251" i="25" s="1"/>
  <c r="BO183" i="25"/>
  <c r="BO184" i="25"/>
  <c r="BO185" i="25"/>
  <c r="BO186" i="25"/>
  <c r="BO187" i="25"/>
  <c r="BO188" i="25"/>
  <c r="BO189" i="25"/>
  <c r="BO190" i="25"/>
  <c r="BO191" i="25"/>
  <c r="BO192" i="25"/>
  <c r="BO193" i="25"/>
  <c r="BO194" i="25"/>
  <c r="BO195" i="25"/>
  <c r="BO196" i="25"/>
  <c r="BO197" i="25"/>
  <c r="BO198" i="25"/>
  <c r="BO199" i="25"/>
  <c r="BO200" i="25"/>
  <c r="BO201" i="25"/>
  <c r="BO133" i="25"/>
  <c r="BO134" i="25"/>
  <c r="BO139" i="25"/>
  <c r="BO138" i="25"/>
  <c r="BO215" i="25"/>
  <c r="BO147" i="25"/>
  <c r="BO135" i="25"/>
  <c r="BO140" i="25"/>
  <c r="BO203" i="25"/>
  <c r="BO207" i="25"/>
  <c r="BO142" i="25"/>
  <c r="BO204" i="25"/>
  <c r="BO205" i="25"/>
  <c r="BO208" i="25"/>
  <c r="BO213" i="25"/>
  <c r="BO145" i="25"/>
  <c r="BO151" i="25"/>
  <c r="BO248" i="25" s="1"/>
  <c r="BO144" i="25"/>
  <c r="BO146" i="25"/>
  <c r="BO148" i="25"/>
  <c r="BO150" i="25"/>
  <c r="BO152" i="25"/>
  <c r="BO123" i="25"/>
  <c r="BO156" i="25"/>
  <c r="BO209" i="25"/>
  <c r="BO211" i="25"/>
  <c r="BO212" i="25"/>
  <c r="BO149" i="25"/>
  <c r="BO136" i="25"/>
  <c r="BO141" i="25"/>
  <c r="BO202" i="25"/>
  <c r="BO206" i="25"/>
  <c r="BO210" i="25"/>
  <c r="BO214" i="25"/>
  <c r="BL222" i="25"/>
  <c r="BL223" i="25"/>
  <c r="BM222" i="25"/>
  <c r="BM223" i="25"/>
  <c r="Q113" i="21"/>
  <c r="O35" i="25"/>
  <c r="O61" i="25"/>
  <c r="Q61" i="25"/>
  <c r="Q100" i="25"/>
  <c r="P60" i="25"/>
  <c r="AR44" i="21"/>
  <c r="AR99" i="21" s="1"/>
  <c r="AT46" i="21"/>
  <c r="AT101" i="21" s="1"/>
  <c r="AB78" i="21"/>
  <c r="S46" i="21"/>
  <c r="S101" i="21" s="1"/>
  <c r="BL82" i="25"/>
  <c r="BM82" i="25"/>
  <c r="O71" i="25"/>
  <c r="O72" i="25"/>
  <c r="Q71" i="25"/>
  <c r="Q72" i="25"/>
  <c r="D70" i="21"/>
  <c r="D130" i="21" s="1"/>
  <c r="O12" i="25"/>
  <c r="D85" i="21"/>
  <c r="D145" i="21" s="1"/>
  <c r="D91" i="21"/>
  <c r="D151" i="21" s="1"/>
  <c r="O70" i="25"/>
  <c r="F83" i="21"/>
  <c r="F143" i="21" s="1"/>
  <c r="Q23" i="25"/>
  <c r="F59" i="21"/>
  <c r="F119" i="21" s="1"/>
  <c r="Q45" i="25"/>
  <c r="Q46" i="25"/>
  <c r="Q44" i="25"/>
  <c r="U109" i="25" s="1"/>
  <c r="Q37" i="25"/>
  <c r="F80" i="21"/>
  <c r="F140" i="21" s="1"/>
  <c r="Q29" i="25"/>
  <c r="Q28" i="25"/>
  <c r="D96" i="21"/>
  <c r="D156" i="21" s="1"/>
  <c r="O86" i="25"/>
  <c r="O87" i="25"/>
  <c r="O88" i="25"/>
  <c r="F89" i="21"/>
  <c r="F149" i="21" s="1"/>
  <c r="Q77" i="25"/>
  <c r="Q78" i="25"/>
  <c r="Q79" i="25"/>
  <c r="M29" i="21"/>
  <c r="M84" i="21" s="1"/>
  <c r="D105" i="21"/>
  <c r="D165" i="21" s="1"/>
  <c r="O99" i="25"/>
  <c r="F91" i="21"/>
  <c r="F151" i="21" s="1"/>
  <c r="Q70" i="25"/>
  <c r="F64" i="21"/>
  <c r="F124" i="21" s="1"/>
  <c r="AC47" i="21"/>
  <c r="AC102" i="21" s="1"/>
  <c r="O59" i="25"/>
  <c r="F95" i="21"/>
  <c r="F155" i="21" s="1"/>
  <c r="Q89" i="25"/>
  <c r="Q90" i="25"/>
  <c r="D63" i="21"/>
  <c r="D123" i="21" s="1"/>
  <c r="O51" i="25"/>
  <c r="O52" i="25"/>
  <c r="F98" i="21"/>
  <c r="F158" i="21" s="1"/>
  <c r="Q8" i="25"/>
  <c r="F97" i="21"/>
  <c r="F157" i="21" s="1"/>
  <c r="Q91" i="25"/>
  <c r="Q92" i="25"/>
  <c r="D103" i="21"/>
  <c r="D163" i="21" s="1"/>
  <c r="O97" i="25"/>
  <c r="D80" i="21"/>
  <c r="D140" i="21" s="1"/>
  <c r="O29" i="25"/>
  <c r="O28" i="25"/>
  <c r="AJ29" i="21"/>
  <c r="AJ84" i="21" s="1"/>
  <c r="F87" i="21"/>
  <c r="F147" i="21" s="1"/>
  <c r="Q73" i="25"/>
  <c r="D86" i="21"/>
  <c r="D146" i="21" s="1"/>
  <c r="AI47" i="21"/>
  <c r="AI102" i="21" s="1"/>
  <c r="D89" i="21"/>
  <c r="D149" i="21" s="1"/>
  <c r="O77" i="25"/>
  <c r="O78" i="25"/>
  <c r="O79" i="25"/>
  <c r="Q51" i="25"/>
  <c r="Q52" i="25"/>
  <c r="F70" i="21"/>
  <c r="F130" i="21" s="1"/>
  <c r="Q12" i="25"/>
  <c r="AI29" i="21"/>
  <c r="AI84" i="21" s="1"/>
  <c r="D87" i="21"/>
  <c r="D147" i="21" s="1"/>
  <c r="O73" i="25"/>
  <c r="D71" i="21"/>
  <c r="D131" i="21" s="1"/>
  <c r="O13" i="25"/>
  <c r="F85" i="21"/>
  <c r="F145" i="21" s="1"/>
  <c r="D73" i="21"/>
  <c r="D133" i="21" s="1"/>
  <c r="O16" i="25"/>
  <c r="F96" i="21"/>
  <c r="F156" i="21" s="1"/>
  <c r="Q86" i="25"/>
  <c r="Q87" i="25"/>
  <c r="Q88" i="25"/>
  <c r="D100" i="21"/>
  <c r="D160" i="21" s="1"/>
  <c r="O32" i="25"/>
  <c r="D7" i="21"/>
  <c r="O48" i="25"/>
  <c r="F88" i="21"/>
  <c r="F148" i="21" s="1"/>
  <c r="Q75" i="25"/>
  <c r="Q76" i="25"/>
  <c r="N29" i="21"/>
  <c r="N84" i="21" s="1"/>
  <c r="D90" i="21"/>
  <c r="D150" i="21" s="1"/>
  <c r="O80" i="25"/>
  <c r="O81" i="25"/>
  <c r="D81" i="21"/>
  <c r="D141" i="21" s="1"/>
  <c r="O31" i="25"/>
  <c r="O30" i="25"/>
  <c r="D60" i="21"/>
  <c r="D120" i="21" s="1"/>
  <c r="O47" i="25"/>
  <c r="AS42" i="21"/>
  <c r="AS97" i="21" s="1"/>
  <c r="AH29" i="21"/>
  <c r="AH84" i="21" s="1"/>
  <c r="F82" i="21"/>
  <c r="F142" i="21" s="1"/>
  <c r="Q25" i="25"/>
  <c r="Q24" i="25"/>
  <c r="O47" i="21"/>
  <c r="O102" i="21" s="1"/>
  <c r="F71" i="21"/>
  <c r="F131" i="21" s="1"/>
  <c r="Q13" i="25"/>
  <c r="AF6" i="21"/>
  <c r="AF61" i="21" s="1"/>
  <c r="Q48" i="25"/>
  <c r="F81" i="21"/>
  <c r="F141" i="21" s="1"/>
  <c r="Q31" i="25"/>
  <c r="Q30" i="25"/>
  <c r="F60" i="21"/>
  <c r="F120" i="21" s="1"/>
  <c r="Q47" i="25"/>
  <c r="D104" i="21"/>
  <c r="D164" i="21" s="1"/>
  <c r="O98" i="25"/>
  <c r="F104" i="21"/>
  <c r="F164" i="21" s="1"/>
  <c r="Q98" i="25"/>
  <c r="D64" i="21"/>
  <c r="D124" i="21" s="1"/>
  <c r="O45" i="25"/>
  <c r="O46" i="25"/>
  <c r="O44" i="25"/>
  <c r="O37" i="25"/>
  <c r="E62" i="21"/>
  <c r="E122" i="21" s="1"/>
  <c r="P50" i="25"/>
  <c r="P49" i="25"/>
  <c r="Q46" i="21"/>
  <c r="Q101" i="21" s="1"/>
  <c r="O33" i="25"/>
  <c r="AT44" i="21"/>
  <c r="AT99" i="21" s="1"/>
  <c r="O9" i="25"/>
  <c r="F74" i="21"/>
  <c r="F134" i="21" s="1"/>
  <c r="Q17" i="25"/>
  <c r="Q18" i="25"/>
  <c r="Q38" i="25"/>
  <c r="F102" i="21"/>
  <c r="F162" i="21" s="1"/>
  <c r="Q59" i="25"/>
  <c r="F101" i="21"/>
  <c r="F161" i="21" s="1"/>
  <c r="Q33" i="25"/>
  <c r="F99" i="21"/>
  <c r="F159" i="21" s="1"/>
  <c r="Q9" i="25"/>
  <c r="Q80" i="25"/>
  <c r="Q81" i="25"/>
  <c r="F65" i="21"/>
  <c r="F125" i="21" s="1"/>
  <c r="Q53" i="25"/>
  <c r="Q42" i="25"/>
  <c r="D72" i="21"/>
  <c r="D132" i="21" s="1"/>
  <c r="O14" i="25"/>
  <c r="O15" i="25"/>
  <c r="J29" i="21"/>
  <c r="J84" i="21" s="1"/>
  <c r="J144" i="21" s="1"/>
  <c r="D82" i="21"/>
  <c r="D142" i="21" s="1"/>
  <c r="O25" i="25"/>
  <c r="O24" i="25"/>
  <c r="Y40" i="21"/>
  <c r="Y95" i="21" s="1"/>
  <c r="O89" i="25"/>
  <c r="O90" i="25"/>
  <c r="D65" i="21"/>
  <c r="D125" i="21" s="1"/>
  <c r="O53" i="25"/>
  <c r="O42" i="25"/>
  <c r="AF29" i="21"/>
  <c r="AF84" i="21" s="1"/>
  <c r="O91" i="25"/>
  <c r="O92" i="25"/>
  <c r="O75" i="25"/>
  <c r="O76" i="25"/>
  <c r="O17" i="25"/>
  <c r="O18" i="25"/>
  <c r="O38" i="25"/>
  <c r="F103" i="21"/>
  <c r="F163" i="21" s="1"/>
  <c r="Q97" i="25"/>
  <c r="F72" i="21"/>
  <c r="F132" i="21" s="1"/>
  <c r="Q14" i="25"/>
  <c r="Q15" i="25"/>
  <c r="F105" i="21"/>
  <c r="F165" i="21" s="1"/>
  <c r="Q99" i="25"/>
  <c r="F86" i="21"/>
  <c r="F146" i="21" s="1"/>
  <c r="J47" i="21"/>
  <c r="J102" i="21" s="1"/>
  <c r="J162" i="21" s="1"/>
  <c r="BL59" i="25" s="1"/>
  <c r="X6" i="21"/>
  <c r="X61" i="21" s="1"/>
  <c r="I47" i="21"/>
  <c r="I102" i="21" s="1"/>
  <c r="I162" i="21" s="1"/>
  <c r="AF47" i="21"/>
  <c r="AF102" i="21" s="1"/>
  <c r="AR46" i="21"/>
  <c r="AR101" i="21" s="1"/>
  <c r="AM11" i="21"/>
  <c r="AM66" i="21" s="1"/>
  <c r="F66" i="21"/>
  <c r="F126" i="21" s="1"/>
  <c r="AH44" i="21"/>
  <c r="AH99" i="21" s="1"/>
  <c r="AC46" i="21"/>
  <c r="AC101" i="21" s="1"/>
  <c r="F7" i="21"/>
  <c r="F61" i="21"/>
  <c r="F121" i="21" s="1"/>
  <c r="J40" i="21"/>
  <c r="J95" i="21" s="1"/>
  <c r="J155" i="21" s="1"/>
  <c r="Y46" i="21"/>
  <c r="Y101" i="21" s="1"/>
  <c r="AA24" i="21"/>
  <c r="AA79" i="21" s="1"/>
  <c r="F79" i="21"/>
  <c r="F139" i="21" s="1"/>
  <c r="P44" i="21"/>
  <c r="P99" i="21" s="1"/>
  <c r="O44" i="21"/>
  <c r="O99" i="21" s="1"/>
  <c r="Z42" i="21"/>
  <c r="Z97" i="21" s="1"/>
  <c r="D97" i="21"/>
  <c r="D157" i="21" s="1"/>
  <c r="AG33" i="21"/>
  <c r="AG88" i="21" s="1"/>
  <c r="D88" i="21"/>
  <c r="D148" i="21" s="1"/>
  <c r="W19" i="21"/>
  <c r="W74" i="21" s="1"/>
  <c r="D74" i="21"/>
  <c r="D134" i="21" s="1"/>
  <c r="Y28" i="21"/>
  <c r="Y83" i="21" s="1"/>
  <c r="D83" i="21"/>
  <c r="D143" i="21" s="1"/>
  <c r="AN44" i="21"/>
  <c r="AN99" i="21" s="1"/>
  <c r="J23" i="21"/>
  <c r="J78" i="21" s="1"/>
  <c r="J138" i="21" s="1"/>
  <c r="F78" i="21"/>
  <c r="F138" i="21" s="1"/>
  <c r="AE29" i="21"/>
  <c r="AE84" i="21" s="1"/>
  <c r="D84" i="21"/>
  <c r="D144" i="21" s="1"/>
  <c r="L8" i="21"/>
  <c r="L63" i="21" s="1"/>
  <c r="L123" i="21" s="1"/>
  <c r="F63" i="21"/>
  <c r="F123" i="21" s="1"/>
  <c r="AC40" i="21"/>
  <c r="AC95" i="21" s="1"/>
  <c r="D95" i="21"/>
  <c r="D155" i="21" s="1"/>
  <c r="X45" i="21"/>
  <c r="X100" i="21" s="1"/>
  <c r="F100" i="21"/>
  <c r="F160" i="21" s="1"/>
  <c r="AT40" i="21"/>
  <c r="AT95" i="21" s="1"/>
  <c r="AR4" i="21"/>
  <c r="AR59" i="21" s="1"/>
  <c r="D59" i="21"/>
  <c r="D119" i="21" s="1"/>
  <c r="V46" i="21"/>
  <c r="V101" i="21" s="1"/>
  <c r="D101" i="21"/>
  <c r="D161" i="21" s="1"/>
  <c r="L44" i="21"/>
  <c r="L99" i="21" s="1"/>
  <c r="L159" i="21" s="1"/>
  <c r="BN9" i="25" s="1"/>
  <c r="D99" i="21"/>
  <c r="D159" i="21" s="1"/>
  <c r="I46" i="21"/>
  <c r="I101" i="21" s="1"/>
  <c r="I161" i="21" s="1"/>
  <c r="V44" i="21"/>
  <c r="V99" i="21" s="1"/>
  <c r="R46" i="21"/>
  <c r="R101" i="21" s="1"/>
  <c r="AK40" i="21"/>
  <c r="AK95" i="21" s="1"/>
  <c r="X46" i="21"/>
  <c r="X101" i="21" s="1"/>
  <c r="T44" i="21"/>
  <c r="T99" i="21" s="1"/>
  <c r="AG35" i="21"/>
  <c r="AG90" i="21" s="1"/>
  <c r="F90" i="21"/>
  <c r="F150" i="21" s="1"/>
  <c r="AM46" i="21"/>
  <c r="AM101" i="21" s="1"/>
  <c r="R47" i="21"/>
  <c r="R102" i="21" s="1"/>
  <c r="D102" i="21"/>
  <c r="D162" i="21" s="1"/>
  <c r="X44" i="21"/>
  <c r="X99" i="21" s="1"/>
  <c r="AQ46" i="21"/>
  <c r="AQ101" i="21" s="1"/>
  <c r="U40" i="21"/>
  <c r="U95" i="21" s="1"/>
  <c r="K44" i="21"/>
  <c r="K99" i="21" s="1"/>
  <c r="K159" i="21" s="1"/>
  <c r="BM9" i="25" s="1"/>
  <c r="AU46" i="21"/>
  <c r="AU101" i="21" s="1"/>
  <c r="AQ43" i="21"/>
  <c r="AQ98" i="21" s="1"/>
  <c r="D98" i="21"/>
  <c r="D158" i="21" s="1"/>
  <c r="AA18" i="21"/>
  <c r="AA73" i="21" s="1"/>
  <c r="F73" i="21"/>
  <c r="F133" i="21" s="1"/>
  <c r="AA4" i="21"/>
  <c r="AA59" i="21" s="1"/>
  <c r="AL23" i="21"/>
  <c r="AL78" i="21" s="1"/>
  <c r="AT6" i="21"/>
  <c r="AT61" i="21" s="1"/>
  <c r="AK6" i="21"/>
  <c r="AK61" i="21" s="1"/>
  <c r="S28" i="21"/>
  <c r="S83" i="21" s="1"/>
  <c r="AI6" i="21"/>
  <c r="AI61" i="21" s="1"/>
  <c r="AQ6" i="21"/>
  <c r="AQ61" i="21" s="1"/>
  <c r="AU6" i="21"/>
  <c r="AU61" i="21" s="1"/>
  <c r="S6" i="21"/>
  <c r="S61" i="21" s="1"/>
  <c r="AD24" i="21"/>
  <c r="AD79" i="21" s="1"/>
  <c r="AC18" i="21"/>
  <c r="AC73" i="21" s="1"/>
  <c r="O6" i="21"/>
  <c r="O61" i="21" s="1"/>
  <c r="R24" i="21"/>
  <c r="R79" i="21" s="1"/>
  <c r="AJ18" i="21"/>
  <c r="AJ73" i="21" s="1"/>
  <c r="AU28" i="21"/>
  <c r="AU83" i="21" s="1"/>
  <c r="AM6" i="21"/>
  <c r="AM61" i="21" s="1"/>
  <c r="AC6" i="21"/>
  <c r="AC61" i="21" s="1"/>
  <c r="K6" i="21"/>
  <c r="K61" i="21" s="1"/>
  <c r="K121" i="21" s="1"/>
  <c r="X18" i="21"/>
  <c r="X73" i="21" s="1"/>
  <c r="M18" i="21"/>
  <c r="M73" i="21" s="1"/>
  <c r="Z6" i="21"/>
  <c r="Z61" i="21" s="1"/>
  <c r="J24" i="21"/>
  <c r="J79" i="21" s="1"/>
  <c r="J139" i="21" s="1"/>
  <c r="U6" i="21"/>
  <c r="U61" i="21" s="1"/>
  <c r="Y6" i="21"/>
  <c r="Y61" i="21" s="1"/>
  <c r="AR6" i="21"/>
  <c r="AR61" i="21" s="1"/>
  <c r="R6" i="21"/>
  <c r="R61" i="21" s="1"/>
  <c r="AF24" i="21"/>
  <c r="AF79" i="21" s="1"/>
  <c r="AH42" i="21"/>
  <c r="AH97" i="21" s="1"/>
  <c r="AQ18" i="21"/>
  <c r="AQ73" i="21" s="1"/>
  <c r="AL6" i="21"/>
  <c r="AL61" i="21" s="1"/>
  <c r="AE6" i="21"/>
  <c r="AE61" i="21" s="1"/>
  <c r="Q6" i="21"/>
  <c r="Q61" i="21" s="1"/>
  <c r="AJ6" i="21"/>
  <c r="AJ61" i="21" s="1"/>
  <c r="J6" i="21"/>
  <c r="J61" i="21" s="1"/>
  <c r="J121" i="21" s="1"/>
  <c r="N24" i="21"/>
  <c r="N79" i="21" s="1"/>
  <c r="Y18" i="21"/>
  <c r="Y73" i="21" s="1"/>
  <c r="AP24" i="21"/>
  <c r="AP79" i="21" s="1"/>
  <c r="O18" i="21"/>
  <c r="O73" i="21" s="1"/>
  <c r="AD6" i="21"/>
  <c r="AD61" i="21" s="1"/>
  <c r="I6" i="21"/>
  <c r="I61" i="21" s="1"/>
  <c r="I121" i="21" s="1"/>
  <c r="L6" i="21"/>
  <c r="L61" i="21" s="1"/>
  <c r="L121" i="21" s="1"/>
  <c r="M24" i="21"/>
  <c r="M79" i="21" s="1"/>
  <c r="Q33" i="21"/>
  <c r="Q88" i="21" s="1"/>
  <c r="AH18" i="21"/>
  <c r="AH73" i="21" s="1"/>
  <c r="AN47" i="21"/>
  <c r="AN102" i="21" s="1"/>
  <c r="W47" i="21"/>
  <c r="W102" i="21" s="1"/>
  <c r="T47" i="21"/>
  <c r="T102" i="21" s="1"/>
  <c r="P47" i="21"/>
  <c r="P102" i="21" s="1"/>
  <c r="AA47" i="21"/>
  <c r="AA102" i="21" s="1"/>
  <c r="N46" i="21"/>
  <c r="N101" i="21" s="1"/>
  <c r="M47" i="21"/>
  <c r="M102" i="21" s="1"/>
  <c r="AG47" i="21"/>
  <c r="AG102" i="21" s="1"/>
  <c r="AT47" i="21"/>
  <c r="AT102" i="21" s="1"/>
  <c r="S47" i="21"/>
  <c r="S102" i="21" s="1"/>
  <c r="AD46" i="21"/>
  <c r="AD101" i="21" s="1"/>
  <c r="AT24" i="21"/>
  <c r="AT79" i="21" s="1"/>
  <c r="AS46" i="21"/>
  <c r="AS101" i="21" s="1"/>
  <c r="AF46" i="21"/>
  <c r="AF101" i="21" s="1"/>
  <c r="AE18" i="21"/>
  <c r="AE73" i="21" s="1"/>
  <c r="AN18" i="21"/>
  <c r="AN73" i="21" s="1"/>
  <c r="AA44" i="21"/>
  <c r="AA99" i="21" s="1"/>
  <c r="AP44" i="21"/>
  <c r="AP99" i="21" s="1"/>
  <c r="AD44" i="21"/>
  <c r="AD99" i="21" s="1"/>
  <c r="AK47" i="21"/>
  <c r="AK102" i="21" s="1"/>
  <c r="AR47" i="21"/>
  <c r="AR102" i="21" s="1"/>
  <c r="AL47" i="21"/>
  <c r="AL102" i="21" s="1"/>
  <c r="K47" i="21"/>
  <c r="K102" i="21" s="1"/>
  <c r="K162" i="21" s="1"/>
  <c r="BM59" i="25" s="1"/>
  <c r="J46" i="21"/>
  <c r="J101" i="21" s="1"/>
  <c r="J161" i="21" s="1"/>
  <c r="BL33" i="25" s="1"/>
  <c r="AC44" i="21"/>
  <c r="AC99" i="21" s="1"/>
  <c r="AE47" i="21"/>
  <c r="AE102" i="21" s="1"/>
  <c r="Q24" i="21"/>
  <c r="Q79" i="21" s="1"/>
  <c r="AC24" i="21"/>
  <c r="AC79" i="21" s="1"/>
  <c r="AJ46" i="21"/>
  <c r="AJ101" i="21" s="1"/>
  <c r="AI18" i="21"/>
  <c r="AI73" i="21" s="1"/>
  <c r="AT18" i="21"/>
  <c r="AT73" i="21" s="1"/>
  <c r="AI44" i="21"/>
  <c r="AI99" i="21" s="1"/>
  <c r="Z44" i="21"/>
  <c r="Z99" i="21" s="1"/>
  <c r="L47" i="21"/>
  <c r="L102" i="21" s="1"/>
  <c r="L162" i="21" s="1"/>
  <c r="Q47" i="21"/>
  <c r="Q102" i="21" s="1"/>
  <c r="V47" i="21"/>
  <c r="V102" i="21" s="1"/>
  <c r="AH47" i="21"/>
  <c r="AH102" i="21" s="1"/>
  <c r="AI46" i="21"/>
  <c r="AI101" i="21" s="1"/>
  <c r="AD47" i="21"/>
  <c r="AD102" i="21" s="1"/>
  <c r="AP47" i="21"/>
  <c r="AP102" i="21" s="1"/>
  <c r="T24" i="21"/>
  <c r="T79" i="21" s="1"/>
  <c r="AS44" i="21"/>
  <c r="AS99" i="21" s="1"/>
  <c r="AU47" i="21"/>
  <c r="AU102" i="21" s="1"/>
  <c r="U47" i="21"/>
  <c r="U102" i="21" s="1"/>
  <c r="N47" i="21"/>
  <c r="N102" i="21" s="1"/>
  <c r="Z47" i="21"/>
  <c r="Z102" i="21" s="1"/>
  <c r="X47" i="21"/>
  <c r="X102" i="21" s="1"/>
  <c r="P24" i="21"/>
  <c r="P79" i="21" s="1"/>
  <c r="M46" i="21"/>
  <c r="M101" i="21" s="1"/>
  <c r="N18" i="21"/>
  <c r="N73" i="21" s="1"/>
  <c r="J44" i="21"/>
  <c r="J99" i="21" s="1"/>
  <c r="J159" i="21" s="1"/>
  <c r="BL9" i="25" s="1"/>
  <c r="AN24" i="21"/>
  <c r="AN79" i="21" s="1"/>
  <c r="AR24" i="21"/>
  <c r="AR79" i="21" s="1"/>
  <c r="L46" i="21"/>
  <c r="L101" i="21" s="1"/>
  <c r="L161" i="21" s="1"/>
  <c r="BN33" i="25" s="1"/>
  <c r="AD42" i="21"/>
  <c r="AD97" i="21" s="1"/>
  <c r="AG18" i="21"/>
  <c r="AG73" i="21" s="1"/>
  <c r="AM47" i="21"/>
  <c r="AM102" i="21" s="1"/>
  <c r="O46" i="21"/>
  <c r="O101" i="21" s="1"/>
  <c r="AA46" i="21"/>
  <c r="AA101" i="21" s="1"/>
  <c r="AG44" i="21"/>
  <c r="AG99" i="21" s="1"/>
  <c r="AU44" i="21"/>
  <c r="AU99" i="21" s="1"/>
  <c r="AS47" i="21"/>
  <c r="AS102" i="21" s="1"/>
  <c r="AO47" i="21"/>
  <c r="AO102" i="21" s="1"/>
  <c r="AQ47" i="21"/>
  <c r="AQ102" i="21" s="1"/>
  <c r="AK46" i="21"/>
  <c r="AK101" i="21" s="1"/>
  <c r="Z18" i="21"/>
  <c r="Z73" i="21" s="1"/>
  <c r="AO18" i="21"/>
  <c r="AO73" i="21" s="1"/>
  <c r="R18" i="21"/>
  <c r="R73" i="21" s="1"/>
  <c r="AR18" i="21"/>
  <c r="AR73" i="21" s="1"/>
  <c r="P18" i="21"/>
  <c r="P73" i="21" s="1"/>
  <c r="M19" i="21"/>
  <c r="M74" i="21" s="1"/>
  <c r="K18" i="21"/>
  <c r="K73" i="21" s="1"/>
  <c r="K133" i="21" s="1"/>
  <c r="I18" i="21"/>
  <c r="I73" i="21" s="1"/>
  <c r="I133" i="21" s="1"/>
  <c r="Q18" i="21"/>
  <c r="Q73" i="21" s="1"/>
  <c r="AB18" i="21"/>
  <c r="AB73" i="21" s="1"/>
  <c r="AL18" i="21"/>
  <c r="AL73" i="21" s="1"/>
  <c r="AU18" i="21"/>
  <c r="AU73" i="21" s="1"/>
  <c r="AM18" i="21"/>
  <c r="AM73" i="21" s="1"/>
  <c r="AS18" i="21"/>
  <c r="AS73" i="21" s="1"/>
  <c r="T18" i="21"/>
  <c r="T73" i="21" s="1"/>
  <c r="AD18" i="21"/>
  <c r="AD73" i="21" s="1"/>
  <c r="N23" i="21"/>
  <c r="N78" i="21" s="1"/>
  <c r="J18" i="21"/>
  <c r="J73" i="21" s="1"/>
  <c r="J133" i="21" s="1"/>
  <c r="W18" i="21"/>
  <c r="W73" i="21" s="1"/>
  <c r="AK18" i="21"/>
  <c r="AK73" i="21" s="1"/>
  <c r="L18" i="21"/>
  <c r="L73" i="21" s="1"/>
  <c r="L133" i="21" s="1"/>
  <c r="V18" i="21"/>
  <c r="V73" i="21" s="1"/>
  <c r="AG23" i="21"/>
  <c r="AG78" i="21" s="1"/>
  <c r="AP18" i="21"/>
  <c r="AP73" i="21" s="1"/>
  <c r="S18" i="21"/>
  <c r="S73" i="21" s="1"/>
  <c r="U18" i="21"/>
  <c r="U73" i="21" s="1"/>
  <c r="AF18" i="21"/>
  <c r="AF73" i="21" s="1"/>
  <c r="Y43" i="21"/>
  <c r="Y98" i="21" s="1"/>
  <c r="AL43" i="21"/>
  <c r="AL98" i="21" s="1"/>
  <c r="Q40" i="21"/>
  <c r="Q95" i="21" s="1"/>
  <c r="T29" i="21"/>
  <c r="T84" i="21" s="1"/>
  <c r="O29" i="21"/>
  <c r="O84" i="21" s="1"/>
  <c r="W29" i="21"/>
  <c r="W84" i="21" s="1"/>
  <c r="S29" i="21"/>
  <c r="S84" i="21" s="1"/>
  <c r="AG29" i="21"/>
  <c r="AG84" i="21" s="1"/>
  <c r="U29" i="21"/>
  <c r="U84" i="21" s="1"/>
  <c r="AK29" i="21"/>
  <c r="AK84" i="21" s="1"/>
  <c r="AO29" i="21"/>
  <c r="AO84" i="21" s="1"/>
  <c r="X40" i="21"/>
  <c r="X95" i="21" s="1"/>
  <c r="AT29" i="21"/>
  <c r="AT84" i="21" s="1"/>
  <c r="AM29" i="21"/>
  <c r="AM84" i="21" s="1"/>
  <c r="L29" i="21"/>
  <c r="L84" i="21" s="1"/>
  <c r="L144" i="21" s="1"/>
  <c r="K29" i="21"/>
  <c r="K84" i="21" s="1"/>
  <c r="K144" i="21" s="1"/>
  <c r="Y29" i="21"/>
  <c r="Y84" i="21" s="1"/>
  <c r="AI28" i="21"/>
  <c r="AI83" i="21" s="1"/>
  <c r="AC29" i="21"/>
  <c r="AC84" i="21" s="1"/>
  <c r="AA29" i="21"/>
  <c r="AA84" i="21" s="1"/>
  <c r="P40" i="21"/>
  <c r="P95" i="21" s="1"/>
  <c r="AS29" i="21"/>
  <c r="AS84" i="21" s="1"/>
  <c r="AB29" i="21"/>
  <c r="AB84" i="21" s="1"/>
  <c r="AU29" i="21"/>
  <c r="AU84" i="21" s="1"/>
  <c r="AP29" i="21"/>
  <c r="AP84" i="21" s="1"/>
  <c r="Q29" i="21"/>
  <c r="Q84" i="21" s="1"/>
  <c r="AE28" i="21"/>
  <c r="AE83" i="21" s="1"/>
  <c r="I29" i="21"/>
  <c r="I84" i="21" s="1"/>
  <c r="I144" i="21" s="1"/>
  <c r="AN40" i="21"/>
  <c r="AN95" i="21" s="1"/>
  <c r="AL40" i="21"/>
  <c r="AL95" i="21" s="1"/>
  <c r="AD29" i="21"/>
  <c r="AD84" i="21" s="1"/>
  <c r="AL29" i="21"/>
  <c r="AL84" i="21" s="1"/>
  <c r="V29" i="21"/>
  <c r="V84" i="21" s="1"/>
  <c r="Z29" i="21"/>
  <c r="Z84" i="21" s="1"/>
  <c r="AN43" i="21"/>
  <c r="AN98" i="21" s="1"/>
  <c r="O28" i="21"/>
  <c r="O83" i="21" s="1"/>
  <c r="K40" i="21"/>
  <c r="K95" i="21" s="1"/>
  <c r="K155" i="21" s="1"/>
  <c r="AD40" i="21"/>
  <c r="AD95" i="21" s="1"/>
  <c r="P29" i="21"/>
  <c r="P84" i="21" s="1"/>
  <c r="X29" i="21"/>
  <c r="X84" i="21" s="1"/>
  <c r="AQ29" i="21"/>
  <c r="AQ84" i="21" s="1"/>
  <c r="R29" i="21"/>
  <c r="R84" i="21" s="1"/>
  <c r="AF43" i="21"/>
  <c r="AF98" i="21" s="1"/>
  <c r="W28" i="21"/>
  <c r="W83" i="21" s="1"/>
  <c r="N6" i="21"/>
  <c r="N61" i="21" s="1"/>
  <c r="AN6" i="21"/>
  <c r="AN61" i="21" s="1"/>
  <c r="M6" i="21"/>
  <c r="M61" i="21" s="1"/>
  <c r="AA6" i="21"/>
  <c r="AA61" i="21" s="1"/>
  <c r="AA40" i="21"/>
  <c r="AA95" i="21" s="1"/>
  <c r="AF40" i="21"/>
  <c r="AF95" i="21" s="1"/>
  <c r="AS40" i="21"/>
  <c r="AS95" i="21" s="1"/>
  <c r="AB46" i="21"/>
  <c r="AB101" i="21" s="1"/>
  <c r="AN46" i="21"/>
  <c r="AN101" i="21" s="1"/>
  <c r="AI42" i="21"/>
  <c r="AI97" i="21" s="1"/>
  <c r="Z46" i="21"/>
  <c r="Z101" i="21" s="1"/>
  <c r="AQ44" i="21"/>
  <c r="AQ99" i="21" s="1"/>
  <c r="AS43" i="21"/>
  <c r="AS98" i="21" s="1"/>
  <c r="M44" i="21"/>
  <c r="M99" i="21" s="1"/>
  <c r="AJ44" i="21"/>
  <c r="AJ99" i="21" s="1"/>
  <c r="R44" i="21"/>
  <c r="R99" i="21" s="1"/>
  <c r="AL44" i="21"/>
  <c r="AL99" i="21" s="1"/>
  <c r="Y44" i="21"/>
  <c r="Y99" i="21" s="1"/>
  <c r="AQ28" i="21"/>
  <c r="AQ83" i="21" s="1"/>
  <c r="AH28" i="21"/>
  <c r="AH83" i="21" s="1"/>
  <c r="U46" i="21"/>
  <c r="U101" i="21" s="1"/>
  <c r="Z28" i="21"/>
  <c r="Z83" i="21" s="1"/>
  <c r="L42" i="21"/>
  <c r="L97" i="21" s="1"/>
  <c r="L157" i="21" s="1"/>
  <c r="AT28" i="21"/>
  <c r="AT83" i="21" s="1"/>
  <c r="J28" i="21"/>
  <c r="J83" i="21" s="1"/>
  <c r="J143" i="21" s="1"/>
  <c r="BL23" i="25" s="1"/>
  <c r="AR40" i="21"/>
  <c r="AR95" i="21" s="1"/>
  <c r="W6" i="21"/>
  <c r="W61" i="21" s="1"/>
  <c r="AO6" i="21"/>
  <c r="AO61" i="21" s="1"/>
  <c r="P6" i="21"/>
  <c r="P61" i="21" s="1"/>
  <c r="AB6" i="21"/>
  <c r="AB61" i="21" s="1"/>
  <c r="AP6" i="21"/>
  <c r="AP61" i="21" s="1"/>
  <c r="Z40" i="21"/>
  <c r="Z95" i="21" s="1"/>
  <c r="AE40" i="21"/>
  <c r="AE95" i="21" s="1"/>
  <c r="M40" i="21"/>
  <c r="M95" i="21" s="1"/>
  <c r="AO46" i="21"/>
  <c r="AO101" i="21" s="1"/>
  <c r="P46" i="21"/>
  <c r="P101" i="21" s="1"/>
  <c r="AC42" i="21"/>
  <c r="AC97" i="21" s="1"/>
  <c r="AK44" i="21"/>
  <c r="AK99" i="21" s="1"/>
  <c r="W43" i="21"/>
  <c r="W98" i="21" s="1"/>
  <c r="AO44" i="21"/>
  <c r="AO99" i="21" s="1"/>
  <c r="U44" i="21"/>
  <c r="U99" i="21" s="1"/>
  <c r="AF44" i="21"/>
  <c r="AF99" i="21" s="1"/>
  <c r="AM44" i="21"/>
  <c r="AM99" i="21" s="1"/>
  <c r="N44" i="21"/>
  <c r="N99" i="21" s="1"/>
  <c r="AL46" i="21"/>
  <c r="AL101" i="21" s="1"/>
  <c r="U28" i="21"/>
  <c r="U83" i="21" s="1"/>
  <c r="AB28" i="21"/>
  <c r="AB83" i="21" s="1"/>
  <c r="AO28" i="21"/>
  <c r="AO83" i="21" s="1"/>
  <c r="AP46" i="21"/>
  <c r="AP101" i="21" s="1"/>
  <c r="Q42" i="21"/>
  <c r="Q97" i="21" s="1"/>
  <c r="AM28" i="21"/>
  <c r="AM83" i="21" s="1"/>
  <c r="X42" i="21"/>
  <c r="X97" i="21" s="1"/>
  <c r="V6" i="21"/>
  <c r="V61" i="21" s="1"/>
  <c r="AG6" i="21"/>
  <c r="AG61" i="21" s="1"/>
  <c r="AS6" i="21"/>
  <c r="AS61" i="21" s="1"/>
  <c r="T6" i="21"/>
  <c r="T61" i="21" s="1"/>
  <c r="AH6" i="21"/>
  <c r="AH61" i="21" s="1"/>
  <c r="R40" i="21"/>
  <c r="R95" i="21" s="1"/>
  <c r="W40" i="21"/>
  <c r="W95" i="21" s="1"/>
  <c r="AE46" i="21"/>
  <c r="AE101" i="21" s="1"/>
  <c r="AG46" i="21"/>
  <c r="AG101" i="21" s="1"/>
  <c r="AH46" i="21"/>
  <c r="AH101" i="21" s="1"/>
  <c r="AT42" i="21"/>
  <c r="AT97" i="21" s="1"/>
  <c r="K46" i="21"/>
  <c r="K101" i="21" s="1"/>
  <c r="K161" i="21" s="1"/>
  <c r="BM33" i="25" s="1"/>
  <c r="W46" i="21"/>
  <c r="W101" i="21" s="1"/>
  <c r="AU43" i="21"/>
  <c r="AU98" i="21" s="1"/>
  <c r="AB44" i="21"/>
  <c r="AB99" i="21" s="1"/>
  <c r="I44" i="21"/>
  <c r="I99" i="21" s="1"/>
  <c r="I159" i="21" s="1"/>
  <c r="S44" i="21"/>
  <c r="S99" i="21" s="1"/>
  <c r="AE44" i="21"/>
  <c r="AE99" i="21" s="1"/>
  <c r="AS28" i="21"/>
  <c r="AS83" i="21" s="1"/>
  <c r="AA28" i="21"/>
  <c r="AA83" i="21" s="1"/>
  <c r="Q28" i="21"/>
  <c r="Q83" i="21" s="1"/>
  <c r="Q44" i="21"/>
  <c r="Q99" i="21" s="1"/>
  <c r="M28" i="21"/>
  <c r="M83" i="21" s="1"/>
  <c r="T23" i="21"/>
  <c r="T78" i="21" s="1"/>
  <c r="L19" i="21"/>
  <c r="L74" i="21" s="1"/>
  <c r="L134" i="21" s="1"/>
  <c r="I19" i="21"/>
  <c r="I74" i="21" s="1"/>
  <c r="I134" i="21" s="1"/>
  <c r="AF23" i="21"/>
  <c r="AF78" i="21" s="1"/>
  <c r="AN23" i="21"/>
  <c r="AN78" i="21" s="1"/>
  <c r="AK23" i="21"/>
  <c r="AK78" i="21" s="1"/>
  <c r="Q23" i="21"/>
  <c r="Q78" i="21" s="1"/>
  <c r="L23" i="21"/>
  <c r="L78" i="21" s="1"/>
  <c r="L138" i="21" s="1"/>
  <c r="Y23" i="21"/>
  <c r="Y78" i="21" s="1"/>
  <c r="X19" i="21"/>
  <c r="X74" i="21" s="1"/>
  <c r="AA19" i="21"/>
  <c r="AA74" i="21" s="1"/>
  <c r="AE19" i="21"/>
  <c r="AE74" i="21" s="1"/>
  <c r="AE23" i="21"/>
  <c r="AE78" i="21" s="1"/>
  <c r="AC23" i="21"/>
  <c r="AC78" i="21" s="1"/>
  <c r="V23" i="21"/>
  <c r="V78" i="21" s="1"/>
  <c r="I23" i="21"/>
  <c r="I78" i="21" s="1"/>
  <c r="I138" i="21" s="1"/>
  <c r="AP23" i="21"/>
  <c r="AP78" i="21" s="1"/>
  <c r="AF28" i="21"/>
  <c r="AF83" i="21" s="1"/>
  <c r="Z19" i="21"/>
  <c r="Z74" i="21" s="1"/>
  <c r="O19" i="21"/>
  <c r="O74" i="21" s="1"/>
  <c r="AD23" i="21"/>
  <c r="AD78" i="21" s="1"/>
  <c r="M23" i="21"/>
  <c r="M78" i="21" s="1"/>
  <c r="AU23" i="21"/>
  <c r="AU78" i="21" s="1"/>
  <c r="X23" i="21"/>
  <c r="X78" i="21" s="1"/>
  <c r="AH23" i="21"/>
  <c r="AH78" i="21" s="1"/>
  <c r="L28" i="21"/>
  <c r="L83" i="21" s="1"/>
  <c r="L143" i="21" s="1"/>
  <c r="BN23" i="25" s="1"/>
  <c r="X28" i="21"/>
  <c r="X83" i="21" s="1"/>
  <c r="P19" i="21"/>
  <c r="P74" i="21" s="1"/>
  <c r="W23" i="21"/>
  <c r="W78" i="21" s="1"/>
  <c r="AL19" i="21"/>
  <c r="AL74" i="21" s="1"/>
  <c r="S23" i="21"/>
  <c r="S78" i="21" s="1"/>
  <c r="AM23" i="21"/>
  <c r="AM78" i="21" s="1"/>
  <c r="AI23" i="21"/>
  <c r="AI78" i="21" s="1"/>
  <c r="P23" i="21"/>
  <c r="P78" i="21" s="1"/>
  <c r="Z23" i="21"/>
  <c r="Z78" i="21" s="1"/>
  <c r="T4" i="21"/>
  <c r="T59" i="21" s="1"/>
  <c r="AS23" i="21"/>
  <c r="AS78" i="21" s="1"/>
  <c r="V19" i="21"/>
  <c r="V74" i="21" s="1"/>
  <c r="O23" i="21"/>
  <c r="O78" i="21" s="1"/>
  <c r="AA23" i="21"/>
  <c r="AA78" i="21" s="1"/>
  <c r="U23" i="21"/>
  <c r="U78" i="21" s="1"/>
  <c r="AR23" i="21"/>
  <c r="AR78" i="21" s="1"/>
  <c r="R23" i="21"/>
  <c r="R78" i="21" s="1"/>
  <c r="Q4" i="21"/>
  <c r="Q59" i="21" s="1"/>
  <c r="AQ23" i="21"/>
  <c r="AQ78" i="21" s="1"/>
  <c r="AG19" i="21"/>
  <c r="AG74" i="21" s="1"/>
  <c r="AN19" i="21"/>
  <c r="AN74" i="21" s="1"/>
  <c r="AK19" i="21"/>
  <c r="AK74" i="21" s="1"/>
  <c r="AT23" i="21"/>
  <c r="AT78" i="21" s="1"/>
  <c r="K23" i="21"/>
  <c r="K78" i="21" s="1"/>
  <c r="K138" i="21" s="1"/>
  <c r="AO23" i="21"/>
  <c r="AO78" i="21" s="1"/>
  <c r="AJ23" i="21"/>
  <c r="AJ78" i="21" s="1"/>
  <c r="AP40" i="21"/>
  <c r="AP95" i="21" s="1"/>
  <c r="AO40" i="21"/>
  <c r="AO95" i="21" s="1"/>
  <c r="AU40" i="21"/>
  <c r="AU95" i="21" s="1"/>
  <c r="V40" i="21"/>
  <c r="V95" i="21" s="1"/>
  <c r="AJ42" i="21"/>
  <c r="AJ97" i="21" s="1"/>
  <c r="I42" i="21"/>
  <c r="I97" i="21" s="1"/>
  <c r="I157" i="21" s="1"/>
  <c r="AC33" i="21"/>
  <c r="AC88" i="21" s="1"/>
  <c r="R19" i="21"/>
  <c r="R74" i="21" s="1"/>
  <c r="K19" i="21"/>
  <c r="K74" i="21" s="1"/>
  <c r="K134" i="21" s="1"/>
  <c r="N19" i="21"/>
  <c r="N74" i="21" s="1"/>
  <c r="Y19" i="21"/>
  <c r="Y74" i="21" s="1"/>
  <c r="AI40" i="21"/>
  <c r="AI95" i="21" s="1"/>
  <c r="AP43" i="21"/>
  <c r="AP98" i="21" s="1"/>
  <c r="AH43" i="21"/>
  <c r="AH98" i="21" s="1"/>
  <c r="V43" i="21"/>
  <c r="V98" i="21" s="1"/>
  <c r="AT35" i="21"/>
  <c r="AT90" i="21" s="1"/>
  <c r="AR28" i="21"/>
  <c r="AR83" i="21" s="1"/>
  <c r="N28" i="21"/>
  <c r="N83" i="21" s="1"/>
  <c r="AJ28" i="21"/>
  <c r="AJ83" i="21" s="1"/>
  <c r="I28" i="21"/>
  <c r="I83" i="21" s="1"/>
  <c r="I143" i="21" s="1"/>
  <c r="L40" i="21"/>
  <c r="L95" i="21" s="1"/>
  <c r="L155" i="21" s="1"/>
  <c r="AG40" i="21"/>
  <c r="AG95" i="21" s="1"/>
  <c r="AM40" i="21"/>
  <c r="AM95" i="21" s="1"/>
  <c r="N40" i="21"/>
  <c r="N95" i="21" s="1"/>
  <c r="AA42" i="21"/>
  <c r="AA97" i="21" s="1"/>
  <c r="AS33" i="21"/>
  <c r="AS88" i="21" s="1"/>
  <c r="T40" i="21"/>
  <c r="T95" i="21" s="1"/>
  <c r="AF19" i="21"/>
  <c r="AF74" i="21" s="1"/>
  <c r="AP19" i="21"/>
  <c r="AP74" i="21" s="1"/>
  <c r="AS19" i="21"/>
  <c r="AS74" i="21" s="1"/>
  <c r="Q19" i="21"/>
  <c r="Q74" i="21" s="1"/>
  <c r="AG42" i="21"/>
  <c r="AG97" i="21" s="1"/>
  <c r="AM43" i="21"/>
  <c r="AM98" i="21" s="1"/>
  <c r="P43" i="21"/>
  <c r="P98" i="21" s="1"/>
  <c r="AR43" i="21"/>
  <c r="AR98" i="21" s="1"/>
  <c r="N43" i="21"/>
  <c r="N98" i="21" s="1"/>
  <c r="L43" i="21"/>
  <c r="L98" i="21" s="1"/>
  <c r="L158" i="21" s="1"/>
  <c r="BN8" i="25" s="1"/>
  <c r="AD28" i="21"/>
  <c r="AD83" i="21" s="1"/>
  <c r="AL28" i="21"/>
  <c r="AL83" i="21" s="1"/>
  <c r="AP28" i="21"/>
  <c r="AP83" i="21" s="1"/>
  <c r="AN28" i="21"/>
  <c r="AN83" i="21" s="1"/>
  <c r="AD45" i="21"/>
  <c r="AD100" i="21" s="1"/>
  <c r="N33" i="21"/>
  <c r="N88" i="21" s="1"/>
  <c r="T19" i="21"/>
  <c r="T74" i="21" s="1"/>
  <c r="AR19" i="21"/>
  <c r="AR74" i="21" s="1"/>
  <c r="J19" i="21"/>
  <c r="J74" i="21" s="1"/>
  <c r="J134" i="21" s="1"/>
  <c r="AC19" i="21"/>
  <c r="AC74" i="21" s="1"/>
  <c r="AU19" i="21"/>
  <c r="AU74" i="21" s="1"/>
  <c r="AJ40" i="21"/>
  <c r="AJ95" i="21" s="1"/>
  <c r="AA43" i="21"/>
  <c r="AA98" i="21" s="1"/>
  <c r="AO43" i="21"/>
  <c r="AO98" i="21" s="1"/>
  <c r="U43" i="21"/>
  <c r="U98" i="21" s="1"/>
  <c r="Y42" i="21"/>
  <c r="Y97" i="21" s="1"/>
  <c r="AI19" i="21"/>
  <c r="AI74" i="21" s="1"/>
  <c r="AR45" i="21"/>
  <c r="AR100" i="21" s="1"/>
  <c r="AH40" i="21"/>
  <c r="AH95" i="21" s="1"/>
  <c r="I40" i="21"/>
  <c r="I95" i="21" s="1"/>
  <c r="I155" i="21" s="1"/>
  <c r="O40" i="21"/>
  <c r="O95" i="21" s="1"/>
  <c r="N42" i="21"/>
  <c r="N97" i="21" s="1"/>
  <c r="AP42" i="21"/>
  <c r="AP97" i="21" s="1"/>
  <c r="S19" i="21"/>
  <c r="S74" i="21" s="1"/>
  <c r="AB19" i="21"/>
  <c r="AB74" i="21" s="1"/>
  <c r="AT19" i="21"/>
  <c r="AT74" i="21" s="1"/>
  <c r="U19" i="21"/>
  <c r="U74" i="21" s="1"/>
  <c r="AM19" i="21"/>
  <c r="AM74" i="21" s="1"/>
  <c r="AI43" i="21"/>
  <c r="AI98" i="21" s="1"/>
  <c r="AG43" i="21"/>
  <c r="AG98" i="21" s="1"/>
  <c r="M43" i="21"/>
  <c r="M98" i="21" s="1"/>
  <c r="T28" i="21"/>
  <c r="T83" i="21" s="1"/>
  <c r="AC28" i="21"/>
  <c r="AC83" i="21" s="1"/>
  <c r="AK28" i="21"/>
  <c r="AK83" i="21" s="1"/>
  <c r="R28" i="21"/>
  <c r="R83" i="21" s="1"/>
  <c r="P28" i="21"/>
  <c r="P83" i="21" s="1"/>
  <c r="AB42" i="21"/>
  <c r="AB97" i="21" s="1"/>
  <c r="U42" i="21"/>
  <c r="U97" i="21" s="1"/>
  <c r="AJ19" i="21"/>
  <c r="AJ74" i="21" s="1"/>
  <c r="AQ19" i="21"/>
  <c r="AQ74" i="21" s="1"/>
  <c r="AD19" i="21"/>
  <c r="AD74" i="21" s="1"/>
  <c r="AO19" i="21"/>
  <c r="AO74" i="21" s="1"/>
  <c r="AJ43" i="21"/>
  <c r="AJ98" i="21" s="1"/>
  <c r="AT43" i="21"/>
  <c r="AT98" i="21" s="1"/>
  <c r="AA45" i="21"/>
  <c r="AA100" i="21" s="1"/>
  <c r="T33" i="21"/>
  <c r="T88" i="21" s="1"/>
  <c r="AJ33" i="21"/>
  <c r="AJ88" i="21" s="1"/>
  <c r="AQ33" i="21"/>
  <c r="AQ88" i="21" s="1"/>
  <c r="AU33" i="21"/>
  <c r="AU88" i="21" s="1"/>
  <c r="AT4" i="21"/>
  <c r="AT59" i="21" s="1"/>
  <c r="AU4" i="21"/>
  <c r="AU59" i="21" s="1"/>
  <c r="K35" i="21"/>
  <c r="K90" i="21" s="1"/>
  <c r="K150" i="21" s="1"/>
  <c r="W45" i="21"/>
  <c r="W100" i="21" s="1"/>
  <c r="K33" i="21"/>
  <c r="K88" i="21" s="1"/>
  <c r="K148" i="21" s="1"/>
  <c r="AA33" i="21"/>
  <c r="AA88" i="21" s="1"/>
  <c r="AH33" i="21"/>
  <c r="AH88" i="21" s="1"/>
  <c r="AM33" i="21"/>
  <c r="AM88" i="21" s="1"/>
  <c r="AF4" i="21"/>
  <c r="AF59" i="21" s="1"/>
  <c r="V4" i="21"/>
  <c r="V59" i="21" s="1"/>
  <c r="AB4" i="21"/>
  <c r="AB59" i="21" s="1"/>
  <c r="Y35" i="21"/>
  <c r="Y90" i="21" s="1"/>
  <c r="AN33" i="21"/>
  <c r="AN88" i="21" s="1"/>
  <c r="AT33" i="21"/>
  <c r="AT88" i="21" s="1"/>
  <c r="R33" i="21"/>
  <c r="R88" i="21" s="1"/>
  <c r="Y33" i="21"/>
  <c r="Y88" i="21" s="1"/>
  <c r="AE33" i="21"/>
  <c r="AE88" i="21" s="1"/>
  <c r="P4" i="21"/>
  <c r="P59" i="21" s="1"/>
  <c r="S4" i="21"/>
  <c r="S59" i="21" s="1"/>
  <c r="N4" i="21"/>
  <c r="N59" i="21" s="1"/>
  <c r="AD33" i="21"/>
  <c r="AD88" i="21" s="1"/>
  <c r="AK33" i="21"/>
  <c r="AK88" i="21" s="1"/>
  <c r="I33" i="21"/>
  <c r="I88" i="21" s="1"/>
  <c r="I148" i="21" s="1"/>
  <c r="P33" i="21"/>
  <c r="P88" i="21" s="1"/>
  <c r="W33" i="21"/>
  <c r="W88" i="21" s="1"/>
  <c r="K4" i="21"/>
  <c r="K59" i="21" s="1"/>
  <c r="K119" i="21" s="1"/>
  <c r="AS4" i="21"/>
  <c r="AS59" i="21" s="1"/>
  <c r="AK4" i="21"/>
  <c r="AK59" i="21" s="1"/>
  <c r="AO33" i="21"/>
  <c r="AO88" i="21" s="1"/>
  <c r="V33" i="21"/>
  <c r="V88" i="21" s="1"/>
  <c r="AB33" i="21"/>
  <c r="AB88" i="21" s="1"/>
  <c r="AR33" i="21"/>
  <c r="AR88" i="21" s="1"/>
  <c r="AP33" i="21"/>
  <c r="AP88" i="21" s="1"/>
  <c r="O33" i="21"/>
  <c r="O88" i="21" s="1"/>
  <c r="Z4" i="21"/>
  <c r="Z59" i="21" s="1"/>
  <c r="R4" i="21"/>
  <c r="R59" i="21" s="1"/>
  <c r="AC4" i="21"/>
  <c r="AC59" i="21" s="1"/>
  <c r="U33" i="21"/>
  <c r="U88" i="21" s="1"/>
  <c r="S33" i="21"/>
  <c r="S88" i="21" s="1"/>
  <c r="AI33" i="21"/>
  <c r="AI88" i="21" s="1"/>
  <c r="I8" i="21"/>
  <c r="I63" i="21" s="1"/>
  <c r="I123" i="21" s="1"/>
  <c r="L4" i="21"/>
  <c r="L59" i="21" s="1"/>
  <c r="L119" i="21" s="1"/>
  <c r="AP4" i="21"/>
  <c r="AP59" i="21" s="1"/>
  <c r="U4" i="21"/>
  <c r="U59" i="21" s="1"/>
  <c r="AN4" i="21"/>
  <c r="AN59" i="21" s="1"/>
  <c r="AF33" i="21"/>
  <c r="AF88" i="21" s="1"/>
  <c r="M33" i="21"/>
  <c r="M88" i="21" s="1"/>
  <c r="L33" i="21"/>
  <c r="L88" i="21" s="1"/>
  <c r="L148" i="21" s="1"/>
  <c r="T45" i="21"/>
  <c r="T100" i="21" s="1"/>
  <c r="AL33" i="21"/>
  <c r="AL88" i="21" s="1"/>
  <c r="J33" i="21"/>
  <c r="J88" i="21" s="1"/>
  <c r="J148" i="21" s="1"/>
  <c r="Z33" i="21"/>
  <c r="Z88" i="21" s="1"/>
  <c r="X33" i="21"/>
  <c r="X88" i="21" s="1"/>
  <c r="AC8" i="21"/>
  <c r="AC63" i="21" s="1"/>
  <c r="AL4" i="21"/>
  <c r="AL59" i="21" s="1"/>
  <c r="Y4" i="21"/>
  <c r="Y59" i="21" s="1"/>
  <c r="AE35" i="21"/>
  <c r="AE90" i="21" s="1"/>
  <c r="AJ4" i="21"/>
  <c r="AJ59" i="21" s="1"/>
  <c r="M42" i="21"/>
  <c r="M97" i="21" s="1"/>
  <c r="S42" i="21"/>
  <c r="S97" i="21" s="1"/>
  <c r="W42" i="21"/>
  <c r="W97" i="21" s="1"/>
  <c r="AF42" i="21"/>
  <c r="AF97" i="21" s="1"/>
  <c r="AU42" i="21"/>
  <c r="AU97" i="21" s="1"/>
  <c r="AL42" i="21"/>
  <c r="AL97" i="21" s="1"/>
  <c r="AO24" i="21"/>
  <c r="AO79" i="21" s="1"/>
  <c r="W24" i="21"/>
  <c r="W79" i="21" s="1"/>
  <c r="AL24" i="21"/>
  <c r="AL79" i="21" s="1"/>
  <c r="I24" i="21"/>
  <c r="I79" i="21" s="1"/>
  <c r="I139" i="21" s="1"/>
  <c r="K24" i="21"/>
  <c r="K79" i="21" s="1"/>
  <c r="K139" i="21" s="1"/>
  <c r="K42" i="21"/>
  <c r="K97" i="21" s="1"/>
  <c r="K157" i="21" s="1"/>
  <c r="O42" i="21"/>
  <c r="O97" i="21" s="1"/>
  <c r="AH45" i="21"/>
  <c r="AH100" i="21" s="1"/>
  <c r="T42" i="21"/>
  <c r="T97" i="21" s="1"/>
  <c r="Z43" i="21"/>
  <c r="Z98" i="21" s="1"/>
  <c r="AL8" i="21"/>
  <c r="AL63" i="21" s="1"/>
  <c r="AE43" i="21"/>
  <c r="AE98" i="21" s="1"/>
  <c r="AB43" i="21"/>
  <c r="AB98" i="21" s="1"/>
  <c r="J43" i="21"/>
  <c r="J98" i="21" s="1"/>
  <c r="J158" i="21" s="1"/>
  <c r="BL8" i="25" s="1"/>
  <c r="S43" i="21"/>
  <c r="S98" i="21" s="1"/>
  <c r="AD43" i="21"/>
  <c r="AD98" i="21" s="1"/>
  <c r="I4" i="21"/>
  <c r="I59" i="21" s="1"/>
  <c r="I119" i="21" s="1"/>
  <c r="AI4" i="21"/>
  <c r="AI59" i="21" s="1"/>
  <c r="AG4" i="21"/>
  <c r="AG59" i="21" s="1"/>
  <c r="AJ35" i="21"/>
  <c r="AJ90" i="21" s="1"/>
  <c r="AI24" i="21"/>
  <c r="AI79" i="21" s="1"/>
  <c r="AU24" i="21"/>
  <c r="AU79" i="21" s="1"/>
  <c r="U24" i="21"/>
  <c r="U79" i="21" s="1"/>
  <c r="AJ24" i="21"/>
  <c r="AJ79" i="21" s="1"/>
  <c r="M8" i="21"/>
  <c r="M63" i="21" s="1"/>
  <c r="X4" i="21"/>
  <c r="X59" i="21" s="1"/>
  <c r="AO4" i="21"/>
  <c r="AO59" i="21" s="1"/>
  <c r="AM24" i="21"/>
  <c r="AM79" i="21" s="1"/>
  <c r="X8" i="21"/>
  <c r="X63" i="21" s="1"/>
  <c r="AQ8" i="21"/>
  <c r="AQ63" i="21" s="1"/>
  <c r="O24" i="21"/>
  <c r="O79" i="21" s="1"/>
  <c r="AB24" i="21"/>
  <c r="AB79" i="21" s="1"/>
  <c r="AN42" i="21"/>
  <c r="AN97" i="21" s="1"/>
  <c r="AQ24" i="21"/>
  <c r="AQ79" i="21" s="1"/>
  <c r="AH24" i="21"/>
  <c r="AH79" i="21" s="1"/>
  <c r="AE24" i="21"/>
  <c r="AE79" i="21" s="1"/>
  <c r="AS24" i="21"/>
  <c r="AS79" i="21" s="1"/>
  <c r="S24" i="21"/>
  <c r="S79" i="21" s="1"/>
  <c r="AO42" i="21"/>
  <c r="AO97" i="21" s="1"/>
  <c r="AE42" i="21"/>
  <c r="AE97" i="21" s="1"/>
  <c r="P42" i="21"/>
  <c r="P97" i="21" s="1"/>
  <c r="R42" i="21"/>
  <c r="R97" i="21" s="1"/>
  <c r="AQ42" i="21"/>
  <c r="AQ97" i="21" s="1"/>
  <c r="K45" i="21"/>
  <c r="K100" i="21" s="1"/>
  <c r="K160" i="21" s="1"/>
  <c r="BM32" i="25" s="1"/>
  <c r="O8" i="21"/>
  <c r="O63" i="21" s="1"/>
  <c r="AA8" i="21"/>
  <c r="AA63" i="21" s="1"/>
  <c r="O43" i="21"/>
  <c r="O98" i="21" s="1"/>
  <c r="T43" i="21"/>
  <c r="T98" i="21" s="1"/>
  <c r="Q43" i="21"/>
  <c r="Q98" i="21" s="1"/>
  <c r="AK43" i="21"/>
  <c r="AK98" i="21" s="1"/>
  <c r="W4" i="21"/>
  <c r="W59" i="21" s="1"/>
  <c r="J4" i="21"/>
  <c r="J59" i="21" s="1"/>
  <c r="J119" i="21" s="1"/>
  <c r="AM4" i="21"/>
  <c r="AM59" i="21" s="1"/>
  <c r="M4" i="21"/>
  <c r="M59" i="21" s="1"/>
  <c r="R43" i="21"/>
  <c r="R98" i="21" s="1"/>
  <c r="V28" i="21"/>
  <c r="V83" i="21" s="1"/>
  <c r="AG28" i="21"/>
  <c r="AG83" i="21" s="1"/>
  <c r="S40" i="21"/>
  <c r="S95" i="21" s="1"/>
  <c r="AQ40" i="21"/>
  <c r="AQ95" i="21" s="1"/>
  <c r="AB40" i="21"/>
  <c r="AB95" i="21" s="1"/>
  <c r="L24" i="21"/>
  <c r="L79" i="21" s="1"/>
  <c r="L139" i="21" s="1"/>
  <c r="X24" i="21"/>
  <c r="X79" i="21" s="1"/>
  <c r="AG24" i="21"/>
  <c r="AG79" i="21" s="1"/>
  <c r="V24" i="21"/>
  <c r="V79" i="21" s="1"/>
  <c r="AK24" i="21"/>
  <c r="AK79" i="21" s="1"/>
  <c r="Z24" i="21"/>
  <c r="Z79" i="21" s="1"/>
  <c r="AM42" i="21"/>
  <c r="AM97" i="21" s="1"/>
  <c r="AR42" i="21"/>
  <c r="AR97" i="21" s="1"/>
  <c r="J42" i="21"/>
  <c r="J97" i="21" s="1"/>
  <c r="J157" i="21" s="1"/>
  <c r="AM45" i="21"/>
  <c r="AM100" i="21" s="1"/>
  <c r="AL45" i="21"/>
  <c r="AL100" i="21" s="1"/>
  <c r="V42" i="21"/>
  <c r="V97" i="21" s="1"/>
  <c r="AH8" i="21"/>
  <c r="AH63" i="21" s="1"/>
  <c r="O4" i="21"/>
  <c r="O59" i="21" s="1"/>
  <c r="X43" i="21"/>
  <c r="X98" i="21" s="1"/>
  <c r="K43" i="21"/>
  <c r="K98" i="21" s="1"/>
  <c r="K158" i="21" s="1"/>
  <c r="BM8" i="25" s="1"/>
  <c r="I43" i="21"/>
  <c r="I98" i="21" s="1"/>
  <c r="I158" i="21" s="1"/>
  <c r="AC43" i="21"/>
  <c r="AC98" i="21" s="1"/>
  <c r="AH4" i="21"/>
  <c r="AH59" i="21" s="1"/>
  <c r="AE4" i="21"/>
  <c r="AE59" i="21" s="1"/>
  <c r="AD4" i="21"/>
  <c r="AD59" i="21" s="1"/>
  <c r="AQ4" i="21"/>
  <c r="AQ59" i="21" s="1"/>
  <c r="K28" i="21"/>
  <c r="K83" i="21" s="1"/>
  <c r="K143" i="21" s="1"/>
  <c r="BM23" i="25" s="1"/>
  <c r="AB47" i="21"/>
  <c r="AB102" i="21" s="1"/>
  <c r="Y47" i="21"/>
  <c r="Y102" i="21" s="1"/>
  <c r="AJ47" i="21"/>
  <c r="AJ102" i="21" s="1"/>
  <c r="AK42" i="21"/>
  <c r="AK97" i="21" s="1"/>
  <c r="R8" i="21"/>
  <c r="R63" i="21" s="1"/>
  <c r="I13" i="21"/>
  <c r="I68" i="21" s="1"/>
  <c r="I128" i="21" s="1"/>
  <c r="Q13" i="21"/>
  <c r="Q68" i="21" s="1"/>
  <c r="Y13" i="21"/>
  <c r="Y68" i="21" s="1"/>
  <c r="AG13" i="21"/>
  <c r="AG68" i="21" s="1"/>
  <c r="AO13" i="21"/>
  <c r="AO68" i="21" s="1"/>
  <c r="K13" i="21"/>
  <c r="K68" i="21" s="1"/>
  <c r="K128" i="21" s="1"/>
  <c r="S13" i="21"/>
  <c r="S68" i="21" s="1"/>
  <c r="AA13" i="21"/>
  <c r="AA68" i="21" s="1"/>
  <c r="AI13" i="21"/>
  <c r="AI68" i="21" s="1"/>
  <c r="AQ13" i="21"/>
  <c r="AQ68" i="21" s="1"/>
  <c r="O13" i="21"/>
  <c r="O68" i="21" s="1"/>
  <c r="W13" i="21"/>
  <c r="W68" i="21" s="1"/>
  <c r="AE13" i="21"/>
  <c r="AE68" i="21" s="1"/>
  <c r="AM13" i="21"/>
  <c r="AM68" i="21" s="1"/>
  <c r="AU13" i="21"/>
  <c r="AU68" i="21" s="1"/>
  <c r="P13" i="21"/>
  <c r="P68" i="21" s="1"/>
  <c r="X13" i="21"/>
  <c r="X68" i="21" s="1"/>
  <c r="AF13" i="21"/>
  <c r="AF68" i="21" s="1"/>
  <c r="AN13" i="21"/>
  <c r="AN68" i="21" s="1"/>
  <c r="T13" i="21"/>
  <c r="T68" i="21" s="1"/>
  <c r="AJ13" i="21"/>
  <c r="AJ68" i="21" s="1"/>
  <c r="U13" i="21"/>
  <c r="U68" i="21" s="1"/>
  <c r="AK13" i="21"/>
  <c r="AK68" i="21" s="1"/>
  <c r="V13" i="21"/>
  <c r="V68" i="21" s="1"/>
  <c r="AL13" i="21"/>
  <c r="AL68" i="21" s="1"/>
  <c r="J13" i="21"/>
  <c r="J68" i="21" s="1"/>
  <c r="J128" i="21" s="1"/>
  <c r="Z13" i="21"/>
  <c r="Z68" i="21" s="1"/>
  <c r="AP13" i="21"/>
  <c r="AP68" i="21" s="1"/>
  <c r="L13" i="21"/>
  <c r="L68" i="21" s="1"/>
  <c r="L128" i="21" s="1"/>
  <c r="AB13" i="21"/>
  <c r="AB68" i="21" s="1"/>
  <c r="AR13" i="21"/>
  <c r="AR68" i="21" s="1"/>
  <c r="N13" i="21"/>
  <c r="N68" i="21" s="1"/>
  <c r="R13" i="21"/>
  <c r="R68" i="21" s="1"/>
  <c r="AC13" i="21"/>
  <c r="AC68" i="21" s="1"/>
  <c r="AD13" i="21"/>
  <c r="AD68" i="21" s="1"/>
  <c r="AH13" i="21"/>
  <c r="AH68" i="21" s="1"/>
  <c r="AS13" i="21"/>
  <c r="AS68" i="21" s="1"/>
  <c r="AT13" i="21"/>
  <c r="AT68" i="21" s="1"/>
  <c r="M13" i="21"/>
  <c r="M68" i="21" s="1"/>
  <c r="AT49" i="21"/>
  <c r="AT104" i="21" s="1"/>
  <c r="AG49" i="21"/>
  <c r="AG104" i="21" s="1"/>
  <c r="S49" i="21"/>
  <c r="S104" i="21" s="1"/>
  <c r="J49" i="21"/>
  <c r="J104" i="21" s="1"/>
  <c r="J164" i="21" s="1"/>
  <c r="W49" i="21"/>
  <c r="W104" i="21" s="1"/>
  <c r="AI49" i="21"/>
  <c r="AI104" i="21" s="1"/>
  <c r="Z49" i="21"/>
  <c r="Z104" i="21" s="1"/>
  <c r="Y49" i="21"/>
  <c r="Y104" i="21" s="1"/>
  <c r="AH49" i="21"/>
  <c r="AH104" i="21" s="1"/>
  <c r="AL49" i="21"/>
  <c r="AL104" i="21" s="1"/>
  <c r="I49" i="21"/>
  <c r="I104" i="21" s="1"/>
  <c r="I164" i="21" s="1"/>
  <c r="AM49" i="21"/>
  <c r="AM104" i="21" s="1"/>
  <c r="K49" i="21"/>
  <c r="K104" i="21" s="1"/>
  <c r="K164" i="21" s="1"/>
  <c r="AU49" i="21"/>
  <c r="AU104" i="21" s="1"/>
  <c r="N49" i="21"/>
  <c r="N104" i="21" s="1"/>
  <c r="V49" i="21"/>
  <c r="V104" i="21" s="1"/>
  <c r="Q49" i="21"/>
  <c r="Q104" i="21" s="1"/>
  <c r="O15" i="21"/>
  <c r="O70" i="21" s="1"/>
  <c r="P15" i="21"/>
  <c r="P70" i="21" s="1"/>
  <c r="T15" i="21"/>
  <c r="T70" i="21" s="1"/>
  <c r="AR11" i="21"/>
  <c r="AR66" i="21" s="1"/>
  <c r="AD49" i="21"/>
  <c r="AD104" i="21" s="1"/>
  <c r="AC49" i="21"/>
  <c r="AC104" i="21" s="1"/>
  <c r="AT45" i="21"/>
  <c r="AT100" i="21" s="1"/>
  <c r="S45" i="21"/>
  <c r="S100" i="21" s="1"/>
  <c r="AE45" i="21"/>
  <c r="AE100" i="21" s="1"/>
  <c r="AT15" i="21"/>
  <c r="AT70" i="21" s="1"/>
  <c r="AM15" i="21"/>
  <c r="AM70" i="21" s="1"/>
  <c r="J15" i="21"/>
  <c r="J70" i="21" s="1"/>
  <c r="J130" i="21" s="1"/>
  <c r="AC15" i="21"/>
  <c r="AC70" i="21" s="1"/>
  <c r="AU8" i="21"/>
  <c r="AU63" i="21" s="1"/>
  <c r="Z8" i="21"/>
  <c r="Z63" i="21" s="1"/>
  <c r="AT8" i="21"/>
  <c r="AT63" i="21" s="1"/>
  <c r="U8" i="21"/>
  <c r="U63" i="21" s="1"/>
  <c r="AI8" i="21"/>
  <c r="AI63" i="21" s="1"/>
  <c r="L11" i="21"/>
  <c r="L66" i="21" s="1"/>
  <c r="L126" i="21" s="1"/>
  <c r="V11" i="21"/>
  <c r="V66" i="21" s="1"/>
  <c r="AH11" i="21"/>
  <c r="AH66" i="21" s="1"/>
  <c r="I11" i="21"/>
  <c r="I66" i="21" s="1"/>
  <c r="I126" i="21" s="1"/>
  <c r="W11" i="21"/>
  <c r="W66" i="21" s="1"/>
  <c r="W35" i="21"/>
  <c r="W90" i="21" s="1"/>
  <c r="N35" i="21"/>
  <c r="N90" i="21" s="1"/>
  <c r="AB35" i="21"/>
  <c r="AB90" i="21" s="1"/>
  <c r="AP35" i="21"/>
  <c r="AP90" i="21" s="1"/>
  <c r="Q35" i="21"/>
  <c r="Q90" i="21" s="1"/>
  <c r="AP11" i="21"/>
  <c r="AP66" i="21" s="1"/>
  <c r="AO15" i="21"/>
  <c r="AO70" i="21" s="1"/>
  <c r="AQ11" i="21"/>
  <c r="AQ66" i="21" s="1"/>
  <c r="AH35" i="21"/>
  <c r="AH90" i="21" s="1"/>
  <c r="AG45" i="21"/>
  <c r="AG100" i="21" s="1"/>
  <c r="AN49" i="21"/>
  <c r="AN104" i="21" s="1"/>
  <c r="M49" i="21"/>
  <c r="M104" i="21" s="1"/>
  <c r="AN45" i="21"/>
  <c r="AN100" i="21" s="1"/>
  <c r="O45" i="21"/>
  <c r="O100" i="21" s="1"/>
  <c r="N15" i="21"/>
  <c r="N70" i="21" s="1"/>
  <c r="AL15" i="21"/>
  <c r="AL70" i="21" s="1"/>
  <c r="AG15" i="21"/>
  <c r="AG70" i="21" s="1"/>
  <c r="M15" i="21"/>
  <c r="M70" i="21" s="1"/>
  <c r="AN8" i="21"/>
  <c r="AN63" i="21" s="1"/>
  <c r="J8" i="21"/>
  <c r="J63" i="21" s="1"/>
  <c r="J123" i="21" s="1"/>
  <c r="AD8" i="21"/>
  <c r="AD63" i="21" s="1"/>
  <c r="AR8" i="21"/>
  <c r="AR63" i="21" s="1"/>
  <c r="S8" i="21"/>
  <c r="S63" i="21" s="1"/>
  <c r="Y24" i="21"/>
  <c r="Y79" i="21" s="1"/>
  <c r="K11" i="21"/>
  <c r="K66" i="21" s="1"/>
  <c r="K126" i="21" s="1"/>
  <c r="AS11" i="21"/>
  <c r="AS66" i="21" s="1"/>
  <c r="R11" i="21"/>
  <c r="R66" i="21" s="1"/>
  <c r="AF11" i="21"/>
  <c r="AF66" i="21" s="1"/>
  <c r="AL35" i="21"/>
  <c r="AL90" i="21" s="1"/>
  <c r="AK35" i="21"/>
  <c r="AK90" i="21" s="1"/>
  <c r="L35" i="21"/>
  <c r="L90" i="21" s="1"/>
  <c r="L150" i="21" s="1"/>
  <c r="Z35" i="21"/>
  <c r="Z90" i="21" s="1"/>
  <c r="AN35" i="21"/>
  <c r="AN90" i="21" s="1"/>
  <c r="L49" i="21"/>
  <c r="L104" i="21" s="1"/>
  <c r="L164" i="21" s="1"/>
  <c r="X15" i="21"/>
  <c r="X70" i="21" s="1"/>
  <c r="AE11" i="21"/>
  <c r="AE66" i="21" s="1"/>
  <c r="AP49" i="21"/>
  <c r="AP104" i="21" s="1"/>
  <c r="U15" i="21"/>
  <c r="U70" i="21" s="1"/>
  <c r="AN11" i="21"/>
  <c r="AN66" i="21" s="1"/>
  <c r="K48" i="21"/>
  <c r="K103" i="21" s="1"/>
  <c r="K163" i="21" s="1"/>
  <c r="BM97" i="25" s="1"/>
  <c r="S48" i="21"/>
  <c r="S103" i="21" s="1"/>
  <c r="AA48" i="21"/>
  <c r="AA103" i="21" s="1"/>
  <c r="AI48" i="21"/>
  <c r="AI103" i="21" s="1"/>
  <c r="AQ48" i="21"/>
  <c r="AQ103" i="21" s="1"/>
  <c r="L48" i="21"/>
  <c r="L103" i="21" s="1"/>
  <c r="L163" i="21" s="1"/>
  <c r="BN97" i="25" s="1"/>
  <c r="T48" i="21"/>
  <c r="T103" i="21" s="1"/>
  <c r="AB48" i="21"/>
  <c r="AB103" i="21" s="1"/>
  <c r="AJ48" i="21"/>
  <c r="AJ103" i="21" s="1"/>
  <c r="AR48" i="21"/>
  <c r="AR103" i="21" s="1"/>
  <c r="O48" i="21"/>
  <c r="O103" i="21" s="1"/>
  <c r="W48" i="21"/>
  <c r="W103" i="21" s="1"/>
  <c r="AE48" i="21"/>
  <c r="AE103" i="21" s="1"/>
  <c r="AM48" i="21"/>
  <c r="AM103" i="21" s="1"/>
  <c r="AU48" i="21"/>
  <c r="AU103" i="21" s="1"/>
  <c r="P48" i="21"/>
  <c r="P103" i="21" s="1"/>
  <c r="AC48" i="21"/>
  <c r="AC103" i="21" s="1"/>
  <c r="AO48" i="21"/>
  <c r="AO103" i="21" s="1"/>
  <c r="U48" i="21"/>
  <c r="U103" i="21" s="1"/>
  <c r="AT48" i="21"/>
  <c r="AT103" i="21" s="1"/>
  <c r="Q48" i="21"/>
  <c r="Q103" i="21" s="1"/>
  <c r="AD48" i="21"/>
  <c r="AD103" i="21" s="1"/>
  <c r="AP48" i="21"/>
  <c r="AP103" i="21" s="1"/>
  <c r="AG48" i="21"/>
  <c r="AG103" i="21" s="1"/>
  <c r="R48" i="21"/>
  <c r="R103" i="21" s="1"/>
  <c r="AF48" i="21"/>
  <c r="AF103" i="21" s="1"/>
  <c r="AS48" i="21"/>
  <c r="AS103" i="21" s="1"/>
  <c r="J48" i="21"/>
  <c r="J103" i="21" s="1"/>
  <c r="J163" i="21" s="1"/>
  <c r="BL97" i="25" s="1"/>
  <c r="X48" i="21"/>
  <c r="X103" i="21" s="1"/>
  <c r="AK48" i="21"/>
  <c r="AK103" i="21" s="1"/>
  <c r="AH48" i="21"/>
  <c r="AH103" i="21" s="1"/>
  <c r="AL48" i="21"/>
  <c r="AL103" i="21" s="1"/>
  <c r="I48" i="21"/>
  <c r="I103" i="21" s="1"/>
  <c r="I163" i="21" s="1"/>
  <c r="AN48" i="21"/>
  <c r="AN103" i="21" s="1"/>
  <c r="V48" i="21"/>
  <c r="V103" i="21" s="1"/>
  <c r="M48" i="21"/>
  <c r="M103" i="21" s="1"/>
  <c r="Z48" i="21"/>
  <c r="Z103" i="21" s="1"/>
  <c r="N48" i="21"/>
  <c r="N103" i="21" s="1"/>
  <c r="Y48" i="21"/>
  <c r="Y103" i="21" s="1"/>
  <c r="AS45" i="21"/>
  <c r="AS100" i="21" s="1"/>
  <c r="AF49" i="21"/>
  <c r="AF104" i="21" s="1"/>
  <c r="AR49" i="21"/>
  <c r="AR104" i="21" s="1"/>
  <c r="AE49" i="21"/>
  <c r="AE104" i="21" s="1"/>
  <c r="AF45" i="21"/>
  <c r="AF100" i="21" s="1"/>
  <c r="AU15" i="21"/>
  <c r="AU70" i="21" s="1"/>
  <c r="AR15" i="21"/>
  <c r="AR70" i="21" s="1"/>
  <c r="V15" i="21"/>
  <c r="V70" i="21" s="1"/>
  <c r="Y15" i="21"/>
  <c r="Y70" i="21" s="1"/>
  <c r="AQ15" i="21"/>
  <c r="AQ70" i="21" s="1"/>
  <c r="O27" i="21"/>
  <c r="O82" i="21" s="1"/>
  <c r="W27" i="21"/>
  <c r="W82" i="21" s="1"/>
  <c r="AE27" i="21"/>
  <c r="AE82" i="21" s="1"/>
  <c r="AM27" i="21"/>
  <c r="AM82" i="21" s="1"/>
  <c r="AU27" i="21"/>
  <c r="AU82" i="21" s="1"/>
  <c r="P27" i="21"/>
  <c r="P82" i="21" s="1"/>
  <c r="X27" i="21"/>
  <c r="X82" i="21" s="1"/>
  <c r="AF27" i="21"/>
  <c r="AF82" i="21" s="1"/>
  <c r="AN27" i="21"/>
  <c r="AN82" i="21" s="1"/>
  <c r="I27" i="21"/>
  <c r="I82" i="21" s="1"/>
  <c r="I142" i="21" s="1"/>
  <c r="Q27" i="21"/>
  <c r="Q82" i="21" s="1"/>
  <c r="Y27" i="21"/>
  <c r="Y82" i="21" s="1"/>
  <c r="AG27" i="21"/>
  <c r="AG82" i="21" s="1"/>
  <c r="AO27" i="21"/>
  <c r="AO82" i="21" s="1"/>
  <c r="J27" i="21"/>
  <c r="J82" i="21" s="1"/>
  <c r="J142" i="21" s="1"/>
  <c r="R27" i="21"/>
  <c r="R82" i="21" s="1"/>
  <c r="Z27" i="21"/>
  <c r="Z82" i="21" s="1"/>
  <c r="K27" i="21"/>
  <c r="K82" i="21" s="1"/>
  <c r="K142" i="21" s="1"/>
  <c r="S27" i="21"/>
  <c r="S82" i="21" s="1"/>
  <c r="U27" i="21"/>
  <c r="U82" i="21" s="1"/>
  <c r="AJ27" i="21"/>
  <c r="AJ82" i="21" s="1"/>
  <c r="V27" i="21"/>
  <c r="V82" i="21" s="1"/>
  <c r="AK27" i="21"/>
  <c r="AK82" i="21" s="1"/>
  <c r="AA27" i="21"/>
  <c r="AA82" i="21" s="1"/>
  <c r="AL27" i="21"/>
  <c r="AL82" i="21" s="1"/>
  <c r="AB27" i="21"/>
  <c r="AB82" i="21" s="1"/>
  <c r="AP27" i="21"/>
  <c r="AP82" i="21" s="1"/>
  <c r="L27" i="21"/>
  <c r="L82" i="21" s="1"/>
  <c r="L142" i="21" s="1"/>
  <c r="AC27" i="21"/>
  <c r="AC82" i="21" s="1"/>
  <c r="AQ27" i="21"/>
  <c r="AQ82" i="21" s="1"/>
  <c r="M27" i="21"/>
  <c r="M82" i="21" s="1"/>
  <c r="AD27" i="21"/>
  <c r="AD82" i="21" s="1"/>
  <c r="AR27" i="21"/>
  <c r="AR82" i="21" s="1"/>
  <c r="N27" i="21"/>
  <c r="N82" i="21" s="1"/>
  <c r="T27" i="21"/>
  <c r="T82" i="21" s="1"/>
  <c r="AH27" i="21"/>
  <c r="AH82" i="21" s="1"/>
  <c r="AS27" i="21"/>
  <c r="AS82" i="21" s="1"/>
  <c r="AI27" i="21"/>
  <c r="AI82" i="21" s="1"/>
  <c r="AT27" i="21"/>
  <c r="AT82" i="21" s="1"/>
  <c r="AM8" i="21"/>
  <c r="AM63" i="21" s="1"/>
  <c r="AO8" i="21"/>
  <c r="AO63" i="21" s="1"/>
  <c r="V8" i="21"/>
  <c r="V63" i="21" s="1"/>
  <c r="AJ8" i="21"/>
  <c r="AJ63" i="21" s="1"/>
  <c r="K8" i="21"/>
  <c r="K63" i="21" s="1"/>
  <c r="K123" i="21" s="1"/>
  <c r="AB11" i="21"/>
  <c r="AB66" i="21" s="1"/>
  <c r="AJ11" i="21"/>
  <c r="AJ66" i="21" s="1"/>
  <c r="AK11" i="21"/>
  <c r="AK66" i="21" s="1"/>
  <c r="J11" i="21"/>
  <c r="J66" i="21" s="1"/>
  <c r="J126" i="21" s="1"/>
  <c r="X11" i="21"/>
  <c r="X66" i="21" s="1"/>
  <c r="L9" i="21"/>
  <c r="L64" i="21" s="1"/>
  <c r="L124" i="21" s="1"/>
  <c r="T9" i="21"/>
  <c r="T64" i="21" s="1"/>
  <c r="AB9" i="21"/>
  <c r="AB64" i="21" s="1"/>
  <c r="AJ9" i="21"/>
  <c r="AJ64" i="21" s="1"/>
  <c r="AR9" i="21"/>
  <c r="AR64" i="21" s="1"/>
  <c r="M9" i="21"/>
  <c r="M64" i="21" s="1"/>
  <c r="U9" i="21"/>
  <c r="U64" i="21" s="1"/>
  <c r="AC9" i="21"/>
  <c r="AC64" i="21" s="1"/>
  <c r="AK9" i="21"/>
  <c r="AK64" i="21" s="1"/>
  <c r="AS9" i="21"/>
  <c r="AS64" i="21" s="1"/>
  <c r="N9" i="21"/>
  <c r="N64" i="21" s="1"/>
  <c r="V9" i="21"/>
  <c r="V64" i="21" s="1"/>
  <c r="AD9" i="21"/>
  <c r="AD64" i="21" s="1"/>
  <c r="AL9" i="21"/>
  <c r="AL64" i="21" s="1"/>
  <c r="AT9" i="21"/>
  <c r="AT64" i="21" s="1"/>
  <c r="O9" i="21"/>
  <c r="O64" i="21" s="1"/>
  <c r="W9" i="21"/>
  <c r="W64" i="21" s="1"/>
  <c r="AE9" i="21"/>
  <c r="AE64" i="21" s="1"/>
  <c r="AM9" i="21"/>
  <c r="AM64" i="21" s="1"/>
  <c r="AU9" i="21"/>
  <c r="AU64" i="21" s="1"/>
  <c r="J9" i="21"/>
  <c r="J64" i="21" s="1"/>
  <c r="J124" i="21" s="1"/>
  <c r="R9" i="21"/>
  <c r="R64" i="21" s="1"/>
  <c r="Z9" i="21"/>
  <c r="Z64" i="21" s="1"/>
  <c r="AH9" i="21"/>
  <c r="AH64" i="21" s="1"/>
  <c r="AP9" i="21"/>
  <c r="AP64" i="21" s="1"/>
  <c r="K9" i="21"/>
  <c r="K64" i="21" s="1"/>
  <c r="K124" i="21" s="1"/>
  <c r="S9" i="21"/>
  <c r="S64" i="21" s="1"/>
  <c r="AA9" i="21"/>
  <c r="AA64" i="21" s="1"/>
  <c r="AI9" i="21"/>
  <c r="AI64" i="21" s="1"/>
  <c r="AQ9" i="21"/>
  <c r="AQ64" i="21" s="1"/>
  <c r="X9" i="21"/>
  <c r="X64" i="21" s="1"/>
  <c r="Y9" i="21"/>
  <c r="Y64" i="21" s="1"/>
  <c r="AF9" i="21"/>
  <c r="AF64" i="21" s="1"/>
  <c r="AG9" i="21"/>
  <c r="AG64" i="21" s="1"/>
  <c r="AN9" i="21"/>
  <c r="AN64" i="21" s="1"/>
  <c r="I9" i="21"/>
  <c r="I64" i="21" s="1"/>
  <c r="I124" i="21" s="1"/>
  <c r="P9" i="21"/>
  <c r="P64" i="21" s="1"/>
  <c r="Q9" i="21"/>
  <c r="Q64" i="21" s="1"/>
  <c r="AO9" i="21"/>
  <c r="AO64" i="21" s="1"/>
  <c r="AD35" i="21"/>
  <c r="AD90" i="21" s="1"/>
  <c r="AC35" i="21"/>
  <c r="AC90" i="21" s="1"/>
  <c r="AQ35" i="21"/>
  <c r="AQ90" i="21" s="1"/>
  <c r="R35" i="21"/>
  <c r="R90" i="21" s="1"/>
  <c r="AF35" i="21"/>
  <c r="AF90" i="21" s="1"/>
  <c r="AK15" i="21"/>
  <c r="AK70" i="21" s="1"/>
  <c r="AD11" i="21"/>
  <c r="AD66" i="21" s="1"/>
  <c r="U49" i="21"/>
  <c r="U104" i="21" s="1"/>
  <c r="W15" i="21"/>
  <c r="W70" i="21" s="1"/>
  <c r="N32" i="21"/>
  <c r="N87" i="21" s="1"/>
  <c r="V32" i="21"/>
  <c r="V87" i="21" s="1"/>
  <c r="AD32" i="21"/>
  <c r="AD87" i="21" s="1"/>
  <c r="AL32" i="21"/>
  <c r="AL87" i="21" s="1"/>
  <c r="AT32" i="21"/>
  <c r="AT87" i="21" s="1"/>
  <c r="Q32" i="21"/>
  <c r="Q87" i="21" s="1"/>
  <c r="Z32" i="21"/>
  <c r="Z87" i="21" s="1"/>
  <c r="AI32" i="21"/>
  <c r="AI87" i="21" s="1"/>
  <c r="AR32" i="21"/>
  <c r="AR87" i="21" s="1"/>
  <c r="I32" i="21"/>
  <c r="I87" i="21" s="1"/>
  <c r="I147" i="21" s="1"/>
  <c r="R32" i="21"/>
  <c r="R87" i="21" s="1"/>
  <c r="AA32" i="21"/>
  <c r="AA87" i="21" s="1"/>
  <c r="AJ32" i="21"/>
  <c r="AJ87" i="21" s="1"/>
  <c r="AS32" i="21"/>
  <c r="AS87" i="21" s="1"/>
  <c r="J32" i="21"/>
  <c r="J87" i="21" s="1"/>
  <c r="J147" i="21" s="1"/>
  <c r="S32" i="21"/>
  <c r="S87" i="21" s="1"/>
  <c r="AB32" i="21"/>
  <c r="AB87" i="21" s="1"/>
  <c r="AK32" i="21"/>
  <c r="AK87" i="21" s="1"/>
  <c r="AU32" i="21"/>
  <c r="AU87" i="21" s="1"/>
  <c r="K32" i="21"/>
  <c r="K87" i="21" s="1"/>
  <c r="K147" i="21" s="1"/>
  <c r="T32" i="21"/>
  <c r="T87" i="21" s="1"/>
  <c r="AC32" i="21"/>
  <c r="AC87" i="21" s="1"/>
  <c r="AM32" i="21"/>
  <c r="AM87" i="21" s="1"/>
  <c r="L32" i="21"/>
  <c r="L87" i="21" s="1"/>
  <c r="L147" i="21" s="1"/>
  <c r="U32" i="21"/>
  <c r="U87" i="21" s="1"/>
  <c r="AE32" i="21"/>
  <c r="AE87" i="21" s="1"/>
  <c r="AN32" i="21"/>
  <c r="AN87" i="21" s="1"/>
  <c r="M32" i="21"/>
  <c r="M87" i="21" s="1"/>
  <c r="W32" i="21"/>
  <c r="W87" i="21" s="1"/>
  <c r="AF32" i="21"/>
  <c r="AF87" i="21" s="1"/>
  <c r="AO32" i="21"/>
  <c r="AO87" i="21" s="1"/>
  <c r="X32" i="21"/>
  <c r="X87" i="21" s="1"/>
  <c r="Y32" i="21"/>
  <c r="Y87" i="21" s="1"/>
  <c r="AG32" i="21"/>
  <c r="AG87" i="21" s="1"/>
  <c r="AP32" i="21"/>
  <c r="AP87" i="21" s="1"/>
  <c r="O32" i="21"/>
  <c r="O87" i="21" s="1"/>
  <c r="P32" i="21"/>
  <c r="P87" i="21" s="1"/>
  <c r="AH32" i="21"/>
  <c r="AH87" i="21" s="1"/>
  <c r="AQ32" i="21"/>
  <c r="AQ87" i="21" s="1"/>
  <c r="O11" i="21"/>
  <c r="O66" i="21" s="1"/>
  <c r="AM35" i="21"/>
  <c r="AM90" i="21" s="1"/>
  <c r="I35" i="21"/>
  <c r="I90" i="21" s="1"/>
  <c r="I150" i="21" s="1"/>
  <c r="X49" i="21"/>
  <c r="X104" i="21" s="1"/>
  <c r="AJ49" i="21"/>
  <c r="AJ104" i="21" s="1"/>
  <c r="AQ49" i="21"/>
  <c r="AQ104" i="21" s="1"/>
  <c r="AJ15" i="21"/>
  <c r="AJ70" i="21" s="1"/>
  <c r="AB15" i="21"/>
  <c r="AB70" i="21" s="1"/>
  <c r="AP15" i="21"/>
  <c r="AP70" i="21" s="1"/>
  <c r="Q15" i="21"/>
  <c r="Q70" i="21" s="1"/>
  <c r="AI15" i="21"/>
  <c r="AI70" i="21" s="1"/>
  <c r="J14" i="21"/>
  <c r="J69" i="21" s="1"/>
  <c r="J129" i="21" s="1"/>
  <c r="R14" i="21"/>
  <c r="R69" i="21" s="1"/>
  <c r="Z14" i="21"/>
  <c r="Z69" i="21" s="1"/>
  <c r="AH14" i="21"/>
  <c r="AH69" i="21" s="1"/>
  <c r="AP14" i="21"/>
  <c r="AP69" i="21" s="1"/>
  <c r="L14" i="21"/>
  <c r="L69" i="21" s="1"/>
  <c r="L129" i="21" s="1"/>
  <c r="T14" i="21"/>
  <c r="T69" i="21" s="1"/>
  <c r="AB14" i="21"/>
  <c r="AB69" i="21" s="1"/>
  <c r="AJ14" i="21"/>
  <c r="AJ69" i="21" s="1"/>
  <c r="AR14" i="21"/>
  <c r="AR69" i="21" s="1"/>
  <c r="P14" i="21"/>
  <c r="P69" i="21" s="1"/>
  <c r="X14" i="21"/>
  <c r="X69" i="21" s="1"/>
  <c r="AF14" i="21"/>
  <c r="AF69" i="21" s="1"/>
  <c r="AN14" i="21"/>
  <c r="AN69" i="21" s="1"/>
  <c r="I14" i="21"/>
  <c r="I69" i="21" s="1"/>
  <c r="I129" i="21" s="1"/>
  <c r="Q14" i="21"/>
  <c r="Q69" i="21" s="1"/>
  <c r="Y14" i="21"/>
  <c r="Y69" i="21" s="1"/>
  <c r="AG14" i="21"/>
  <c r="AG69" i="21" s="1"/>
  <c r="AO14" i="21"/>
  <c r="AO69" i="21" s="1"/>
  <c r="M14" i="21"/>
  <c r="M69" i="21" s="1"/>
  <c r="AC14" i="21"/>
  <c r="AC69" i="21" s="1"/>
  <c r="AS14" i="21"/>
  <c r="AS69" i="21" s="1"/>
  <c r="N14" i="21"/>
  <c r="N69" i="21" s="1"/>
  <c r="AD14" i="21"/>
  <c r="AD69" i="21" s="1"/>
  <c r="AT14" i="21"/>
  <c r="AT69" i="21" s="1"/>
  <c r="O14" i="21"/>
  <c r="O69" i="21" s="1"/>
  <c r="AE14" i="21"/>
  <c r="AE69" i="21" s="1"/>
  <c r="AU14" i="21"/>
  <c r="AU69" i="21" s="1"/>
  <c r="S14" i="21"/>
  <c r="S69" i="21" s="1"/>
  <c r="AI14" i="21"/>
  <c r="AI69" i="21" s="1"/>
  <c r="U14" i="21"/>
  <c r="U69" i="21" s="1"/>
  <c r="AK14" i="21"/>
  <c r="AK69" i="21" s="1"/>
  <c r="V14" i="21"/>
  <c r="V69" i="21" s="1"/>
  <c r="W14" i="21"/>
  <c r="W69" i="21" s="1"/>
  <c r="AA14" i="21"/>
  <c r="AA69" i="21" s="1"/>
  <c r="AL14" i="21"/>
  <c r="AL69" i="21" s="1"/>
  <c r="AM14" i="21"/>
  <c r="AM69" i="21" s="1"/>
  <c r="AQ14" i="21"/>
  <c r="AQ69" i="21" s="1"/>
  <c r="K14" i="21"/>
  <c r="K69" i="21" s="1"/>
  <c r="K129" i="21" s="1"/>
  <c r="AF8" i="21"/>
  <c r="AF63" i="21" s="1"/>
  <c r="AG8" i="21"/>
  <c r="AG63" i="21" s="1"/>
  <c r="N8" i="21"/>
  <c r="N63" i="21" s="1"/>
  <c r="AB8" i="21"/>
  <c r="AB63" i="21" s="1"/>
  <c r="I36" i="21"/>
  <c r="I91" i="21" s="1"/>
  <c r="I151" i="21" s="1"/>
  <c r="Q36" i="21"/>
  <c r="Q91" i="21" s="1"/>
  <c r="Y36" i="21"/>
  <c r="Y91" i="21" s="1"/>
  <c r="AG36" i="21"/>
  <c r="AG91" i="21" s="1"/>
  <c r="AO36" i="21"/>
  <c r="AO91" i="21" s="1"/>
  <c r="J36" i="21"/>
  <c r="J91" i="21" s="1"/>
  <c r="J151" i="21" s="1"/>
  <c r="R36" i="21"/>
  <c r="R91" i="21" s="1"/>
  <c r="Z36" i="21"/>
  <c r="Z91" i="21" s="1"/>
  <c r="AH36" i="21"/>
  <c r="AH91" i="21" s="1"/>
  <c r="AP36" i="21"/>
  <c r="AP91" i="21" s="1"/>
  <c r="K36" i="21"/>
  <c r="K91" i="21" s="1"/>
  <c r="K151" i="21" s="1"/>
  <c r="S36" i="21"/>
  <c r="S91" i="21" s="1"/>
  <c r="AA36" i="21"/>
  <c r="AA91" i="21" s="1"/>
  <c r="AI36" i="21"/>
  <c r="AI91" i="21" s="1"/>
  <c r="AQ36" i="21"/>
  <c r="AQ91" i="21" s="1"/>
  <c r="L36" i="21"/>
  <c r="L91" i="21" s="1"/>
  <c r="L151" i="21" s="1"/>
  <c r="T36" i="21"/>
  <c r="T91" i="21" s="1"/>
  <c r="AB36" i="21"/>
  <c r="AB91" i="21" s="1"/>
  <c r="AJ36" i="21"/>
  <c r="AJ91" i="21" s="1"/>
  <c r="AR36" i="21"/>
  <c r="AR91" i="21" s="1"/>
  <c r="M36" i="21"/>
  <c r="M91" i="21" s="1"/>
  <c r="U36" i="21"/>
  <c r="U91" i="21" s="1"/>
  <c r="AC36" i="21"/>
  <c r="AC91" i="21" s="1"/>
  <c r="AK36" i="21"/>
  <c r="AK91" i="21" s="1"/>
  <c r="AS36" i="21"/>
  <c r="AS91" i="21" s="1"/>
  <c r="N36" i="21"/>
  <c r="N91" i="21" s="1"/>
  <c r="V36" i="21"/>
  <c r="V91" i="21" s="1"/>
  <c r="AD36" i="21"/>
  <c r="AD91" i="21" s="1"/>
  <c r="AL36" i="21"/>
  <c r="AL91" i="21" s="1"/>
  <c r="AT36" i="21"/>
  <c r="AT91" i="21" s="1"/>
  <c r="AM36" i="21"/>
  <c r="AM91" i="21" s="1"/>
  <c r="AN36" i="21"/>
  <c r="AN91" i="21" s="1"/>
  <c r="O36" i="21"/>
  <c r="O91" i="21" s="1"/>
  <c r="AU36" i="21"/>
  <c r="AU91" i="21" s="1"/>
  <c r="W36" i="21"/>
  <c r="W91" i="21" s="1"/>
  <c r="P36" i="21"/>
  <c r="P91" i="21" s="1"/>
  <c r="X36" i="21"/>
  <c r="X91" i="21" s="1"/>
  <c r="AE36" i="21"/>
  <c r="AE91" i="21" s="1"/>
  <c r="AF36" i="21"/>
  <c r="AF91" i="21" s="1"/>
  <c r="AA11" i="21"/>
  <c r="AA66" i="21" s="1"/>
  <c r="AI11" i="21"/>
  <c r="AI66" i="21" s="1"/>
  <c r="AC11" i="21"/>
  <c r="AC66" i="21" s="1"/>
  <c r="AO11" i="21"/>
  <c r="AO66" i="21" s="1"/>
  <c r="P11" i="21"/>
  <c r="P66" i="21" s="1"/>
  <c r="V35" i="21"/>
  <c r="V90" i="21" s="1"/>
  <c r="U35" i="21"/>
  <c r="U90" i="21" s="1"/>
  <c r="AI35" i="21"/>
  <c r="AI90" i="21" s="1"/>
  <c r="J35" i="21"/>
  <c r="J90" i="21" s="1"/>
  <c r="J150" i="21" s="1"/>
  <c r="X35" i="21"/>
  <c r="X90" i="21" s="1"/>
  <c r="AK49" i="21"/>
  <c r="AK104" i="21" s="1"/>
  <c r="R15" i="21"/>
  <c r="R70" i="21" s="1"/>
  <c r="M50" i="21"/>
  <c r="M105" i="21" s="1"/>
  <c r="U50" i="21"/>
  <c r="U105" i="21" s="1"/>
  <c r="AC50" i="21"/>
  <c r="AC105" i="21" s="1"/>
  <c r="AK50" i="21"/>
  <c r="AK105" i="21" s="1"/>
  <c r="AS50" i="21"/>
  <c r="AS105" i="21" s="1"/>
  <c r="N50" i="21"/>
  <c r="N105" i="21" s="1"/>
  <c r="V50" i="21"/>
  <c r="V105" i="21" s="1"/>
  <c r="AD50" i="21"/>
  <c r="AD105" i="21" s="1"/>
  <c r="AL50" i="21"/>
  <c r="AL105" i="21" s="1"/>
  <c r="AT50" i="21"/>
  <c r="AT105" i="21" s="1"/>
  <c r="I50" i="21"/>
  <c r="I105" i="21" s="1"/>
  <c r="I165" i="21" s="1"/>
  <c r="Q50" i="21"/>
  <c r="Q105" i="21" s="1"/>
  <c r="Y50" i="21"/>
  <c r="Y105" i="21" s="1"/>
  <c r="AG50" i="21"/>
  <c r="AG105" i="21" s="1"/>
  <c r="AO50" i="21"/>
  <c r="AO105" i="21" s="1"/>
  <c r="O50" i="21"/>
  <c r="O105" i="21" s="1"/>
  <c r="AA50" i="21"/>
  <c r="AA105" i="21" s="1"/>
  <c r="AN50" i="21"/>
  <c r="AN105" i="21" s="1"/>
  <c r="AF50" i="21"/>
  <c r="AF105" i="21" s="1"/>
  <c r="P50" i="21"/>
  <c r="P105" i="21" s="1"/>
  <c r="AB50" i="21"/>
  <c r="AB105" i="21" s="1"/>
  <c r="AP50" i="21"/>
  <c r="AP105" i="21" s="1"/>
  <c r="AR50" i="21"/>
  <c r="AR105" i="21" s="1"/>
  <c r="R50" i="21"/>
  <c r="R105" i="21" s="1"/>
  <c r="AE50" i="21"/>
  <c r="AE105" i="21" s="1"/>
  <c r="AQ50" i="21"/>
  <c r="AQ105" i="21" s="1"/>
  <c r="S50" i="21"/>
  <c r="S105" i="21" s="1"/>
  <c r="J50" i="21"/>
  <c r="J105" i="21" s="1"/>
  <c r="J165" i="21" s="1"/>
  <c r="BL99" i="25" s="1"/>
  <c r="W50" i="21"/>
  <c r="W105" i="21" s="1"/>
  <c r="AI50" i="21"/>
  <c r="AI105" i="21" s="1"/>
  <c r="X50" i="21"/>
  <c r="X105" i="21" s="1"/>
  <c r="Z50" i="21"/>
  <c r="Z105" i="21" s="1"/>
  <c r="K50" i="21"/>
  <c r="K105" i="21" s="1"/>
  <c r="K165" i="21" s="1"/>
  <c r="BM99" i="25" s="1"/>
  <c r="AH50" i="21"/>
  <c r="AH105" i="21" s="1"/>
  <c r="AU50" i="21"/>
  <c r="AU105" i="21" s="1"/>
  <c r="AJ50" i="21"/>
  <c r="AJ105" i="21" s="1"/>
  <c r="AM50" i="21"/>
  <c r="AM105" i="21" s="1"/>
  <c r="T50" i="21"/>
  <c r="T105" i="21" s="1"/>
  <c r="L50" i="21"/>
  <c r="L105" i="21" s="1"/>
  <c r="L165" i="21" s="1"/>
  <c r="BN99" i="25" s="1"/>
  <c r="AD15" i="21"/>
  <c r="AD70" i="21" s="1"/>
  <c r="Z11" i="21"/>
  <c r="Z66" i="21" s="1"/>
  <c r="AS35" i="21"/>
  <c r="AS90" i="21" s="1"/>
  <c r="AJ45" i="21"/>
  <c r="AJ100" i="21" s="1"/>
  <c r="J45" i="21"/>
  <c r="J100" i="21" s="1"/>
  <c r="J160" i="21" s="1"/>
  <c r="BL32" i="25" s="1"/>
  <c r="V45" i="21"/>
  <c r="V100" i="21" s="1"/>
  <c r="N45" i="21"/>
  <c r="N100" i="21" s="1"/>
  <c r="AB45" i="21"/>
  <c r="AB100" i="21" s="1"/>
  <c r="AO45" i="21"/>
  <c r="AO100" i="21" s="1"/>
  <c r="AC45" i="21"/>
  <c r="AC100" i="21" s="1"/>
  <c r="L45" i="21"/>
  <c r="L100" i="21" s="1"/>
  <c r="L160" i="21" s="1"/>
  <c r="BN32" i="25" s="1"/>
  <c r="Q45" i="21"/>
  <c r="Q100" i="21" s="1"/>
  <c r="Y45" i="21"/>
  <c r="Y100" i="21" s="1"/>
  <c r="AK45" i="21"/>
  <c r="AK100" i="21" s="1"/>
  <c r="AP45" i="21"/>
  <c r="AP100" i="21" s="1"/>
  <c r="P34" i="21"/>
  <c r="P89" i="21" s="1"/>
  <c r="X34" i="21"/>
  <c r="X89" i="21" s="1"/>
  <c r="AF34" i="21"/>
  <c r="AF89" i="21" s="1"/>
  <c r="L34" i="21"/>
  <c r="L89" i="21" s="1"/>
  <c r="L149" i="21" s="1"/>
  <c r="U34" i="21"/>
  <c r="U89" i="21" s="1"/>
  <c r="AD34" i="21"/>
  <c r="AD89" i="21" s="1"/>
  <c r="AM34" i="21"/>
  <c r="AM89" i="21" s="1"/>
  <c r="AU34" i="21"/>
  <c r="AU89" i="21" s="1"/>
  <c r="M34" i="21"/>
  <c r="M89" i="21" s="1"/>
  <c r="V34" i="21"/>
  <c r="V89" i="21" s="1"/>
  <c r="AE34" i="21"/>
  <c r="AE89" i="21" s="1"/>
  <c r="AN34" i="21"/>
  <c r="AN89" i="21" s="1"/>
  <c r="N34" i="21"/>
  <c r="N89" i="21" s="1"/>
  <c r="W34" i="21"/>
  <c r="W89" i="21" s="1"/>
  <c r="AG34" i="21"/>
  <c r="AG89" i="21" s="1"/>
  <c r="AO34" i="21"/>
  <c r="AO89" i="21" s="1"/>
  <c r="O34" i="21"/>
  <c r="O89" i="21" s="1"/>
  <c r="Y34" i="21"/>
  <c r="Y89" i="21" s="1"/>
  <c r="AH34" i="21"/>
  <c r="AH89" i="21" s="1"/>
  <c r="AP34" i="21"/>
  <c r="AP89" i="21" s="1"/>
  <c r="Q34" i="21"/>
  <c r="Q89" i="21" s="1"/>
  <c r="Z34" i="21"/>
  <c r="Z89" i="21" s="1"/>
  <c r="AI34" i="21"/>
  <c r="AI89" i="21" s="1"/>
  <c r="AQ34" i="21"/>
  <c r="AQ89" i="21" s="1"/>
  <c r="I34" i="21"/>
  <c r="I89" i="21" s="1"/>
  <c r="I149" i="21" s="1"/>
  <c r="R34" i="21"/>
  <c r="R89" i="21" s="1"/>
  <c r="AA34" i="21"/>
  <c r="AA89" i="21" s="1"/>
  <c r="AJ34" i="21"/>
  <c r="AJ89" i="21" s="1"/>
  <c r="AR34" i="21"/>
  <c r="AR89" i="21" s="1"/>
  <c r="S34" i="21"/>
  <c r="S89" i="21" s="1"/>
  <c r="T34" i="21"/>
  <c r="T89" i="21" s="1"/>
  <c r="AB34" i="21"/>
  <c r="AB89" i="21" s="1"/>
  <c r="AK34" i="21"/>
  <c r="AK89" i="21" s="1"/>
  <c r="J34" i="21"/>
  <c r="J89" i="21" s="1"/>
  <c r="J149" i="21" s="1"/>
  <c r="K34" i="21"/>
  <c r="K89" i="21" s="1"/>
  <c r="K149" i="21" s="1"/>
  <c r="AS34" i="21"/>
  <c r="AS89" i="21" s="1"/>
  <c r="AC34" i="21"/>
  <c r="AC89" i="21" s="1"/>
  <c r="AT34" i="21"/>
  <c r="AT89" i="21" s="1"/>
  <c r="AL34" i="21"/>
  <c r="AL89" i="21" s="1"/>
  <c r="N41" i="21"/>
  <c r="N96" i="21" s="1"/>
  <c r="V41" i="21"/>
  <c r="V96" i="21" s="1"/>
  <c r="AD41" i="21"/>
  <c r="AD96" i="21" s="1"/>
  <c r="AL41" i="21"/>
  <c r="AL96" i="21" s="1"/>
  <c r="AT41" i="21"/>
  <c r="AT96" i="21" s="1"/>
  <c r="O41" i="21"/>
  <c r="O96" i="21" s="1"/>
  <c r="W41" i="21"/>
  <c r="W96" i="21" s="1"/>
  <c r="AE41" i="21"/>
  <c r="AE96" i="21" s="1"/>
  <c r="AM41" i="21"/>
  <c r="AM96" i="21" s="1"/>
  <c r="AU41" i="21"/>
  <c r="AU96" i="21" s="1"/>
  <c r="P41" i="21"/>
  <c r="P96" i="21" s="1"/>
  <c r="X41" i="21"/>
  <c r="X96" i="21" s="1"/>
  <c r="AF41" i="21"/>
  <c r="AF96" i="21" s="1"/>
  <c r="AN41" i="21"/>
  <c r="AN96" i="21" s="1"/>
  <c r="J41" i="21"/>
  <c r="J96" i="21" s="1"/>
  <c r="J156" i="21" s="1"/>
  <c r="R41" i="21"/>
  <c r="R96" i="21" s="1"/>
  <c r="Z41" i="21"/>
  <c r="Z96" i="21" s="1"/>
  <c r="AH41" i="21"/>
  <c r="AH96" i="21" s="1"/>
  <c r="AP41" i="21"/>
  <c r="AP96" i="21" s="1"/>
  <c r="Q41" i="21"/>
  <c r="Q96" i="21" s="1"/>
  <c r="AG41" i="21"/>
  <c r="AG96" i="21" s="1"/>
  <c r="S41" i="21"/>
  <c r="S96" i="21" s="1"/>
  <c r="AI41" i="21"/>
  <c r="AI96" i="21" s="1"/>
  <c r="I41" i="21"/>
  <c r="I96" i="21" s="1"/>
  <c r="I156" i="21" s="1"/>
  <c r="Y41" i="21"/>
  <c r="Y96" i="21" s="1"/>
  <c r="AO41" i="21"/>
  <c r="AO96" i="21" s="1"/>
  <c r="AB41" i="21"/>
  <c r="AB96" i="21" s="1"/>
  <c r="AC41" i="21"/>
  <c r="AC96" i="21" s="1"/>
  <c r="M41" i="21"/>
  <c r="M96" i="21" s="1"/>
  <c r="K41" i="21"/>
  <c r="K96" i="21" s="1"/>
  <c r="K156" i="21" s="1"/>
  <c r="AJ41" i="21"/>
  <c r="AJ96" i="21" s="1"/>
  <c r="AQ41" i="21"/>
  <c r="AQ96" i="21" s="1"/>
  <c r="L41" i="21"/>
  <c r="L96" i="21" s="1"/>
  <c r="L156" i="21" s="1"/>
  <c r="AK41" i="21"/>
  <c r="AK96" i="21" s="1"/>
  <c r="U41" i="21"/>
  <c r="U96" i="21" s="1"/>
  <c r="AS41" i="21"/>
  <c r="AS96" i="21" s="1"/>
  <c r="AA41" i="21"/>
  <c r="AA96" i="21" s="1"/>
  <c r="T41" i="21"/>
  <c r="T96" i="21" s="1"/>
  <c r="AR41" i="21"/>
  <c r="AR96" i="21" s="1"/>
  <c r="N26" i="21"/>
  <c r="N81" i="21" s="1"/>
  <c r="V26" i="21"/>
  <c r="V81" i="21" s="1"/>
  <c r="AD26" i="21"/>
  <c r="AD81" i="21" s="1"/>
  <c r="AL26" i="21"/>
  <c r="AL81" i="21" s="1"/>
  <c r="AT26" i="21"/>
  <c r="AT81" i="21" s="1"/>
  <c r="O26" i="21"/>
  <c r="O81" i="21" s="1"/>
  <c r="W26" i="21"/>
  <c r="W81" i="21" s="1"/>
  <c r="AE26" i="21"/>
  <c r="AE81" i="21" s="1"/>
  <c r="AM26" i="21"/>
  <c r="AM81" i="21" s="1"/>
  <c r="AU26" i="21"/>
  <c r="AU81" i="21" s="1"/>
  <c r="P26" i="21"/>
  <c r="P81" i="21" s="1"/>
  <c r="X26" i="21"/>
  <c r="X81" i="21" s="1"/>
  <c r="AF26" i="21"/>
  <c r="AF81" i="21" s="1"/>
  <c r="AN26" i="21"/>
  <c r="AN81" i="21" s="1"/>
  <c r="I26" i="21"/>
  <c r="I81" i="21" s="1"/>
  <c r="I141" i="21" s="1"/>
  <c r="Q26" i="21"/>
  <c r="Q81" i="21" s="1"/>
  <c r="Y26" i="21"/>
  <c r="Y81" i="21" s="1"/>
  <c r="AG26" i="21"/>
  <c r="AG81" i="21" s="1"/>
  <c r="AO26" i="21"/>
  <c r="AO81" i="21" s="1"/>
  <c r="J26" i="21"/>
  <c r="J81" i="21" s="1"/>
  <c r="J141" i="21" s="1"/>
  <c r="R26" i="21"/>
  <c r="R81" i="21" s="1"/>
  <c r="Z26" i="21"/>
  <c r="Z81" i="21" s="1"/>
  <c r="AH26" i="21"/>
  <c r="AH81" i="21" s="1"/>
  <c r="AP26" i="21"/>
  <c r="AP81" i="21" s="1"/>
  <c r="S26" i="21"/>
  <c r="S81" i="21" s="1"/>
  <c r="AK26" i="21"/>
  <c r="AK81" i="21" s="1"/>
  <c r="T26" i="21"/>
  <c r="T81" i="21" s="1"/>
  <c r="AQ26" i="21"/>
  <c r="AQ81" i="21" s="1"/>
  <c r="U26" i="21"/>
  <c r="U81" i="21" s="1"/>
  <c r="AR26" i="21"/>
  <c r="AR81" i="21" s="1"/>
  <c r="AA26" i="21"/>
  <c r="AA81" i="21" s="1"/>
  <c r="AS26" i="21"/>
  <c r="AS81" i="21" s="1"/>
  <c r="AB26" i="21"/>
  <c r="AB81" i="21" s="1"/>
  <c r="K26" i="21"/>
  <c r="K81" i="21" s="1"/>
  <c r="K141" i="21" s="1"/>
  <c r="AC26" i="21"/>
  <c r="AC81" i="21" s="1"/>
  <c r="L26" i="21"/>
  <c r="L81" i="21" s="1"/>
  <c r="L141" i="21" s="1"/>
  <c r="AI26" i="21"/>
  <c r="AI81" i="21" s="1"/>
  <c r="AJ26" i="21"/>
  <c r="AJ81" i="21" s="1"/>
  <c r="M26" i="21"/>
  <c r="M81" i="21" s="1"/>
  <c r="J30" i="21"/>
  <c r="J85" i="21" s="1"/>
  <c r="J145" i="21" s="1"/>
  <c r="R30" i="21"/>
  <c r="R85" i="21" s="1"/>
  <c r="Z30" i="21"/>
  <c r="Z85" i="21" s="1"/>
  <c r="AH30" i="21"/>
  <c r="AH85" i="21" s="1"/>
  <c r="AP30" i="21"/>
  <c r="AP85" i="21" s="1"/>
  <c r="K30" i="21"/>
  <c r="K85" i="21" s="1"/>
  <c r="K145" i="21" s="1"/>
  <c r="S30" i="21"/>
  <c r="S85" i="21" s="1"/>
  <c r="AA30" i="21"/>
  <c r="AA85" i="21" s="1"/>
  <c r="AI30" i="21"/>
  <c r="AI85" i="21" s="1"/>
  <c r="AQ30" i="21"/>
  <c r="AQ85" i="21" s="1"/>
  <c r="L30" i="21"/>
  <c r="L85" i="21" s="1"/>
  <c r="L145" i="21" s="1"/>
  <c r="T30" i="21"/>
  <c r="T85" i="21" s="1"/>
  <c r="AB30" i="21"/>
  <c r="AB85" i="21" s="1"/>
  <c r="AJ30" i="21"/>
  <c r="AJ85" i="21" s="1"/>
  <c r="AR30" i="21"/>
  <c r="AR85" i="21" s="1"/>
  <c r="V30" i="21"/>
  <c r="V85" i="21" s="1"/>
  <c r="AG30" i="21"/>
  <c r="AG85" i="21" s="1"/>
  <c r="AU30" i="21"/>
  <c r="AU85" i="21" s="1"/>
  <c r="I30" i="21"/>
  <c r="I85" i="21" s="1"/>
  <c r="I145" i="21" s="1"/>
  <c r="W30" i="21"/>
  <c r="W85" i="21" s="1"/>
  <c r="AK30" i="21"/>
  <c r="AK85" i="21" s="1"/>
  <c r="M30" i="21"/>
  <c r="M85" i="21" s="1"/>
  <c r="X30" i="21"/>
  <c r="X85" i="21" s="1"/>
  <c r="AL30" i="21"/>
  <c r="AL85" i="21" s="1"/>
  <c r="N30" i="21"/>
  <c r="N85" i="21" s="1"/>
  <c r="Y30" i="21"/>
  <c r="Y85" i="21" s="1"/>
  <c r="AM30" i="21"/>
  <c r="AM85" i="21" s="1"/>
  <c r="O30" i="21"/>
  <c r="O85" i="21" s="1"/>
  <c r="AC30" i="21"/>
  <c r="AC85" i="21" s="1"/>
  <c r="AN30" i="21"/>
  <c r="AN85" i="21" s="1"/>
  <c r="P30" i="21"/>
  <c r="P85" i="21" s="1"/>
  <c r="AD30" i="21"/>
  <c r="AD85" i="21" s="1"/>
  <c r="AO30" i="21"/>
  <c r="AO85" i="21" s="1"/>
  <c r="Q30" i="21"/>
  <c r="Q85" i="21" s="1"/>
  <c r="AE30" i="21"/>
  <c r="AE85" i="21" s="1"/>
  <c r="AS30" i="21"/>
  <c r="AS85" i="21" s="1"/>
  <c r="U30" i="21"/>
  <c r="U85" i="21" s="1"/>
  <c r="AF30" i="21"/>
  <c r="AF85" i="21" s="1"/>
  <c r="AT30" i="21"/>
  <c r="AT85" i="21" s="1"/>
  <c r="AA49" i="21"/>
  <c r="AA104" i="21" s="1"/>
  <c r="P49" i="21"/>
  <c r="P104" i="21" s="1"/>
  <c r="AB49" i="21"/>
  <c r="AB104" i="21" s="1"/>
  <c r="I45" i="21"/>
  <c r="I100" i="21" s="1"/>
  <c r="I160" i="21" s="1"/>
  <c r="AQ45" i="21"/>
  <c r="AQ100" i="21" s="1"/>
  <c r="P45" i="21"/>
  <c r="P100" i="21" s="1"/>
  <c r="AF15" i="21"/>
  <c r="AF70" i="21" s="1"/>
  <c r="L15" i="21"/>
  <c r="L70" i="21" s="1"/>
  <c r="L130" i="21" s="1"/>
  <c r="AH15" i="21"/>
  <c r="AH70" i="21" s="1"/>
  <c r="I15" i="21"/>
  <c r="I70" i="21" s="1"/>
  <c r="I130" i="21" s="1"/>
  <c r="AA15" i="21"/>
  <c r="AA70" i="21" s="1"/>
  <c r="W8" i="21"/>
  <c r="W63" i="21" s="1"/>
  <c r="AE8" i="21"/>
  <c r="AE63" i="21" s="1"/>
  <c r="Y8" i="21"/>
  <c r="Y63" i="21" s="1"/>
  <c r="AS8" i="21"/>
  <c r="AS63" i="21" s="1"/>
  <c r="T8" i="21"/>
  <c r="T63" i="21" s="1"/>
  <c r="R49" i="21"/>
  <c r="R104" i="21" s="1"/>
  <c r="T11" i="21"/>
  <c r="T66" i="21" s="1"/>
  <c r="AT11" i="21"/>
  <c r="AT66" i="21" s="1"/>
  <c r="U11" i="21"/>
  <c r="U66" i="21" s="1"/>
  <c r="AG11" i="21"/>
  <c r="AG66" i="21" s="1"/>
  <c r="AU11" i="21"/>
  <c r="AU66" i="21" s="1"/>
  <c r="AU35" i="21"/>
  <c r="AU90" i="21" s="1"/>
  <c r="M35" i="21"/>
  <c r="M90" i="21" s="1"/>
  <c r="AA35" i="21"/>
  <c r="AA90" i="21" s="1"/>
  <c r="AO35" i="21"/>
  <c r="AO90" i="21" s="1"/>
  <c r="P35" i="21"/>
  <c r="P90" i="21" s="1"/>
  <c r="L16" i="21"/>
  <c r="L71" i="21" s="1"/>
  <c r="L131" i="21" s="1"/>
  <c r="T16" i="21"/>
  <c r="T71" i="21" s="1"/>
  <c r="AB16" i="21"/>
  <c r="AB71" i="21" s="1"/>
  <c r="AJ16" i="21"/>
  <c r="AJ71" i="21" s="1"/>
  <c r="AR16" i="21"/>
  <c r="AR71" i="21" s="1"/>
  <c r="N16" i="21"/>
  <c r="N71" i="21" s="1"/>
  <c r="V16" i="21"/>
  <c r="V71" i="21" s="1"/>
  <c r="AD16" i="21"/>
  <c r="AD71" i="21" s="1"/>
  <c r="AL16" i="21"/>
  <c r="AL71" i="21" s="1"/>
  <c r="AT16" i="21"/>
  <c r="AT71" i="21" s="1"/>
  <c r="J16" i="21"/>
  <c r="J71" i="21" s="1"/>
  <c r="J131" i="21" s="1"/>
  <c r="R16" i="21"/>
  <c r="R71" i="21" s="1"/>
  <c r="Z16" i="21"/>
  <c r="Z71" i="21" s="1"/>
  <c r="AH16" i="21"/>
  <c r="AH71" i="21" s="1"/>
  <c r="AP16" i="21"/>
  <c r="AP71" i="21" s="1"/>
  <c r="K16" i="21"/>
  <c r="K71" i="21" s="1"/>
  <c r="K131" i="21" s="1"/>
  <c r="S16" i="21"/>
  <c r="S71" i="21" s="1"/>
  <c r="AA16" i="21"/>
  <c r="AA71" i="21" s="1"/>
  <c r="AI16" i="21"/>
  <c r="AI71" i="21" s="1"/>
  <c r="AQ16" i="21"/>
  <c r="AQ71" i="21" s="1"/>
  <c r="O16" i="21"/>
  <c r="O71" i="21" s="1"/>
  <c r="AE16" i="21"/>
  <c r="AE71" i="21" s="1"/>
  <c r="AU16" i="21"/>
  <c r="AU71" i="21" s="1"/>
  <c r="P16" i="21"/>
  <c r="P71" i="21" s="1"/>
  <c r="AF16" i="21"/>
  <c r="AF71" i="21" s="1"/>
  <c r="Q16" i="21"/>
  <c r="Q71" i="21" s="1"/>
  <c r="AG16" i="21"/>
  <c r="AG71" i="21" s="1"/>
  <c r="U16" i="21"/>
  <c r="U71" i="21" s="1"/>
  <c r="AK16" i="21"/>
  <c r="AK71" i="21" s="1"/>
  <c r="W16" i="21"/>
  <c r="W71" i="21" s="1"/>
  <c r="AM16" i="21"/>
  <c r="AM71" i="21" s="1"/>
  <c r="Y16" i="21"/>
  <c r="Y71" i="21" s="1"/>
  <c r="AC16" i="21"/>
  <c r="AC71" i="21" s="1"/>
  <c r="AN16" i="21"/>
  <c r="AN71" i="21" s="1"/>
  <c r="AO16" i="21"/>
  <c r="AO71" i="21" s="1"/>
  <c r="AS16" i="21"/>
  <c r="AS71" i="21" s="1"/>
  <c r="I16" i="21"/>
  <c r="I71" i="21" s="1"/>
  <c r="I131" i="21" s="1"/>
  <c r="M16" i="21"/>
  <c r="M71" i="21" s="1"/>
  <c r="X16" i="21"/>
  <c r="X71" i="21" s="1"/>
  <c r="M10" i="21"/>
  <c r="M65" i="21" s="1"/>
  <c r="U10" i="21"/>
  <c r="U65" i="21" s="1"/>
  <c r="AC10" i="21"/>
  <c r="AC65" i="21" s="1"/>
  <c r="AK10" i="21"/>
  <c r="AK65" i="21" s="1"/>
  <c r="AS10" i="21"/>
  <c r="AS65" i="21" s="1"/>
  <c r="N10" i="21"/>
  <c r="N65" i="21" s="1"/>
  <c r="V10" i="21"/>
  <c r="V65" i="21" s="1"/>
  <c r="AD10" i="21"/>
  <c r="AD65" i="21" s="1"/>
  <c r="AL10" i="21"/>
  <c r="AL65" i="21" s="1"/>
  <c r="AT10" i="21"/>
  <c r="AT65" i="21" s="1"/>
  <c r="O10" i="21"/>
  <c r="O65" i="21" s="1"/>
  <c r="W10" i="21"/>
  <c r="W65" i="21" s="1"/>
  <c r="AE10" i="21"/>
  <c r="AE65" i="21" s="1"/>
  <c r="AM10" i="21"/>
  <c r="AM65" i="21" s="1"/>
  <c r="AU10" i="21"/>
  <c r="AU65" i="21" s="1"/>
  <c r="P10" i="21"/>
  <c r="P65" i="21" s="1"/>
  <c r="X10" i="21"/>
  <c r="X65" i="21" s="1"/>
  <c r="AF10" i="21"/>
  <c r="AF65" i="21" s="1"/>
  <c r="AN10" i="21"/>
  <c r="AN65" i="21" s="1"/>
  <c r="K10" i="21"/>
  <c r="K65" i="21" s="1"/>
  <c r="K125" i="21" s="1"/>
  <c r="S10" i="21"/>
  <c r="S65" i="21" s="1"/>
  <c r="AA10" i="21"/>
  <c r="AA65" i="21" s="1"/>
  <c r="AI10" i="21"/>
  <c r="AI65" i="21" s="1"/>
  <c r="AQ10" i="21"/>
  <c r="AQ65" i="21" s="1"/>
  <c r="L10" i="21"/>
  <c r="L65" i="21" s="1"/>
  <c r="L125" i="21" s="1"/>
  <c r="BN42" i="25" s="1"/>
  <c r="T10" i="21"/>
  <c r="T65" i="21" s="1"/>
  <c r="AB10" i="21"/>
  <c r="AB65" i="21" s="1"/>
  <c r="AJ10" i="21"/>
  <c r="AJ65" i="21" s="1"/>
  <c r="AR10" i="21"/>
  <c r="AR65" i="21" s="1"/>
  <c r="Q10" i="21"/>
  <c r="Q65" i="21" s="1"/>
  <c r="R10" i="21"/>
  <c r="R65" i="21" s="1"/>
  <c r="Y10" i="21"/>
  <c r="Y65" i="21" s="1"/>
  <c r="Z10" i="21"/>
  <c r="Z65" i="21" s="1"/>
  <c r="AG10" i="21"/>
  <c r="AG65" i="21" s="1"/>
  <c r="AO10" i="21"/>
  <c r="AO65" i="21" s="1"/>
  <c r="AP10" i="21"/>
  <c r="AP65" i="21" s="1"/>
  <c r="I10" i="21"/>
  <c r="I65" i="21" s="1"/>
  <c r="I125" i="21" s="1"/>
  <c r="J10" i="21"/>
  <c r="J65" i="21" s="1"/>
  <c r="J125" i="21" s="1"/>
  <c r="AH10" i="21"/>
  <c r="AH65" i="21" s="1"/>
  <c r="K15" i="21"/>
  <c r="K70" i="21" s="1"/>
  <c r="K130" i="21" s="1"/>
  <c r="Q11" i="21"/>
  <c r="Q66" i="21" s="1"/>
  <c r="I5" i="21"/>
  <c r="I60" i="21" s="1"/>
  <c r="I120" i="21" s="1"/>
  <c r="Q5" i="21"/>
  <c r="Q60" i="21" s="1"/>
  <c r="Y5" i="21"/>
  <c r="Y60" i="21" s="1"/>
  <c r="AG5" i="21"/>
  <c r="AG60" i="21" s="1"/>
  <c r="AO5" i="21"/>
  <c r="AO60" i="21" s="1"/>
  <c r="J5" i="21"/>
  <c r="J60" i="21" s="1"/>
  <c r="J120" i="21" s="1"/>
  <c r="R5" i="21"/>
  <c r="R60" i="21" s="1"/>
  <c r="Z5" i="21"/>
  <c r="Z60" i="21" s="1"/>
  <c r="AH5" i="21"/>
  <c r="AH60" i="21" s="1"/>
  <c r="AP5" i="21"/>
  <c r="AP60" i="21" s="1"/>
  <c r="K5" i="21"/>
  <c r="K60" i="21" s="1"/>
  <c r="K120" i="21" s="1"/>
  <c r="S5" i="21"/>
  <c r="S60" i="21" s="1"/>
  <c r="AA5" i="21"/>
  <c r="AA60" i="21" s="1"/>
  <c r="AI5" i="21"/>
  <c r="AI60" i="21" s="1"/>
  <c r="AQ5" i="21"/>
  <c r="AQ60" i="21" s="1"/>
  <c r="L5" i="21"/>
  <c r="L60" i="21" s="1"/>
  <c r="L120" i="21" s="1"/>
  <c r="T5" i="21"/>
  <c r="T60" i="21" s="1"/>
  <c r="AB5" i="21"/>
  <c r="AB60" i="21" s="1"/>
  <c r="AJ5" i="21"/>
  <c r="AJ60" i="21" s="1"/>
  <c r="AR5" i="21"/>
  <c r="AR60" i="21" s="1"/>
  <c r="O5" i="21"/>
  <c r="O60" i="21" s="1"/>
  <c r="W5" i="21"/>
  <c r="W60" i="21" s="1"/>
  <c r="AE5" i="21"/>
  <c r="AE60" i="21" s="1"/>
  <c r="AM5" i="21"/>
  <c r="AM60" i="21" s="1"/>
  <c r="AU5" i="21"/>
  <c r="AU60" i="21" s="1"/>
  <c r="P5" i="21"/>
  <c r="P60" i="21" s="1"/>
  <c r="X5" i="21"/>
  <c r="X60" i="21" s="1"/>
  <c r="AF5" i="21"/>
  <c r="AF60" i="21" s="1"/>
  <c r="AN5" i="21"/>
  <c r="AN60" i="21" s="1"/>
  <c r="M5" i="21"/>
  <c r="M60" i="21" s="1"/>
  <c r="AS5" i="21"/>
  <c r="AS60" i="21" s="1"/>
  <c r="N5" i="21"/>
  <c r="N60" i="21" s="1"/>
  <c r="AT5" i="21"/>
  <c r="AT60" i="21" s="1"/>
  <c r="U5" i="21"/>
  <c r="U60" i="21" s="1"/>
  <c r="V5" i="21"/>
  <c r="V60" i="21" s="1"/>
  <c r="AC5" i="21"/>
  <c r="AC60" i="21" s="1"/>
  <c r="AD5" i="21"/>
  <c r="AD60" i="21" s="1"/>
  <c r="AK5" i="21"/>
  <c r="AK60" i="21" s="1"/>
  <c r="AL5" i="21"/>
  <c r="AL60" i="21" s="1"/>
  <c r="N11" i="21"/>
  <c r="N66" i="21" s="1"/>
  <c r="T35" i="21"/>
  <c r="T90" i="21" s="1"/>
  <c r="O49" i="21"/>
  <c r="O104" i="21" s="1"/>
  <c r="M17" i="21"/>
  <c r="M72" i="21" s="1"/>
  <c r="U17" i="21"/>
  <c r="U72" i="21" s="1"/>
  <c r="AC17" i="21"/>
  <c r="AC72" i="21" s="1"/>
  <c r="AK17" i="21"/>
  <c r="AK72" i="21" s="1"/>
  <c r="AS17" i="21"/>
  <c r="AS72" i="21" s="1"/>
  <c r="O17" i="21"/>
  <c r="O72" i="21" s="1"/>
  <c r="W17" i="21"/>
  <c r="W72" i="21" s="1"/>
  <c r="AE17" i="21"/>
  <c r="AE72" i="21" s="1"/>
  <c r="AM17" i="21"/>
  <c r="AM72" i="21" s="1"/>
  <c r="AU17" i="21"/>
  <c r="AU72" i="21" s="1"/>
  <c r="K17" i="21"/>
  <c r="K72" i="21" s="1"/>
  <c r="K132" i="21" s="1"/>
  <c r="S17" i="21"/>
  <c r="S72" i="21" s="1"/>
  <c r="AA17" i="21"/>
  <c r="AA72" i="21" s="1"/>
  <c r="AI17" i="21"/>
  <c r="AI72" i="21" s="1"/>
  <c r="AQ17" i="21"/>
  <c r="AQ72" i="21" s="1"/>
  <c r="L17" i="21"/>
  <c r="L72" i="21" s="1"/>
  <c r="L132" i="21" s="1"/>
  <c r="T17" i="21"/>
  <c r="T72" i="21" s="1"/>
  <c r="AB17" i="21"/>
  <c r="AB72" i="21" s="1"/>
  <c r="AJ17" i="21"/>
  <c r="AJ72" i="21" s="1"/>
  <c r="AR17" i="21"/>
  <c r="AR72" i="21" s="1"/>
  <c r="X17" i="21"/>
  <c r="X72" i="21" s="1"/>
  <c r="AN17" i="21"/>
  <c r="AN72" i="21" s="1"/>
  <c r="I17" i="21"/>
  <c r="I72" i="21" s="1"/>
  <c r="I132" i="21" s="1"/>
  <c r="Y17" i="21"/>
  <c r="Y72" i="21" s="1"/>
  <c r="AO17" i="21"/>
  <c r="AO72" i="21" s="1"/>
  <c r="J17" i="21"/>
  <c r="J72" i="21" s="1"/>
  <c r="J132" i="21" s="1"/>
  <c r="Z17" i="21"/>
  <c r="Z72" i="21" s="1"/>
  <c r="AP17" i="21"/>
  <c r="AP72" i="21" s="1"/>
  <c r="N17" i="21"/>
  <c r="N72" i="21" s="1"/>
  <c r="AD17" i="21"/>
  <c r="AD72" i="21" s="1"/>
  <c r="AT17" i="21"/>
  <c r="AT72" i="21" s="1"/>
  <c r="P17" i="21"/>
  <c r="P72" i="21" s="1"/>
  <c r="AF17" i="21"/>
  <c r="AF72" i="21" s="1"/>
  <c r="AG17" i="21"/>
  <c r="AG72" i="21" s="1"/>
  <c r="AH17" i="21"/>
  <c r="AH72" i="21" s="1"/>
  <c r="AL17" i="21"/>
  <c r="AL72" i="21" s="1"/>
  <c r="Q17" i="21"/>
  <c r="Q72" i="21" s="1"/>
  <c r="R17" i="21"/>
  <c r="R72" i="21" s="1"/>
  <c r="V17" i="21"/>
  <c r="V72" i="21" s="1"/>
  <c r="I22" i="21"/>
  <c r="I77" i="21" s="1"/>
  <c r="I137" i="21" s="1"/>
  <c r="Q22" i="21"/>
  <c r="Q77" i="21" s="1"/>
  <c r="Y22" i="21"/>
  <c r="Y77" i="21" s="1"/>
  <c r="AG22" i="21"/>
  <c r="AG77" i="21" s="1"/>
  <c r="AO22" i="21"/>
  <c r="AO77" i="21" s="1"/>
  <c r="K22" i="21"/>
  <c r="K77" i="21" s="1"/>
  <c r="K137" i="21" s="1"/>
  <c r="S22" i="21"/>
  <c r="S77" i="21" s="1"/>
  <c r="AA22" i="21"/>
  <c r="AA77" i="21" s="1"/>
  <c r="AI22" i="21"/>
  <c r="AI77" i="21" s="1"/>
  <c r="AQ22" i="21"/>
  <c r="AQ77" i="21" s="1"/>
  <c r="O22" i="21"/>
  <c r="O77" i="21" s="1"/>
  <c r="W22" i="21"/>
  <c r="W77" i="21" s="1"/>
  <c r="AE22" i="21"/>
  <c r="AE77" i="21" s="1"/>
  <c r="AM22" i="21"/>
  <c r="AM77" i="21" s="1"/>
  <c r="AU22" i="21"/>
  <c r="AU77" i="21" s="1"/>
  <c r="P22" i="21"/>
  <c r="P77" i="21" s="1"/>
  <c r="X22" i="21"/>
  <c r="X77" i="21" s="1"/>
  <c r="AF22" i="21"/>
  <c r="AF77" i="21" s="1"/>
  <c r="AN22" i="21"/>
  <c r="AN77" i="21" s="1"/>
  <c r="L22" i="21"/>
  <c r="L77" i="21" s="1"/>
  <c r="L137" i="21" s="1"/>
  <c r="AB22" i="21"/>
  <c r="AB77" i="21" s="1"/>
  <c r="AR22" i="21"/>
  <c r="AR77" i="21" s="1"/>
  <c r="M22" i="21"/>
  <c r="M77" i="21" s="1"/>
  <c r="AC22" i="21"/>
  <c r="AC77" i="21" s="1"/>
  <c r="AS22" i="21"/>
  <c r="AS77" i="21" s="1"/>
  <c r="N22" i="21"/>
  <c r="N77" i="21" s="1"/>
  <c r="AD22" i="21"/>
  <c r="AD77" i="21" s="1"/>
  <c r="AT22" i="21"/>
  <c r="AT77" i="21" s="1"/>
  <c r="R22" i="21"/>
  <c r="R77" i="21" s="1"/>
  <c r="AH22" i="21"/>
  <c r="AH77" i="21" s="1"/>
  <c r="T22" i="21"/>
  <c r="T77" i="21" s="1"/>
  <c r="AJ22" i="21"/>
  <c r="AJ77" i="21" s="1"/>
  <c r="AP22" i="21"/>
  <c r="AP77" i="21" s="1"/>
  <c r="J22" i="21"/>
  <c r="J77" i="21" s="1"/>
  <c r="J137" i="21" s="1"/>
  <c r="U22" i="21"/>
  <c r="U77" i="21" s="1"/>
  <c r="V22" i="21"/>
  <c r="V77" i="21" s="1"/>
  <c r="Z22" i="21"/>
  <c r="Z77" i="21" s="1"/>
  <c r="AK22" i="21"/>
  <c r="AK77" i="21" s="1"/>
  <c r="AL22" i="21"/>
  <c r="AL77" i="21" s="1"/>
  <c r="R45" i="21"/>
  <c r="R100" i="21" s="1"/>
  <c r="AO49" i="21"/>
  <c r="AO104" i="21" s="1"/>
  <c r="AS49" i="21"/>
  <c r="AS104" i="21" s="1"/>
  <c r="T49" i="21"/>
  <c r="T104" i="21" s="1"/>
  <c r="M25" i="21"/>
  <c r="M80" i="21" s="1"/>
  <c r="U25" i="21"/>
  <c r="U80" i="21" s="1"/>
  <c r="AC25" i="21"/>
  <c r="AC80" i="21" s="1"/>
  <c r="AK25" i="21"/>
  <c r="AK80" i="21" s="1"/>
  <c r="AS25" i="21"/>
  <c r="AS80" i="21" s="1"/>
  <c r="N25" i="21"/>
  <c r="N80" i="21" s="1"/>
  <c r="V25" i="21"/>
  <c r="V80" i="21" s="1"/>
  <c r="AD25" i="21"/>
  <c r="AD80" i="21" s="1"/>
  <c r="AL25" i="21"/>
  <c r="AL80" i="21" s="1"/>
  <c r="AT25" i="21"/>
  <c r="AT80" i="21" s="1"/>
  <c r="O25" i="21"/>
  <c r="O80" i="21" s="1"/>
  <c r="W25" i="21"/>
  <c r="W80" i="21" s="1"/>
  <c r="AE25" i="21"/>
  <c r="AE80" i="21" s="1"/>
  <c r="AM25" i="21"/>
  <c r="AM80" i="21" s="1"/>
  <c r="AU25" i="21"/>
  <c r="AU80" i="21" s="1"/>
  <c r="P25" i="21"/>
  <c r="P80" i="21" s="1"/>
  <c r="X25" i="21"/>
  <c r="X80" i="21" s="1"/>
  <c r="AF25" i="21"/>
  <c r="AF80" i="21" s="1"/>
  <c r="AN25" i="21"/>
  <c r="AN80" i="21" s="1"/>
  <c r="I25" i="21"/>
  <c r="I80" i="21" s="1"/>
  <c r="I140" i="21" s="1"/>
  <c r="Q25" i="21"/>
  <c r="Q80" i="21" s="1"/>
  <c r="Y25" i="21"/>
  <c r="Y80" i="21" s="1"/>
  <c r="AG25" i="21"/>
  <c r="AG80" i="21" s="1"/>
  <c r="AO25" i="21"/>
  <c r="AO80" i="21" s="1"/>
  <c r="L25" i="21"/>
  <c r="L80" i="21" s="1"/>
  <c r="L140" i="21" s="1"/>
  <c r="AI25" i="21"/>
  <c r="AI80" i="21" s="1"/>
  <c r="R25" i="21"/>
  <c r="R80" i="21" s="1"/>
  <c r="AJ25" i="21"/>
  <c r="AJ80" i="21" s="1"/>
  <c r="S25" i="21"/>
  <c r="S80" i="21" s="1"/>
  <c r="AP25" i="21"/>
  <c r="AP80" i="21" s="1"/>
  <c r="T25" i="21"/>
  <c r="T80" i="21" s="1"/>
  <c r="AQ25" i="21"/>
  <c r="AQ80" i="21" s="1"/>
  <c r="Z25" i="21"/>
  <c r="Z80" i="21" s="1"/>
  <c r="AR25" i="21"/>
  <c r="AR80" i="21" s="1"/>
  <c r="AA25" i="21"/>
  <c r="AA80" i="21" s="1"/>
  <c r="J25" i="21"/>
  <c r="J80" i="21" s="1"/>
  <c r="J140" i="21" s="1"/>
  <c r="K25" i="21"/>
  <c r="K80" i="21" s="1"/>
  <c r="K140" i="21" s="1"/>
  <c r="AB25" i="21"/>
  <c r="AB80" i="21" s="1"/>
  <c r="AH25" i="21"/>
  <c r="AH80" i="21" s="1"/>
  <c r="U45" i="21"/>
  <c r="U100" i="21" s="1"/>
  <c r="AI45" i="21"/>
  <c r="AI100" i="21" s="1"/>
  <c r="AU45" i="21"/>
  <c r="AU100" i="21" s="1"/>
  <c r="AE15" i="21"/>
  <c r="AE70" i="21" s="1"/>
  <c r="AN15" i="21"/>
  <c r="AN70" i="21" s="1"/>
  <c r="Z15" i="21"/>
  <c r="Z70" i="21" s="1"/>
  <c r="AS15" i="21"/>
  <c r="AS70" i="21" s="1"/>
  <c r="S15" i="21"/>
  <c r="S70" i="21" s="1"/>
  <c r="Z45" i="21"/>
  <c r="Z100" i="21" s="1"/>
  <c r="P8" i="21"/>
  <c r="P63" i="21" s="1"/>
  <c r="AP8" i="21"/>
  <c r="AP63" i="21" s="1"/>
  <c r="Q8" i="21"/>
  <c r="Q63" i="21" s="1"/>
  <c r="AK8" i="21"/>
  <c r="AK63" i="21" s="1"/>
  <c r="M45" i="21"/>
  <c r="M100" i="21" s="1"/>
  <c r="K31" i="21"/>
  <c r="K86" i="21" s="1"/>
  <c r="K146" i="21" s="1"/>
  <c r="S31" i="21"/>
  <c r="S86" i="21" s="1"/>
  <c r="AA31" i="21"/>
  <c r="AA86" i="21" s="1"/>
  <c r="AI31" i="21"/>
  <c r="AI86" i="21" s="1"/>
  <c r="AQ31" i="21"/>
  <c r="AQ86" i="21" s="1"/>
  <c r="L31" i="21"/>
  <c r="L86" i="21" s="1"/>
  <c r="L146" i="21" s="1"/>
  <c r="T31" i="21"/>
  <c r="T86" i="21" s="1"/>
  <c r="AB31" i="21"/>
  <c r="AB86" i="21" s="1"/>
  <c r="AJ31" i="21"/>
  <c r="AJ86" i="21" s="1"/>
  <c r="AR31" i="21"/>
  <c r="AR86" i="21" s="1"/>
  <c r="M31" i="21"/>
  <c r="M86" i="21" s="1"/>
  <c r="U31" i="21"/>
  <c r="U86" i="21" s="1"/>
  <c r="AC31" i="21"/>
  <c r="AC86" i="21" s="1"/>
  <c r="AK31" i="21"/>
  <c r="AK86" i="21" s="1"/>
  <c r="AS31" i="21"/>
  <c r="AS86" i="21" s="1"/>
  <c r="V31" i="21"/>
  <c r="V86" i="21" s="1"/>
  <c r="AG31" i="21"/>
  <c r="AG86" i="21" s="1"/>
  <c r="AU31" i="21"/>
  <c r="AU86" i="21" s="1"/>
  <c r="I31" i="21"/>
  <c r="I86" i="21" s="1"/>
  <c r="I146" i="21" s="1"/>
  <c r="W31" i="21"/>
  <c r="W86" i="21" s="1"/>
  <c r="AH31" i="21"/>
  <c r="AH86" i="21" s="1"/>
  <c r="J31" i="21"/>
  <c r="J86" i="21" s="1"/>
  <c r="J146" i="21" s="1"/>
  <c r="X31" i="21"/>
  <c r="X86" i="21" s="1"/>
  <c r="AL31" i="21"/>
  <c r="AL86" i="21" s="1"/>
  <c r="N31" i="21"/>
  <c r="N86" i="21" s="1"/>
  <c r="Y31" i="21"/>
  <c r="Y86" i="21" s="1"/>
  <c r="AM31" i="21"/>
  <c r="AM86" i="21" s="1"/>
  <c r="O31" i="21"/>
  <c r="O86" i="21" s="1"/>
  <c r="Z31" i="21"/>
  <c r="Z86" i="21" s="1"/>
  <c r="AN31" i="21"/>
  <c r="AN86" i="21" s="1"/>
  <c r="P31" i="21"/>
  <c r="P86" i="21" s="1"/>
  <c r="AD31" i="21"/>
  <c r="AD86" i="21" s="1"/>
  <c r="AO31" i="21"/>
  <c r="AO86" i="21" s="1"/>
  <c r="Q31" i="21"/>
  <c r="Q86" i="21" s="1"/>
  <c r="R31" i="21"/>
  <c r="R86" i="21" s="1"/>
  <c r="AE31" i="21"/>
  <c r="AE86" i="21" s="1"/>
  <c r="AP31" i="21"/>
  <c r="AP86" i="21" s="1"/>
  <c r="AF31" i="21"/>
  <c r="AF86" i="21" s="1"/>
  <c r="AT31" i="21"/>
  <c r="AT86" i="21" s="1"/>
  <c r="S11" i="21"/>
  <c r="S66" i="21" s="1"/>
  <c r="AL11" i="21"/>
  <c r="AL66" i="21" s="1"/>
  <c r="M11" i="21"/>
  <c r="M66" i="21" s="1"/>
  <c r="Y11" i="21"/>
  <c r="Y66" i="21" s="1"/>
  <c r="O35" i="21"/>
  <c r="O90" i="21" s="1"/>
  <c r="AR35" i="21"/>
  <c r="AR90" i="21" s="1"/>
  <c r="S35" i="21"/>
  <c r="S90" i="21" s="1"/>
  <c r="AC355" i="25" l="1"/>
  <c r="N14" i="29" s="1"/>
  <c r="AC371" i="25"/>
  <c r="BN232" i="25"/>
  <c r="BN68" i="25"/>
  <c r="BN69" i="25"/>
  <c r="M150" i="21"/>
  <c r="BO81" i="25" s="1"/>
  <c r="M156" i="21"/>
  <c r="BO87" i="25" s="1"/>
  <c r="M163" i="21"/>
  <c r="BO97" i="25" s="1"/>
  <c r="M151" i="21"/>
  <c r="M126" i="21"/>
  <c r="M132" i="21"/>
  <c r="M134" i="21"/>
  <c r="BO17" i="25" s="1"/>
  <c r="BN238" i="25"/>
  <c r="AD356" i="25" s="1"/>
  <c r="O15" i="29" s="1"/>
  <c r="M140" i="21"/>
  <c r="BO29" i="25" s="1"/>
  <c r="BO43" i="25"/>
  <c r="BO22" i="25"/>
  <c r="BO234" i="25" s="1"/>
  <c r="M147" i="21"/>
  <c r="M138" i="21"/>
  <c r="M161" i="21"/>
  <c r="BO33" i="25" s="1"/>
  <c r="U113" i="25"/>
  <c r="BO65" i="25"/>
  <c r="P4" i="30"/>
  <c r="BN277" i="25"/>
  <c r="BO40" i="25"/>
  <c r="BO252" i="25" s="1"/>
  <c r="CR56" i="25"/>
  <c r="BN306" i="25"/>
  <c r="BN276" i="25"/>
  <c r="BN268" i="25"/>
  <c r="AD367" i="25" s="1"/>
  <c r="O24" i="29" s="1"/>
  <c r="BN286" i="25"/>
  <c r="AA56" i="25"/>
  <c r="BN82" i="25"/>
  <c r="BN294" i="25" s="1"/>
  <c r="M120" i="21"/>
  <c r="M131" i="21"/>
  <c r="BO13" i="25" s="1"/>
  <c r="M141" i="21"/>
  <c r="BO31" i="25" s="1"/>
  <c r="M164" i="21"/>
  <c r="BO98" i="25" s="1"/>
  <c r="M157" i="21"/>
  <c r="BO92" i="25" s="1"/>
  <c r="M133" i="21"/>
  <c r="BO64" i="25"/>
  <c r="M146" i="21"/>
  <c r="M145" i="21"/>
  <c r="BO60" i="25" s="1"/>
  <c r="M165" i="21"/>
  <c r="BO99" i="25" s="1"/>
  <c r="M130" i="21"/>
  <c r="M123" i="21"/>
  <c r="BO51" i="25" s="1"/>
  <c r="M159" i="21"/>
  <c r="BO9" i="25" s="1"/>
  <c r="M135" i="21"/>
  <c r="BO10" i="25" s="1"/>
  <c r="BO222" i="25" s="1"/>
  <c r="BN231" i="25"/>
  <c r="M128" i="21"/>
  <c r="M148" i="21"/>
  <c r="BO83" i="25"/>
  <c r="BO295" i="25" s="1"/>
  <c r="M153" i="21"/>
  <c r="CR57" i="25"/>
  <c r="AA57" i="25"/>
  <c r="BO63" i="25"/>
  <c r="M136" i="21"/>
  <c r="BO11" i="25" s="1"/>
  <c r="M160" i="21"/>
  <c r="BO32" i="25" s="1"/>
  <c r="BO244" i="25" s="1"/>
  <c r="AE358" i="25" s="1"/>
  <c r="P17" i="29" s="1"/>
  <c r="M129" i="21"/>
  <c r="M124" i="21"/>
  <c r="M142" i="21"/>
  <c r="BO25" i="25" s="1"/>
  <c r="M119" i="21"/>
  <c r="BO37" i="25" s="1"/>
  <c r="M158" i="21"/>
  <c r="BO8" i="25" s="1"/>
  <c r="M143" i="21"/>
  <c r="BO23" i="25" s="1"/>
  <c r="M121" i="21"/>
  <c r="N114" i="21"/>
  <c r="BN233" i="25"/>
  <c r="BO94" i="25"/>
  <c r="M170" i="21"/>
  <c r="M154" i="21"/>
  <c r="BO82" i="25" s="1"/>
  <c r="BN269" i="25"/>
  <c r="AD369" i="25" s="1"/>
  <c r="O25" i="29" s="1"/>
  <c r="M149" i="21"/>
  <c r="M137" i="21"/>
  <c r="M125" i="21"/>
  <c r="BO42" i="25" s="1"/>
  <c r="M155" i="21"/>
  <c r="BO89" i="25" s="1"/>
  <c r="M127" i="21"/>
  <c r="BO93" i="25"/>
  <c r="BO305" i="25" s="1"/>
  <c r="BN255" i="25"/>
  <c r="M162" i="21"/>
  <c r="BO85" i="25"/>
  <c r="BO297" i="25" s="1"/>
  <c r="CR55" i="25"/>
  <c r="BN267" i="25"/>
  <c r="BO19" i="25"/>
  <c r="BO21" i="25"/>
  <c r="M139" i="21"/>
  <c r="BO84" i="25"/>
  <c r="BO296" i="25" s="1"/>
  <c r="BO26" i="25"/>
  <c r="BO20" i="25"/>
  <c r="BO232" i="25" s="1"/>
  <c r="M169" i="21"/>
  <c r="M168" i="21"/>
  <c r="BO74" i="25"/>
  <c r="BO286" i="25" s="1"/>
  <c r="BN275" i="25"/>
  <c r="BO27" i="25"/>
  <c r="BO239" i="25" s="1"/>
  <c r="M144" i="21"/>
  <c r="M152" i="21"/>
  <c r="BO95" i="25"/>
  <c r="BO307" i="25" s="1"/>
  <c r="BO41" i="25"/>
  <c r="BO96" i="25"/>
  <c r="BO100" i="25"/>
  <c r="AD364" i="25"/>
  <c r="O22" i="29" s="1"/>
  <c r="BO278" i="25"/>
  <c r="BP125" i="25"/>
  <c r="BP126" i="25"/>
  <c r="BP127" i="25"/>
  <c r="BP128" i="25"/>
  <c r="BP129" i="25"/>
  <c r="BP130" i="25"/>
  <c r="BP131" i="25"/>
  <c r="BP132" i="25"/>
  <c r="BP133" i="25"/>
  <c r="BP134" i="25"/>
  <c r="BP135" i="25"/>
  <c r="BP136" i="25"/>
  <c r="BP138" i="25"/>
  <c r="BP139" i="25"/>
  <c r="BP140" i="25"/>
  <c r="BP141" i="25"/>
  <c r="BP142" i="25"/>
  <c r="BP143" i="25"/>
  <c r="BP124" i="25"/>
  <c r="BP153" i="25"/>
  <c r="BP155" i="25"/>
  <c r="BP157" i="25"/>
  <c r="BP158" i="25"/>
  <c r="BP159" i="25"/>
  <c r="BP160" i="25"/>
  <c r="BP161" i="25"/>
  <c r="BP162" i="25"/>
  <c r="BP163" i="25"/>
  <c r="BP164" i="25"/>
  <c r="BP165" i="25"/>
  <c r="BP166" i="25"/>
  <c r="BP167" i="25"/>
  <c r="BP168" i="25"/>
  <c r="BP169" i="25"/>
  <c r="BP170" i="25"/>
  <c r="BP267" i="25" s="1"/>
  <c r="BP171" i="25"/>
  <c r="BP268" i="25" s="1"/>
  <c r="AF367" i="25" s="1"/>
  <c r="Q24" i="29" s="1"/>
  <c r="BP172" i="25"/>
  <c r="BP269" i="25" s="1"/>
  <c r="AF369" i="25" s="1"/>
  <c r="Q25" i="29" s="1"/>
  <c r="BP174" i="25"/>
  <c r="BP175" i="25"/>
  <c r="BP176" i="25"/>
  <c r="BP177" i="25"/>
  <c r="BP178" i="25"/>
  <c r="BP179" i="25"/>
  <c r="BP180" i="25"/>
  <c r="BP181" i="25"/>
  <c r="BP278" i="25" s="1"/>
  <c r="BP182" i="25"/>
  <c r="BP154" i="25"/>
  <c r="BP251" i="25" s="1"/>
  <c r="BP183" i="25"/>
  <c r="BP184" i="25"/>
  <c r="BP185" i="25"/>
  <c r="BP186" i="25"/>
  <c r="BP187" i="25"/>
  <c r="BP188" i="25"/>
  <c r="BP189" i="25"/>
  <c r="BP190" i="25"/>
  <c r="BP191" i="25"/>
  <c r="BP192" i="25"/>
  <c r="BP193" i="25"/>
  <c r="BP194" i="25"/>
  <c r="BP195" i="25"/>
  <c r="BP196" i="25"/>
  <c r="BP197" i="25"/>
  <c r="BP145" i="25"/>
  <c r="BP147" i="25"/>
  <c r="BP149" i="25"/>
  <c r="BP151" i="25"/>
  <c r="BP199" i="25"/>
  <c r="BP201" i="25"/>
  <c r="BP156" i="25"/>
  <c r="BP205" i="25"/>
  <c r="BP211" i="25"/>
  <c r="BP215" i="25"/>
  <c r="BP123" i="25"/>
  <c r="BP204" i="25"/>
  <c r="BP207" i="25"/>
  <c r="BP208" i="25"/>
  <c r="BP209" i="25"/>
  <c r="BP214" i="25"/>
  <c r="BP203" i="25"/>
  <c r="BP206" i="25"/>
  <c r="BP212" i="25"/>
  <c r="BP202" i="25"/>
  <c r="BP144" i="25"/>
  <c r="BP146" i="25"/>
  <c r="BP148" i="25"/>
  <c r="BP150" i="25"/>
  <c r="BP152" i="25"/>
  <c r="BP198" i="25"/>
  <c r="BP200" i="25"/>
  <c r="BP210" i="25"/>
  <c r="BP213" i="25"/>
  <c r="K12" i="1"/>
  <c r="BN244" i="25"/>
  <c r="AD358" i="25" s="1"/>
  <c r="O17" i="29" s="1"/>
  <c r="BM294" i="25"/>
  <c r="BM244" i="25"/>
  <c r="AC358" i="25" s="1"/>
  <c r="N17" i="29" s="1"/>
  <c r="BL294" i="25"/>
  <c r="R113" i="21"/>
  <c r="BL244" i="25"/>
  <c r="AB358" i="25" s="1"/>
  <c r="M17" i="29" s="1"/>
  <c r="V340" i="25"/>
  <c r="BM220" i="25"/>
  <c r="BL271" i="25"/>
  <c r="AB373" i="25" s="1"/>
  <c r="M27" i="29" s="1"/>
  <c r="BM271" i="25"/>
  <c r="AC373" i="25" s="1"/>
  <c r="N27" i="29" s="1"/>
  <c r="BL311" i="25"/>
  <c r="BM311" i="25"/>
  <c r="BN311" i="25"/>
  <c r="BM235" i="25"/>
  <c r="BL235" i="25"/>
  <c r="BN235" i="25"/>
  <c r="BN221" i="25"/>
  <c r="BM221" i="25"/>
  <c r="BL221" i="25"/>
  <c r="BL312" i="25"/>
  <c r="BM312" i="25"/>
  <c r="BN312" i="25"/>
  <c r="BL309" i="25"/>
  <c r="BM309" i="25"/>
  <c r="BN309" i="25"/>
  <c r="BL245" i="25"/>
  <c r="AB359" i="25" s="1"/>
  <c r="M18" i="29" s="1"/>
  <c r="BM245" i="25"/>
  <c r="AC359" i="25" s="1"/>
  <c r="N18" i="29" s="1"/>
  <c r="BN245" i="25"/>
  <c r="AD359" i="25" s="1"/>
  <c r="O18" i="29" s="1"/>
  <c r="Q60" i="25"/>
  <c r="O60" i="25"/>
  <c r="BN62" i="25"/>
  <c r="BN60" i="25"/>
  <c r="BN61" i="25"/>
  <c r="BN34" i="25"/>
  <c r="BN35" i="25"/>
  <c r="BN247" i="25" s="1"/>
  <c r="BL62" i="25"/>
  <c r="BL60" i="25"/>
  <c r="BL61" i="25"/>
  <c r="BL34" i="25"/>
  <c r="BL35" i="25"/>
  <c r="BM62" i="25"/>
  <c r="BM61" i="25"/>
  <c r="BM60" i="25"/>
  <c r="BM35" i="25"/>
  <c r="BM247" i="25" s="1"/>
  <c r="BM34" i="25"/>
  <c r="U7" i="21"/>
  <c r="U62" i="21" s="1"/>
  <c r="AK7" i="21"/>
  <c r="AK62" i="21" s="1"/>
  <c r="L7" i="21"/>
  <c r="L62" i="21" s="1"/>
  <c r="L122" i="21" s="1"/>
  <c r="BN50" i="25" s="1"/>
  <c r="V7" i="21"/>
  <c r="V62" i="21" s="1"/>
  <c r="AB7" i="21"/>
  <c r="AB62" i="21" s="1"/>
  <c r="Z7" i="21"/>
  <c r="Z62" i="21" s="1"/>
  <c r="AE7" i="21"/>
  <c r="AE62" i="21" s="1"/>
  <c r="M7" i="21"/>
  <c r="M62" i="21" s="1"/>
  <c r="M122" i="21" s="1"/>
  <c r="BO50" i="25" s="1"/>
  <c r="AS7" i="21"/>
  <c r="AS62" i="21" s="1"/>
  <c r="O7" i="21"/>
  <c r="O62" i="21" s="1"/>
  <c r="AF7" i="21"/>
  <c r="AF62" i="21" s="1"/>
  <c r="AR7" i="21"/>
  <c r="AR62" i="21" s="1"/>
  <c r="AO7" i="21"/>
  <c r="AO62" i="21" s="1"/>
  <c r="AD7" i="21"/>
  <c r="AD62" i="21" s="1"/>
  <c r="S7" i="21"/>
  <c r="S62" i="21" s="1"/>
  <c r="AQ7" i="21"/>
  <c r="AQ62" i="21" s="1"/>
  <c r="AU7" i="21"/>
  <c r="AU62" i="21" s="1"/>
  <c r="AA7" i="21"/>
  <c r="AA62" i="21" s="1"/>
  <c r="Y7" i="21"/>
  <c r="Y62" i="21" s="1"/>
  <c r="W7" i="21"/>
  <c r="W62" i="21" s="1"/>
  <c r="X7" i="21"/>
  <c r="X62" i="21" s="1"/>
  <c r="AJ7" i="21"/>
  <c r="AJ62" i="21" s="1"/>
  <c r="R7" i="21"/>
  <c r="R62" i="21" s="1"/>
  <c r="I7" i="21"/>
  <c r="I62" i="21" s="1"/>
  <c r="I122" i="21" s="1"/>
  <c r="T7" i="21"/>
  <c r="T62" i="21" s="1"/>
  <c r="K7" i="21"/>
  <c r="K62" i="21" s="1"/>
  <c r="K122" i="21" s="1"/>
  <c r="BM50" i="25" s="1"/>
  <c r="AH7" i="21"/>
  <c r="AH62" i="21" s="1"/>
  <c r="AG7" i="21"/>
  <c r="AG62" i="21" s="1"/>
  <c r="AM7" i="21"/>
  <c r="AM62" i="21" s="1"/>
  <c r="J7" i="21"/>
  <c r="J62" i="21" s="1"/>
  <c r="J122" i="21" s="1"/>
  <c r="BL49" i="25" s="1"/>
  <c r="AC7" i="21"/>
  <c r="AC62" i="21" s="1"/>
  <c r="N7" i="21"/>
  <c r="N62" i="21" s="1"/>
  <c r="AL7" i="21"/>
  <c r="AL62" i="21" s="1"/>
  <c r="P7" i="21"/>
  <c r="P62" i="21" s="1"/>
  <c r="AI7" i="21"/>
  <c r="AI62" i="21" s="1"/>
  <c r="AN7" i="21"/>
  <c r="AN62" i="21" s="1"/>
  <c r="AT7" i="21"/>
  <c r="AT62" i="21" s="1"/>
  <c r="AP7" i="21"/>
  <c r="AP62" i="21" s="1"/>
  <c r="Q7" i="21"/>
  <c r="Q62" i="21" s="1"/>
  <c r="BN12" i="25"/>
  <c r="BL38" i="25"/>
  <c r="BL18" i="25"/>
  <c r="BL17" i="25"/>
  <c r="BM12" i="25"/>
  <c r="BL86" i="25"/>
  <c r="BL88" i="25"/>
  <c r="BL87" i="25"/>
  <c r="BM73" i="25"/>
  <c r="BL12" i="25"/>
  <c r="BM98" i="25"/>
  <c r="BL37" i="25"/>
  <c r="BL46" i="25"/>
  <c r="BM16" i="25"/>
  <c r="BL53" i="25"/>
  <c r="BL42" i="25"/>
  <c r="BN78" i="25"/>
  <c r="BN79" i="25"/>
  <c r="BN77" i="25"/>
  <c r="BL47" i="25"/>
  <c r="BM87" i="25"/>
  <c r="BM86" i="25"/>
  <c r="BM88" i="25"/>
  <c r="BM300" i="25" s="1"/>
  <c r="BL70" i="25"/>
  <c r="BL72" i="25"/>
  <c r="BL71" i="25"/>
  <c r="BM51" i="25"/>
  <c r="BM52" i="25"/>
  <c r="BN24" i="25"/>
  <c r="BN25" i="25"/>
  <c r="BL52" i="25"/>
  <c r="BL51" i="25"/>
  <c r="BL98" i="25"/>
  <c r="BM46" i="25"/>
  <c r="BM37" i="25"/>
  <c r="BN17" i="25"/>
  <c r="BN18" i="25"/>
  <c r="BN38" i="25"/>
  <c r="BN28" i="25"/>
  <c r="BN29" i="25"/>
  <c r="BL75" i="25"/>
  <c r="BL76" i="25"/>
  <c r="BL15" i="25"/>
  <c r="BL14" i="25"/>
  <c r="BM77" i="25"/>
  <c r="BM79" i="25"/>
  <c r="BM78" i="25"/>
  <c r="BM25" i="25"/>
  <c r="BM24" i="25"/>
  <c r="BN98" i="25"/>
  <c r="BN48" i="25"/>
  <c r="BM48" i="25"/>
  <c r="BM47" i="25"/>
  <c r="BM42" i="25"/>
  <c r="BM53" i="25"/>
  <c r="BL13" i="25"/>
  <c r="BN30" i="25"/>
  <c r="BN31" i="25"/>
  <c r="BL31" i="25"/>
  <c r="BL30" i="25"/>
  <c r="BL77" i="25"/>
  <c r="BL78" i="25"/>
  <c r="BL79" i="25"/>
  <c r="BM72" i="25"/>
  <c r="BN73" i="25"/>
  <c r="BM75" i="25"/>
  <c r="BM76" i="25"/>
  <c r="BN51" i="25"/>
  <c r="BN52" i="25"/>
  <c r="BN16" i="25"/>
  <c r="BL48" i="25"/>
  <c r="BN14" i="25"/>
  <c r="BN15" i="25"/>
  <c r="BL73" i="25"/>
  <c r="BN76" i="25"/>
  <c r="BN75" i="25"/>
  <c r="BM38" i="25"/>
  <c r="BM17" i="25"/>
  <c r="BM18" i="25"/>
  <c r="BM89" i="25"/>
  <c r="BL16" i="25"/>
  <c r="BM29" i="25"/>
  <c r="BM28" i="25"/>
  <c r="BN13" i="25"/>
  <c r="BM31" i="25"/>
  <c r="BM30" i="25"/>
  <c r="BN86" i="25"/>
  <c r="BN87" i="25"/>
  <c r="BN88" i="25"/>
  <c r="BL25" i="25"/>
  <c r="BL24" i="25"/>
  <c r="BN80" i="25"/>
  <c r="BN81" i="25"/>
  <c r="BM91" i="25"/>
  <c r="BM92" i="25"/>
  <c r="BM81" i="25"/>
  <c r="BM80" i="25"/>
  <c r="BM14" i="25"/>
  <c r="BM15" i="25"/>
  <c r="BL29" i="25"/>
  <c r="BL28" i="25"/>
  <c r="BN47" i="25"/>
  <c r="BN53" i="25"/>
  <c r="BM13" i="25"/>
  <c r="BL80" i="25"/>
  <c r="BL81" i="25"/>
  <c r="BN71" i="25"/>
  <c r="BN70" i="25"/>
  <c r="BN72" i="25"/>
  <c r="BL91" i="25"/>
  <c r="BL92" i="25"/>
  <c r="BN46" i="25"/>
  <c r="BN44" i="25"/>
  <c r="BN45" i="25"/>
  <c r="BN37" i="25"/>
  <c r="BN90" i="25"/>
  <c r="BN89" i="25"/>
  <c r="BN92" i="25"/>
  <c r="BN91" i="25"/>
  <c r="BL89" i="25"/>
  <c r="BL90" i="25"/>
  <c r="F62" i="21"/>
  <c r="F122" i="21" s="1"/>
  <c r="Q50" i="25"/>
  <c r="Q49" i="25"/>
  <c r="D62" i="21"/>
  <c r="D122" i="21" s="1"/>
  <c r="O50" i="25"/>
  <c r="O49" i="25"/>
  <c r="BO80" i="25" l="1"/>
  <c r="BO18" i="25"/>
  <c r="BO38" i="25"/>
  <c r="BO250" i="25" s="1"/>
  <c r="BO28" i="25"/>
  <c r="BO34" i="25"/>
  <c r="BO246" i="25" s="1"/>
  <c r="BO88" i="25"/>
  <c r="BO300" i="25" s="1"/>
  <c r="BO86" i="25"/>
  <c r="BO72" i="25"/>
  <c r="BO284" i="25" s="1"/>
  <c r="BO70" i="25"/>
  <c r="BP22" i="25"/>
  <c r="BP234" i="25" s="1"/>
  <c r="BP58" i="25"/>
  <c r="N26" i="29"/>
  <c r="BO309" i="25"/>
  <c r="BO255" i="25"/>
  <c r="BO71" i="25"/>
  <c r="BO283" i="25" s="1"/>
  <c r="BO69" i="25"/>
  <c r="BO281" i="25" s="1"/>
  <c r="BO68" i="25"/>
  <c r="BO280" i="25" s="1"/>
  <c r="BO90" i="25"/>
  <c r="BO302" i="25" s="1"/>
  <c r="BO15" i="25"/>
  <c r="BO227" i="25" s="1"/>
  <c r="BO73" i="25"/>
  <c r="BO24" i="25"/>
  <c r="BO14" i="25"/>
  <c r="BO52" i="25"/>
  <c r="BO264" i="25" s="1"/>
  <c r="BO245" i="25"/>
  <c r="AE359" i="25" s="1"/>
  <c r="P18" i="29" s="1"/>
  <c r="BO277" i="25"/>
  <c r="BO35" i="25"/>
  <c r="BO247" i="25" s="1"/>
  <c r="BO48" i="25"/>
  <c r="BO266" i="25"/>
  <c r="BO223" i="25"/>
  <c r="BO77" i="25"/>
  <c r="BO235" i="25"/>
  <c r="BO78" i="25"/>
  <c r="BO290" i="25" s="1"/>
  <c r="BO276" i="25"/>
  <c r="N120" i="21"/>
  <c r="Q4" i="30"/>
  <c r="AD376" i="25"/>
  <c r="O30" i="29" s="1"/>
  <c r="BO62" i="25"/>
  <c r="BP85" i="25"/>
  <c r="BP297" i="25" s="1"/>
  <c r="BP96" i="25"/>
  <c r="BP308" i="25" s="1"/>
  <c r="BO76" i="25"/>
  <c r="BO288" i="25" s="1"/>
  <c r="BO79" i="25"/>
  <c r="BO291" i="25" s="1"/>
  <c r="BO75" i="25"/>
  <c r="BO287" i="25" s="1"/>
  <c r="N128" i="21"/>
  <c r="BO47" i="25"/>
  <c r="N150" i="21"/>
  <c r="BP81" i="25" s="1"/>
  <c r="BP293" i="25" s="1"/>
  <c r="BP83" i="25"/>
  <c r="N126" i="21"/>
  <c r="N121" i="21"/>
  <c r="BP48" i="25" s="1"/>
  <c r="N168" i="21"/>
  <c r="BO61" i="25"/>
  <c r="BO273" i="25" s="1"/>
  <c r="N119" i="21"/>
  <c r="BP45" i="25" s="1"/>
  <c r="BP257" i="25" s="1"/>
  <c r="N169" i="21"/>
  <c r="BP93" i="25"/>
  <c r="BP305" i="25" s="1"/>
  <c r="AD355" i="25"/>
  <c r="O14" i="29" s="1"/>
  <c r="BO221" i="25"/>
  <c r="N153" i="21"/>
  <c r="BO53" i="25"/>
  <c r="BP21" i="25"/>
  <c r="N133" i="21"/>
  <c r="N165" i="21"/>
  <c r="BP99" i="25" s="1"/>
  <c r="BO308" i="25"/>
  <c r="N149" i="21"/>
  <c r="BP79" i="25" s="1"/>
  <c r="BP291" i="25" s="1"/>
  <c r="BO238" i="25"/>
  <c r="AE356" i="25" s="1"/>
  <c r="P15" i="29" s="1"/>
  <c r="N148" i="21"/>
  <c r="BO44" i="25"/>
  <c r="BO275" i="25"/>
  <c r="BO45" i="25"/>
  <c r="BO257" i="25" s="1"/>
  <c r="BO91" i="25"/>
  <c r="BO311" i="25"/>
  <c r="N151" i="21"/>
  <c r="BO46" i="25"/>
  <c r="BO258" i="25" s="1"/>
  <c r="BO306" i="25"/>
  <c r="N123" i="21"/>
  <c r="N137" i="21"/>
  <c r="BO12" i="25"/>
  <c r="BO30" i="25"/>
  <c r="BO242" i="25" s="1"/>
  <c r="BP19" i="25"/>
  <c r="N142" i="21"/>
  <c r="BP24" i="25" s="1"/>
  <c r="BO16" i="25"/>
  <c r="BO228" i="25" s="1"/>
  <c r="N122" i="21"/>
  <c r="BP50" i="25" s="1"/>
  <c r="BP262" i="25" s="1"/>
  <c r="N159" i="21"/>
  <c r="BP9" i="25" s="1"/>
  <c r="BP221" i="25" s="1"/>
  <c r="N134" i="21"/>
  <c r="BP18" i="25" s="1"/>
  <c r="BP230" i="25" s="1"/>
  <c r="N170" i="21"/>
  <c r="BP74" i="25"/>
  <c r="BP40" i="25"/>
  <c r="BP252" i="25" s="1"/>
  <c r="BP20" i="25"/>
  <c r="N160" i="21"/>
  <c r="BP32" i="25" s="1"/>
  <c r="N140" i="21"/>
  <c r="N147" i="21"/>
  <c r="N132" i="21"/>
  <c r="N138" i="21"/>
  <c r="N162" i="21"/>
  <c r="N143" i="21"/>
  <c r="BP23" i="25" s="1"/>
  <c r="N152" i="21"/>
  <c r="BP95" i="25"/>
  <c r="BP307" i="25" s="1"/>
  <c r="BP26" i="25"/>
  <c r="N156" i="21"/>
  <c r="N146" i="21"/>
  <c r="N129" i="21"/>
  <c r="N161" i="21"/>
  <c r="BP33" i="25" s="1"/>
  <c r="N144" i="21"/>
  <c r="N136" i="21"/>
  <c r="BP11" i="25" s="1"/>
  <c r="O114" i="21"/>
  <c r="BQ58" i="25" s="1"/>
  <c r="BQ270" i="25" s="1"/>
  <c r="AG371" i="25" s="1"/>
  <c r="R26" i="29" s="1"/>
  <c r="BP65" i="25"/>
  <c r="N124" i="21"/>
  <c r="N131" i="21"/>
  <c r="N157" i="21"/>
  <c r="BP43" i="25"/>
  <c r="BP27" i="25"/>
  <c r="BP239" i="25" s="1"/>
  <c r="N158" i="21"/>
  <c r="BP8" i="25" s="1"/>
  <c r="N145" i="21"/>
  <c r="BP61" i="25" s="1"/>
  <c r="BP273" i="25" s="1"/>
  <c r="N125" i="21"/>
  <c r="N141" i="21"/>
  <c r="N139" i="21"/>
  <c r="N154" i="21"/>
  <c r="N135" i="21"/>
  <c r="BP10" i="25" s="1"/>
  <c r="BP222" i="25" s="1"/>
  <c r="BP63" i="25"/>
  <c r="BP64" i="25"/>
  <c r="N164" i="21"/>
  <c r="BP98" i="25" s="1"/>
  <c r="N155" i="21"/>
  <c r="BP89" i="25" s="1"/>
  <c r="N127" i="21"/>
  <c r="BP84" i="25"/>
  <c r="BP296" i="25" s="1"/>
  <c r="BP100" i="25"/>
  <c r="BP94" i="25"/>
  <c r="BP41" i="25"/>
  <c r="BP253" i="25" s="1"/>
  <c r="N130" i="21"/>
  <c r="N163" i="21"/>
  <c r="BP97" i="25" s="1"/>
  <c r="AC378" i="25"/>
  <c r="N32" i="29" s="1"/>
  <c r="AD378" i="25"/>
  <c r="O32" i="29" s="1"/>
  <c r="BO231" i="25"/>
  <c r="BO312" i="25"/>
  <c r="BO253" i="25"/>
  <c r="AE364" i="25" s="1"/>
  <c r="P22" i="29" s="1"/>
  <c r="BO233" i="25"/>
  <c r="AC353" i="25"/>
  <c r="N12" i="29" s="1"/>
  <c r="L340" i="25"/>
  <c r="M340" i="25" s="1"/>
  <c r="R376" i="25" s="1"/>
  <c r="U376" i="25"/>
  <c r="BP279" i="25"/>
  <c r="L12" i="1"/>
  <c r="BQ124" i="25"/>
  <c r="BQ125" i="25"/>
  <c r="BQ126" i="25"/>
  <c r="BQ127" i="25"/>
  <c r="BQ128" i="25"/>
  <c r="BQ129" i="25"/>
  <c r="BQ130" i="25"/>
  <c r="BQ131" i="25"/>
  <c r="BQ132" i="25"/>
  <c r="BQ133" i="25"/>
  <c r="BQ134" i="25"/>
  <c r="BQ135" i="25"/>
  <c r="BQ136" i="25"/>
  <c r="BQ138" i="25"/>
  <c r="BQ139" i="25"/>
  <c r="BQ140" i="25"/>
  <c r="BQ143" i="25"/>
  <c r="BQ153" i="25"/>
  <c r="BQ155" i="25"/>
  <c r="BQ157" i="25"/>
  <c r="BQ158" i="25"/>
  <c r="BQ159" i="25"/>
  <c r="BQ160" i="25"/>
  <c r="BQ161" i="25"/>
  <c r="BQ162" i="25"/>
  <c r="BQ163" i="25"/>
  <c r="BQ164" i="25"/>
  <c r="BQ165" i="25"/>
  <c r="BQ166" i="25"/>
  <c r="BQ167" i="25"/>
  <c r="BQ168" i="25"/>
  <c r="BQ169" i="25"/>
  <c r="BQ170" i="25"/>
  <c r="BQ267" i="25" s="1"/>
  <c r="BQ171" i="25"/>
  <c r="BQ268" i="25" s="1"/>
  <c r="AG367" i="25" s="1"/>
  <c r="R24" i="29" s="1"/>
  <c r="BQ172" i="25"/>
  <c r="BQ269" i="25" s="1"/>
  <c r="AG369" i="25" s="1"/>
  <c r="R25" i="29" s="1"/>
  <c r="BQ174" i="25"/>
  <c r="BQ175" i="25"/>
  <c r="BQ176" i="25"/>
  <c r="BQ177" i="25"/>
  <c r="BQ178" i="25"/>
  <c r="BQ179" i="25"/>
  <c r="BQ180" i="25"/>
  <c r="BQ181" i="25"/>
  <c r="BQ278" i="25" s="1"/>
  <c r="BQ182" i="25"/>
  <c r="BQ279" i="25" s="1"/>
  <c r="BQ144" i="25"/>
  <c r="BQ145" i="25"/>
  <c r="BQ146" i="25"/>
  <c r="BQ147" i="25"/>
  <c r="BQ148" i="25"/>
  <c r="BQ149" i="25"/>
  <c r="BQ150" i="25"/>
  <c r="BQ151" i="25"/>
  <c r="BQ248" i="25" s="1"/>
  <c r="BQ152" i="25"/>
  <c r="BQ156" i="25"/>
  <c r="BQ202" i="25"/>
  <c r="BQ203" i="25"/>
  <c r="BQ204" i="25"/>
  <c r="BQ205" i="25"/>
  <c r="BQ206" i="25"/>
  <c r="BQ207" i="25"/>
  <c r="BQ208" i="25"/>
  <c r="BQ209" i="25"/>
  <c r="BQ210" i="25"/>
  <c r="BQ211" i="25"/>
  <c r="BQ212" i="25"/>
  <c r="BQ213" i="25"/>
  <c r="BQ214" i="25"/>
  <c r="BQ215" i="25"/>
  <c r="BQ183" i="25"/>
  <c r="BQ184" i="25"/>
  <c r="BQ185" i="25"/>
  <c r="BQ186" i="25"/>
  <c r="BQ187" i="25"/>
  <c r="BQ188" i="25"/>
  <c r="BQ189" i="25"/>
  <c r="BQ190" i="25"/>
  <c r="BQ191" i="25"/>
  <c r="BQ192" i="25"/>
  <c r="BQ193" i="25"/>
  <c r="BQ194" i="25"/>
  <c r="BQ195" i="25"/>
  <c r="BQ196" i="25"/>
  <c r="BQ197" i="25"/>
  <c r="BQ199" i="25"/>
  <c r="BQ201" i="25"/>
  <c r="BQ198" i="25"/>
  <c r="BQ200" i="25"/>
  <c r="BQ154" i="25"/>
  <c r="BQ123" i="25"/>
  <c r="BP248" i="25"/>
  <c r="BL247" i="25"/>
  <c r="BL302" i="25"/>
  <c r="BN300" i="25"/>
  <c r="BN304" i="25"/>
  <c r="AB378" i="25"/>
  <c r="M32" i="29" s="1"/>
  <c r="BL299" i="25"/>
  <c r="BM304" i="25"/>
  <c r="BO301" i="25"/>
  <c r="BN302" i="25"/>
  <c r="BO304" i="25"/>
  <c r="BO299" i="25"/>
  <c r="BL304" i="25"/>
  <c r="BN299" i="25"/>
  <c r="BL301" i="25"/>
  <c r="BL300" i="25"/>
  <c r="BL298" i="25"/>
  <c r="BM303" i="25"/>
  <c r="BM299" i="25"/>
  <c r="BN301" i="25"/>
  <c r="BL303" i="25"/>
  <c r="BM301" i="25"/>
  <c r="BN303" i="25"/>
  <c r="BN298" i="25"/>
  <c r="BM298" i="25"/>
  <c r="BO243" i="25"/>
  <c r="BN257" i="25"/>
  <c r="BN288" i="25"/>
  <c r="V328" i="25"/>
  <c r="V320" i="25"/>
  <c r="V331" i="25"/>
  <c r="V333" i="25"/>
  <c r="BL243" i="25"/>
  <c r="BN281" i="25"/>
  <c r="BL258" i="25"/>
  <c r="BN254" i="25"/>
  <c r="BM237" i="25"/>
  <c r="BL237" i="25"/>
  <c r="BO293" i="25"/>
  <c r="BL264" i="25"/>
  <c r="BN258" i="25"/>
  <c r="BL250" i="25"/>
  <c r="BN250" i="25"/>
  <c r="BM266" i="25"/>
  <c r="BN284" i="25"/>
  <c r="BN291" i="25"/>
  <c r="BM249" i="25"/>
  <c r="BL281" i="25"/>
  <c r="BL241" i="25"/>
  <c r="BL292" i="25"/>
  <c r="BL242" i="25"/>
  <c r="BN246" i="25"/>
  <c r="AD361" i="25" s="1"/>
  <c r="O20" i="29" s="1"/>
  <c r="BN224" i="25"/>
  <c r="BN228" i="25"/>
  <c r="BN240" i="25"/>
  <c r="BM310" i="25"/>
  <c r="AC380" i="25" s="1"/>
  <c r="N34" i="29" s="1"/>
  <c r="BN282" i="25"/>
  <c r="BM225" i="25"/>
  <c r="BM287" i="25"/>
  <c r="BM228" i="25"/>
  <c r="BL226" i="25"/>
  <c r="BO310" i="25"/>
  <c r="BO294" i="25"/>
  <c r="BL246" i="25"/>
  <c r="BN256" i="25"/>
  <c r="BL236" i="25"/>
  <c r="BM240" i="25"/>
  <c r="BL228" i="25"/>
  <c r="BO263" i="25"/>
  <c r="BL263" i="25"/>
  <c r="BL229" i="25"/>
  <c r="BM246" i="25"/>
  <c r="AC361" i="25" s="1"/>
  <c r="N20" i="29" s="1"/>
  <c r="BN49" i="25"/>
  <c r="BM241" i="25"/>
  <c r="BO229" i="25"/>
  <c r="BM250" i="25"/>
  <c r="BL284" i="25"/>
  <c r="BL280" i="25"/>
  <c r="BL265" i="25"/>
  <c r="BM292" i="25"/>
  <c r="BN249" i="25"/>
  <c r="BM284" i="25"/>
  <c r="S113" i="21"/>
  <c r="BM288" i="25"/>
  <c r="BM291" i="25"/>
  <c r="BM264" i="25"/>
  <c r="BN287" i="25"/>
  <c r="BL289" i="25"/>
  <c r="BM265" i="25"/>
  <c r="BM226" i="25"/>
  <c r="BN226" i="25"/>
  <c r="BI340" i="25"/>
  <c r="BI328" i="25"/>
  <c r="BI320" i="25"/>
  <c r="BI333" i="25"/>
  <c r="BI331" i="25"/>
  <c r="BM263" i="25"/>
  <c r="BO241" i="25"/>
  <c r="BL260" i="25"/>
  <c r="BM274" i="25"/>
  <c r="AC375" i="25" s="1"/>
  <c r="N29" i="29" s="1"/>
  <c r="BL254" i="25"/>
  <c r="BM285" i="25"/>
  <c r="BM280" i="25"/>
  <c r="BN264" i="25"/>
  <c r="BM293" i="25"/>
  <c r="BM243" i="25"/>
  <c r="BM224" i="25"/>
  <c r="BL274" i="25"/>
  <c r="AB375" i="25" s="1"/>
  <c r="M29" i="29" s="1"/>
  <c r="BN259" i="25"/>
  <c r="BO225" i="25"/>
  <c r="BL266" i="25"/>
  <c r="BL227" i="25"/>
  <c r="BL283" i="25"/>
  <c r="BM258" i="25"/>
  <c r="BO230" i="25"/>
  <c r="BN243" i="25"/>
  <c r="BL282" i="25"/>
  <c r="BL259" i="25"/>
  <c r="BL230" i="25"/>
  <c r="BM229" i="25"/>
  <c r="BL293" i="25"/>
  <c r="BM242" i="25"/>
  <c r="BN242" i="25"/>
  <c r="BM290" i="25"/>
  <c r="BL287" i="25"/>
  <c r="BL240" i="25"/>
  <c r="BO249" i="25"/>
  <c r="BL285" i="25"/>
  <c r="BL225" i="25"/>
  <c r="BN310" i="25"/>
  <c r="AD380" i="25" s="1"/>
  <c r="O34" i="29" s="1"/>
  <c r="BN229" i="25"/>
  <c r="BN292" i="25"/>
  <c r="BL290" i="25"/>
  <c r="BN260" i="25"/>
  <c r="BM236" i="25"/>
  <c r="BM289" i="25"/>
  <c r="BN230" i="25"/>
  <c r="BN237" i="25"/>
  <c r="BL288" i="25"/>
  <c r="BN293" i="25"/>
  <c r="BN263" i="25"/>
  <c r="BL291" i="25"/>
  <c r="BN241" i="25"/>
  <c r="BN236" i="25"/>
  <c r="BN289" i="25"/>
  <c r="BM259" i="25"/>
  <c r="BO292" i="25"/>
  <c r="BL249" i="25"/>
  <c r="BN225" i="25"/>
  <c r="BN274" i="25"/>
  <c r="AD375" i="25" s="1"/>
  <c r="O29" i="29" s="1"/>
  <c r="BO254" i="25"/>
  <c r="BO237" i="25"/>
  <c r="BM227" i="25"/>
  <c r="BN227" i="25"/>
  <c r="BN285" i="25"/>
  <c r="BL310" i="25"/>
  <c r="AB380" i="25" s="1"/>
  <c r="M34" i="29" s="1"/>
  <c r="BN290" i="25"/>
  <c r="BN266" i="25"/>
  <c r="BN265" i="25"/>
  <c r="BN283" i="25"/>
  <c r="BM230" i="25"/>
  <c r="BM254" i="25"/>
  <c r="BM260" i="25"/>
  <c r="BN280" i="25"/>
  <c r="BL224" i="25"/>
  <c r="BN220" i="25"/>
  <c r="AD353" i="25" s="1"/>
  <c r="O12" i="29" s="1"/>
  <c r="BO220" i="25"/>
  <c r="BL220" i="25"/>
  <c r="AB353" i="25" s="1"/>
  <c r="M12" i="29" s="1"/>
  <c r="BM49" i="25"/>
  <c r="BL273" i="25"/>
  <c r="BM273" i="25"/>
  <c r="BN273" i="25"/>
  <c r="BL272" i="25"/>
  <c r="BM272" i="25"/>
  <c r="BN272" i="25"/>
  <c r="BO272" i="25"/>
  <c r="BO262" i="25"/>
  <c r="BM262" i="25"/>
  <c r="BN262" i="25"/>
  <c r="BL50" i="25"/>
  <c r="BO49" i="25"/>
  <c r="J6" i="25"/>
  <c r="BO240" i="25" l="1"/>
  <c r="BO298" i="25"/>
  <c r="BO282" i="25"/>
  <c r="BO226" i="25"/>
  <c r="BO260" i="25"/>
  <c r="BP270" i="25"/>
  <c r="BO285" i="25"/>
  <c r="BO224" i="25"/>
  <c r="BO236" i="25"/>
  <c r="AE361" i="25"/>
  <c r="P20" i="29" s="1"/>
  <c r="BP69" i="25"/>
  <c r="BP281" i="25" s="1"/>
  <c r="BP68" i="25"/>
  <c r="BQ64" i="25"/>
  <c r="BQ22" i="25"/>
  <c r="BQ234" i="25" s="1"/>
  <c r="X65" i="25"/>
  <c r="X112" i="25" s="1"/>
  <c r="X64" i="25"/>
  <c r="X63" i="25"/>
  <c r="X111" i="25" s="1"/>
  <c r="BP47" i="25"/>
  <c r="BP78" i="25"/>
  <c r="BP290" i="25" s="1"/>
  <c r="BO265" i="25"/>
  <c r="BP232" i="25"/>
  <c r="BP44" i="25"/>
  <c r="BP34" i="25"/>
  <c r="BP37" i="25"/>
  <c r="BP249" i="25" s="1"/>
  <c r="BP35" i="25"/>
  <c r="BP247" i="25" s="1"/>
  <c r="BP46" i="25"/>
  <c r="BP258" i="25" s="1"/>
  <c r="BO289" i="25"/>
  <c r="BP233" i="25"/>
  <c r="O146" i="21"/>
  <c r="BP310" i="25"/>
  <c r="BQ96" i="25"/>
  <c r="BQ308" i="25" s="1"/>
  <c r="BO274" i="25"/>
  <c r="AE375" i="25" s="1"/>
  <c r="P29" i="29" s="1"/>
  <c r="BP236" i="25"/>
  <c r="BP90" i="25"/>
  <c r="BP302" i="25" s="1"/>
  <c r="BO303" i="25"/>
  <c r="AE379" i="25" s="1"/>
  <c r="P33" i="29" s="1"/>
  <c r="BP82" i="25"/>
  <c r="BP294" i="25" s="1"/>
  <c r="AE376" i="25"/>
  <c r="P30" i="29" s="1"/>
  <c r="BP286" i="25"/>
  <c r="O145" i="21"/>
  <c r="BQ62" i="25" s="1"/>
  <c r="O120" i="21"/>
  <c r="O143" i="21"/>
  <c r="BQ23" i="25" s="1"/>
  <c r="BQ235" i="25" s="1"/>
  <c r="BP38" i="25"/>
  <c r="BP250" i="25" s="1"/>
  <c r="BP295" i="25"/>
  <c r="BQ19" i="25"/>
  <c r="BQ231" i="25" s="1"/>
  <c r="O128" i="21"/>
  <c r="O127" i="21"/>
  <c r="O160" i="21"/>
  <c r="BQ32" i="25" s="1"/>
  <c r="AE353" i="25"/>
  <c r="P12" i="29" s="1"/>
  <c r="BP25" i="25"/>
  <c r="BP237" i="25" s="1"/>
  <c r="BP260" i="25"/>
  <c r="O142" i="21"/>
  <c r="BQ25" i="25" s="1"/>
  <c r="BQ237" i="25" s="1"/>
  <c r="R4" i="30"/>
  <c r="BP238" i="25"/>
  <c r="AF356" i="25" s="1"/>
  <c r="Q15" i="29" s="1"/>
  <c r="BP17" i="25"/>
  <c r="BP229" i="25" s="1"/>
  <c r="BP80" i="25"/>
  <c r="O154" i="21"/>
  <c r="BQ82" i="25" s="1"/>
  <c r="BP231" i="25"/>
  <c r="BP311" i="25"/>
  <c r="BO256" i="25"/>
  <c r="AE365" i="25" s="1"/>
  <c r="P23" i="29" s="1"/>
  <c r="BO259" i="25"/>
  <c r="BP16" i="25"/>
  <c r="BP228" i="25" s="1"/>
  <c r="BP49" i="25"/>
  <c r="BP301" i="25"/>
  <c r="O161" i="21"/>
  <c r="BQ33" i="25" s="1"/>
  <c r="O158" i="21"/>
  <c r="BQ8" i="25" s="1"/>
  <c r="BQ220" i="25" s="1"/>
  <c r="O170" i="21"/>
  <c r="BQ95" i="25"/>
  <c r="BQ307" i="25" s="1"/>
  <c r="O123" i="21"/>
  <c r="BQ52" i="25" s="1"/>
  <c r="O130" i="21"/>
  <c r="BQ12" i="25" s="1"/>
  <c r="BQ224" i="25" s="1"/>
  <c r="BQ84" i="25"/>
  <c r="BQ296" i="25" s="1"/>
  <c r="BQ74" i="25"/>
  <c r="O121" i="21"/>
  <c r="O151" i="21"/>
  <c r="O119" i="21"/>
  <c r="BQ45" i="25" s="1"/>
  <c r="O169" i="21"/>
  <c r="P114" i="21"/>
  <c r="BR74" i="25" s="1"/>
  <c r="O129" i="21"/>
  <c r="O164" i="21"/>
  <c r="BQ98" i="25" s="1"/>
  <c r="BQ310" i="25" s="1"/>
  <c r="BQ85" i="25"/>
  <c r="BQ297" i="25" s="1"/>
  <c r="BQ21" i="25"/>
  <c r="O134" i="21"/>
  <c r="BQ38" i="25" s="1"/>
  <c r="BQ250" i="25" s="1"/>
  <c r="BP75" i="25"/>
  <c r="O165" i="21"/>
  <c r="BQ99" i="25" s="1"/>
  <c r="BQ93" i="25"/>
  <c r="BQ305" i="25" s="1"/>
  <c r="BQ20" i="25"/>
  <c r="BQ232" i="25" s="1"/>
  <c r="O122" i="21"/>
  <c r="BQ49" i="25" s="1"/>
  <c r="O168" i="21"/>
  <c r="O163" i="21"/>
  <c r="BQ97" i="25" s="1"/>
  <c r="BQ309" i="25" s="1"/>
  <c r="O155" i="21"/>
  <c r="BQ89" i="25" s="1"/>
  <c r="O157" i="21"/>
  <c r="BQ65" i="25"/>
  <c r="O149" i="21"/>
  <c r="BQ78" i="25" s="1"/>
  <c r="BQ290" i="25" s="1"/>
  <c r="BP71" i="25"/>
  <c r="BP283" i="25" s="1"/>
  <c r="O148" i="21"/>
  <c r="BQ75" i="25" s="1"/>
  <c r="BQ43" i="25"/>
  <c r="BQ83" i="25"/>
  <c r="BP70" i="25"/>
  <c r="BP76" i="25"/>
  <c r="BP288" i="25" s="1"/>
  <c r="O139" i="21"/>
  <c r="O137" i="21"/>
  <c r="O141" i="21"/>
  <c r="BQ31" i="25" s="1"/>
  <c r="O153" i="21"/>
  <c r="O144" i="21"/>
  <c r="O156" i="21"/>
  <c r="O140" i="21"/>
  <c r="BQ29" i="25" s="1"/>
  <c r="O150" i="21"/>
  <c r="BQ80" i="25" s="1"/>
  <c r="O135" i="21"/>
  <c r="BQ10" i="25" s="1"/>
  <c r="O124" i="21"/>
  <c r="BP259" i="25"/>
  <c r="O162" i="21"/>
  <c r="BQ63" i="25"/>
  <c r="BQ41" i="25"/>
  <c r="O125" i="21"/>
  <c r="BQ42" i="25" s="1"/>
  <c r="O138" i="21"/>
  <c r="O131" i="21"/>
  <c r="O126" i="21"/>
  <c r="O147" i="21"/>
  <c r="O132" i="21"/>
  <c r="O152" i="21"/>
  <c r="O136" i="21"/>
  <c r="BQ100" i="25"/>
  <c r="O133" i="21"/>
  <c r="O159" i="21"/>
  <c r="BQ9" i="25" s="1"/>
  <c r="BQ221" i="25" s="1"/>
  <c r="BQ94" i="25"/>
  <c r="BQ306" i="25" s="1"/>
  <c r="BQ40" i="25"/>
  <c r="BQ252" i="25" s="1"/>
  <c r="BP72" i="25"/>
  <c r="BP284" i="25" s="1"/>
  <c r="AE380" i="25"/>
  <c r="P34" i="29" s="1"/>
  <c r="BP53" i="25"/>
  <c r="BP312" i="25"/>
  <c r="BP277" i="25"/>
  <c r="BP306" i="25"/>
  <c r="BP275" i="25"/>
  <c r="BP77" i="25"/>
  <c r="BP223" i="25"/>
  <c r="BP52" i="25"/>
  <c r="BP264" i="25" s="1"/>
  <c r="BP51" i="25"/>
  <c r="BP220" i="25"/>
  <c r="AF353" i="25" s="1"/>
  <c r="Q12" i="29" s="1"/>
  <c r="BP255" i="25"/>
  <c r="BP73" i="25"/>
  <c r="BP235" i="25"/>
  <c r="BP12" i="25"/>
  <c r="BP91" i="25"/>
  <c r="BP92" i="25"/>
  <c r="BP304" i="25" s="1"/>
  <c r="BP28" i="25"/>
  <c r="BP29" i="25"/>
  <c r="BP241" i="25" s="1"/>
  <c r="BP244" i="25"/>
  <c r="AF358" i="25" s="1"/>
  <c r="Q17" i="29" s="1"/>
  <c r="BP42" i="25"/>
  <c r="BP254" i="25" s="1"/>
  <c r="BP266" i="25"/>
  <c r="BP13" i="25"/>
  <c r="BP245" i="25"/>
  <c r="AF359" i="25" s="1"/>
  <c r="Q18" i="29" s="1"/>
  <c r="BP309" i="25"/>
  <c r="BP62" i="25"/>
  <c r="BP60" i="25"/>
  <c r="BP88" i="25"/>
  <c r="BP300" i="25" s="1"/>
  <c r="BP87" i="25"/>
  <c r="BP299" i="25" s="1"/>
  <c r="BP86" i="25"/>
  <c r="BP30" i="25"/>
  <c r="BP31" i="25"/>
  <c r="BP243" i="25" s="1"/>
  <c r="BP276" i="25"/>
  <c r="BP15" i="25"/>
  <c r="BP227" i="25" s="1"/>
  <c r="BP14" i="25"/>
  <c r="AE355" i="25"/>
  <c r="P14" i="29" s="1"/>
  <c r="AB379" i="25"/>
  <c r="M33" i="29" s="1"/>
  <c r="AE378" i="25"/>
  <c r="P32" i="29" s="1"/>
  <c r="AD379" i="25"/>
  <c r="O33" i="29" s="1"/>
  <c r="AE381" i="25"/>
  <c r="P35" i="29" s="1"/>
  <c r="AD377" i="25"/>
  <c r="O31" i="29" s="1"/>
  <c r="AC357" i="25"/>
  <c r="N16" i="29" s="1"/>
  <c r="AD357" i="25"/>
  <c r="O16" i="29" s="1"/>
  <c r="AD381" i="25"/>
  <c r="O35" i="29" s="1"/>
  <c r="AD374" i="25"/>
  <c r="O28" i="29" s="1"/>
  <c r="AC374" i="25"/>
  <c r="N28" i="29" s="1"/>
  <c r="AF364" i="25"/>
  <c r="Q22" i="29" s="1"/>
  <c r="AC354" i="25"/>
  <c r="N13" i="29" s="1"/>
  <c r="AE374" i="25"/>
  <c r="P28" i="29" s="1"/>
  <c r="AD365" i="25"/>
  <c r="O23" i="29" s="1"/>
  <c r="AD354" i="25"/>
  <c r="O13" i="29" s="1"/>
  <c r="AC381" i="25"/>
  <c r="N35" i="29" s="1"/>
  <c r="BR20" i="25"/>
  <c r="L320" i="25"/>
  <c r="M320" i="25" s="1"/>
  <c r="R356" i="25" s="1"/>
  <c r="U356" i="25"/>
  <c r="L328" i="25"/>
  <c r="X40" i="25" s="1"/>
  <c r="U364" i="25"/>
  <c r="L333" i="25"/>
  <c r="X57" i="25" s="1"/>
  <c r="U369" i="25"/>
  <c r="L331" i="25"/>
  <c r="X56" i="25" s="1"/>
  <c r="U367" i="25"/>
  <c r="AB361" i="25"/>
  <c r="M20" i="29" s="1"/>
  <c r="BQ251" i="25"/>
  <c r="M12" i="1"/>
  <c r="BR125" i="25"/>
  <c r="BR126" i="25"/>
  <c r="BR127" i="25"/>
  <c r="BR128" i="25"/>
  <c r="BR129" i="25"/>
  <c r="BR124" i="25"/>
  <c r="BR130" i="25"/>
  <c r="BR132" i="25"/>
  <c r="BR133" i="25"/>
  <c r="BR143" i="25"/>
  <c r="BR144" i="25"/>
  <c r="BR145" i="25"/>
  <c r="BR146" i="25"/>
  <c r="BR147" i="25"/>
  <c r="BR148" i="25"/>
  <c r="BR149" i="25"/>
  <c r="BR150" i="25"/>
  <c r="BR151" i="25"/>
  <c r="BR152" i="25"/>
  <c r="BR153" i="25"/>
  <c r="BR155" i="25"/>
  <c r="BR157" i="25"/>
  <c r="BR158" i="25"/>
  <c r="BR161" i="25"/>
  <c r="BR162" i="25"/>
  <c r="BR163" i="25"/>
  <c r="BR164" i="25"/>
  <c r="BR165" i="25"/>
  <c r="BR166" i="25"/>
  <c r="BR167" i="25"/>
  <c r="BR168" i="25"/>
  <c r="BR169" i="25"/>
  <c r="BR170" i="25"/>
  <c r="BR267" i="25" s="1"/>
  <c r="BR171" i="25"/>
  <c r="BR268" i="25" s="1"/>
  <c r="AH367" i="25" s="1"/>
  <c r="S24" i="29" s="1"/>
  <c r="BR172" i="25"/>
  <c r="BR269" i="25" s="1"/>
  <c r="AH369" i="25" s="1"/>
  <c r="S25" i="29" s="1"/>
  <c r="BR174" i="25"/>
  <c r="BR175" i="25"/>
  <c r="BR176" i="25"/>
  <c r="BR177" i="25"/>
  <c r="BR179" i="25"/>
  <c r="BR181" i="25"/>
  <c r="BR278" i="25" s="1"/>
  <c r="BR182" i="25"/>
  <c r="BR134" i="25"/>
  <c r="BR136" i="25"/>
  <c r="BR139" i="25"/>
  <c r="BR156" i="25"/>
  <c r="BR135" i="25"/>
  <c r="BR138" i="25"/>
  <c r="BR140" i="25"/>
  <c r="BR154" i="25"/>
  <c r="BR251" i="25" s="1"/>
  <c r="BR187" i="25"/>
  <c r="BR188" i="25"/>
  <c r="BR189" i="25"/>
  <c r="BR190" i="25"/>
  <c r="BR191" i="25"/>
  <c r="BR192" i="25"/>
  <c r="BR193" i="25"/>
  <c r="BR194" i="25"/>
  <c r="BR195" i="25"/>
  <c r="BR196" i="25"/>
  <c r="BR197" i="25"/>
  <c r="BR201" i="25"/>
  <c r="BR202" i="25"/>
  <c r="BR203" i="25"/>
  <c r="BR123" i="25"/>
  <c r="BR204" i="25"/>
  <c r="BR206" i="25"/>
  <c r="BR207" i="25"/>
  <c r="BR208" i="25"/>
  <c r="BR209" i="25"/>
  <c r="BR210" i="25"/>
  <c r="BR211" i="25"/>
  <c r="BR212" i="25"/>
  <c r="BR213" i="25"/>
  <c r="BR214" i="25"/>
  <c r="BR215" i="25"/>
  <c r="BR131" i="25"/>
  <c r="AB374" i="25"/>
  <c r="M28" i="29" s="1"/>
  <c r="AB377" i="25"/>
  <c r="M31" i="29" s="1"/>
  <c r="AB357" i="25"/>
  <c r="M16" i="29" s="1"/>
  <c r="AB354" i="25"/>
  <c r="M13" i="29" s="1"/>
  <c r="AB381" i="25"/>
  <c r="M35" i="29" s="1"/>
  <c r="W63" i="25"/>
  <c r="W111" i="25" s="1"/>
  <c r="W64" i="25"/>
  <c r="W65" i="25"/>
  <c r="W112" i="25" s="1"/>
  <c r="BN261" i="25"/>
  <c r="AD363" i="25" s="1"/>
  <c r="T113" i="21"/>
  <c r="BL262" i="25"/>
  <c r="BO261" i="25"/>
  <c r="AE363" i="25" s="1"/>
  <c r="BO216" i="25"/>
  <c r="BP216" i="25"/>
  <c r="BM261" i="25"/>
  <c r="AC363" i="25" s="1"/>
  <c r="BL261" i="25"/>
  <c r="BN216" i="25"/>
  <c r="AE357" i="25" l="1"/>
  <c r="P16" i="29" s="1"/>
  <c r="P129" i="21"/>
  <c r="P156" i="21"/>
  <c r="BR95" i="25"/>
  <c r="P134" i="21"/>
  <c r="P158" i="21"/>
  <c r="BR8" i="25" s="1"/>
  <c r="BR220" i="25" s="1"/>
  <c r="P152" i="21"/>
  <c r="P142" i="21"/>
  <c r="BR24" i="25" s="1"/>
  <c r="Q114" i="21"/>
  <c r="BS58" i="25" s="1"/>
  <c r="BS270" i="25" s="1"/>
  <c r="AI371" i="25" s="1"/>
  <c r="T26" i="29" s="1"/>
  <c r="P148" i="21"/>
  <c r="BR75" i="25" s="1"/>
  <c r="P163" i="21"/>
  <c r="BR97" i="25" s="1"/>
  <c r="BR309" i="25" s="1"/>
  <c r="P126" i="21"/>
  <c r="P164" i="21"/>
  <c r="BR98" i="25" s="1"/>
  <c r="P160" i="21"/>
  <c r="BR32" i="25" s="1"/>
  <c r="BR244" i="25" s="1"/>
  <c r="AH358" i="25" s="1"/>
  <c r="S17" i="29" s="1"/>
  <c r="P128" i="21"/>
  <c r="BR35" i="25" s="1"/>
  <c r="BR247" i="25" s="1"/>
  <c r="P120" i="21"/>
  <c r="BR47" i="25" s="1"/>
  <c r="P122" i="21"/>
  <c r="BR49" i="25" s="1"/>
  <c r="P130" i="21"/>
  <c r="BR12" i="25" s="1"/>
  <c r="P157" i="21"/>
  <c r="BR91" i="25" s="1"/>
  <c r="BR303" i="25" s="1"/>
  <c r="P131" i="21"/>
  <c r="BQ51" i="25"/>
  <c r="BQ263" i="25" s="1"/>
  <c r="P121" i="21"/>
  <c r="BR48" i="25" s="1"/>
  <c r="P124" i="21"/>
  <c r="P154" i="21"/>
  <c r="P141" i="21"/>
  <c r="BR31" i="25" s="1"/>
  <c r="BR243" i="25" s="1"/>
  <c r="P138" i="21"/>
  <c r="P170" i="21"/>
  <c r="P144" i="21"/>
  <c r="P139" i="21"/>
  <c r="P137" i="21"/>
  <c r="P153" i="21"/>
  <c r="AE354" i="25"/>
  <c r="P13" i="29" s="1"/>
  <c r="BQ73" i="25"/>
  <c r="BQ285" i="25" s="1"/>
  <c r="BQ30" i="25"/>
  <c r="BQ242" i="25" s="1"/>
  <c r="BQ53" i="25"/>
  <c r="BQ265" i="25" s="1"/>
  <c r="AF355" i="25"/>
  <c r="Q14" i="29" s="1"/>
  <c r="BR85" i="25"/>
  <c r="BR58" i="25"/>
  <c r="AF371" i="25"/>
  <c r="BQ34" i="25"/>
  <c r="BQ246" i="25" s="1"/>
  <c r="BQ35" i="25"/>
  <c r="BQ247" i="25" s="1"/>
  <c r="AE377" i="25"/>
  <c r="P31" i="29" s="1"/>
  <c r="BQ76" i="25"/>
  <c r="BQ69" i="25"/>
  <c r="BQ281" i="25" s="1"/>
  <c r="BQ68" i="25"/>
  <c r="BQ276" i="25"/>
  <c r="BP256" i="25"/>
  <c r="AF365" i="25" s="1"/>
  <c r="Q23" i="29" s="1"/>
  <c r="AB362" i="25"/>
  <c r="BQ245" i="25"/>
  <c r="AG359" i="25" s="1"/>
  <c r="R18" i="29" s="1"/>
  <c r="BR19" i="25"/>
  <c r="P150" i="21"/>
  <c r="BR81" i="25" s="1"/>
  <c r="BR293" i="25" s="1"/>
  <c r="P159" i="21"/>
  <c r="BR9" i="25" s="1"/>
  <c r="BR221" i="25" s="1"/>
  <c r="P146" i="21"/>
  <c r="P136" i="21"/>
  <c r="BR11" i="25" s="1"/>
  <c r="S4" i="30"/>
  <c r="BR22" i="25"/>
  <c r="BR234" i="25" s="1"/>
  <c r="BQ81" i="25"/>
  <c r="BQ293" i="25" s="1"/>
  <c r="M328" i="25"/>
  <c r="R364" i="25" s="1"/>
  <c r="AE362" i="25"/>
  <c r="P21" i="29" s="1"/>
  <c r="AD362" i="25"/>
  <c r="O21" i="29" s="1"/>
  <c r="X41" i="25"/>
  <c r="X27" i="25"/>
  <c r="AC362" i="25"/>
  <c r="N21" i="29" s="1"/>
  <c r="X26" i="25"/>
  <c r="X110" i="25" s="1"/>
  <c r="M331" i="25"/>
  <c r="W56" i="25" s="1"/>
  <c r="BQ277" i="25"/>
  <c r="BQ222" i="25"/>
  <c r="BP246" i="25"/>
  <c r="AF361" i="25" s="1"/>
  <c r="Q20" i="29" s="1"/>
  <c r="BQ16" i="25"/>
  <c r="BQ228" i="25" s="1"/>
  <c r="AF381" i="25"/>
  <c r="Q35" i="29" s="1"/>
  <c r="BQ28" i="25"/>
  <c r="BQ240" i="25" s="1"/>
  <c r="BQ312" i="25"/>
  <c r="AF378" i="25"/>
  <c r="Q32" i="29" s="1"/>
  <c r="BQ266" i="25"/>
  <c r="BQ13" i="25"/>
  <c r="P143" i="21"/>
  <c r="BR23" i="25" s="1"/>
  <c r="BR235" i="25" s="1"/>
  <c r="P165" i="21"/>
  <c r="BR99" i="25" s="1"/>
  <c r="P155" i="21"/>
  <c r="P162" i="21"/>
  <c r="P132" i="21"/>
  <c r="BR14" i="25" s="1"/>
  <c r="P127" i="21"/>
  <c r="P135" i="21"/>
  <c r="BR10" i="25" s="1"/>
  <c r="BR222" i="25" s="1"/>
  <c r="BR43" i="25"/>
  <c r="BR21" i="25"/>
  <c r="BQ47" i="25"/>
  <c r="BQ259" i="25" s="1"/>
  <c r="BQ61" i="25"/>
  <c r="BQ273" i="25" s="1"/>
  <c r="BR40" i="25"/>
  <c r="BR252" i="25" s="1"/>
  <c r="BR100" i="25"/>
  <c r="BQ24" i="25"/>
  <c r="P151" i="21"/>
  <c r="P161" i="21"/>
  <c r="BR33" i="25" s="1"/>
  <c r="BR245" i="25" s="1"/>
  <c r="AH359" i="25" s="1"/>
  <c r="S18" i="29" s="1"/>
  <c r="P140" i="21"/>
  <c r="BR28" i="25" s="1"/>
  <c r="P123" i="21"/>
  <c r="BR52" i="25" s="1"/>
  <c r="BR264" i="25" s="1"/>
  <c r="P147" i="21"/>
  <c r="BR73" i="25" s="1"/>
  <c r="P169" i="21"/>
  <c r="BR96" i="25"/>
  <c r="BR308" i="25" s="1"/>
  <c r="BQ60" i="25"/>
  <c r="BR94" i="25"/>
  <c r="BR93" i="25"/>
  <c r="BQ77" i="25"/>
  <c r="P119" i="21"/>
  <c r="P145" i="21"/>
  <c r="BR62" i="25" s="1"/>
  <c r="P133" i="21"/>
  <c r="P149" i="21"/>
  <c r="BR77" i="25" s="1"/>
  <c r="P125" i="21"/>
  <c r="BR42" i="25" s="1"/>
  <c r="BR254" i="25" s="1"/>
  <c r="P168" i="21"/>
  <c r="BP261" i="25"/>
  <c r="BR41" i="25"/>
  <c r="BR253" i="25" s="1"/>
  <c r="BR64" i="25"/>
  <c r="BR276" i="25" s="1"/>
  <c r="BQ244" i="25"/>
  <c r="AG358" i="25" s="1"/>
  <c r="R17" i="29" s="1"/>
  <c r="BP292" i="25"/>
  <c r="BQ46" i="25"/>
  <c r="BQ258" i="25" s="1"/>
  <c r="BQ44" i="25"/>
  <c r="BQ256" i="25" s="1"/>
  <c r="BQ14" i="25"/>
  <c r="BQ90" i="25"/>
  <c r="BQ302" i="25" s="1"/>
  <c r="BP265" i="25"/>
  <c r="BQ295" i="25"/>
  <c r="BQ92" i="25"/>
  <c r="BQ304" i="25" s="1"/>
  <c r="BQ15" i="25"/>
  <c r="BQ227" i="25" s="1"/>
  <c r="AF380" i="25"/>
  <c r="Q34" i="29" s="1"/>
  <c r="BQ255" i="25"/>
  <c r="BQ233" i="25"/>
  <c r="AG355" i="25" s="1"/>
  <c r="R14" i="29" s="1"/>
  <c r="BQ17" i="25"/>
  <c r="BP282" i="25"/>
  <c r="BQ88" i="25"/>
  <c r="BQ300" i="25" s="1"/>
  <c r="BQ86" i="25"/>
  <c r="BQ311" i="25"/>
  <c r="BQ87" i="25"/>
  <c r="BQ299" i="25" s="1"/>
  <c r="BQ79" i="25"/>
  <c r="BQ291" i="25" s="1"/>
  <c r="BQ275" i="25"/>
  <c r="BQ37" i="25"/>
  <c r="BQ249" i="25" s="1"/>
  <c r="AG381" i="25" s="1"/>
  <c r="R35" i="29" s="1"/>
  <c r="BQ91" i="25"/>
  <c r="BQ253" i="25"/>
  <c r="AG364" i="25" s="1"/>
  <c r="R22" i="29" s="1"/>
  <c r="AF376" i="25"/>
  <c r="Q30" i="29" s="1"/>
  <c r="BQ50" i="25"/>
  <c r="BQ262" i="25" s="1"/>
  <c r="BQ286" i="25"/>
  <c r="BP287" i="25"/>
  <c r="BQ18" i="25"/>
  <c r="BQ230" i="25" s="1"/>
  <c r="BQ261" i="25"/>
  <c r="BQ48" i="25"/>
  <c r="BP289" i="25"/>
  <c r="BP263" i="25"/>
  <c r="BP225" i="25"/>
  <c r="BP224" i="25"/>
  <c r="BP272" i="25"/>
  <c r="AF374" i="25" s="1"/>
  <c r="Q28" i="29" s="1"/>
  <c r="BP280" i="25"/>
  <c r="BP274" i="25"/>
  <c r="AF375" i="25" s="1"/>
  <c r="Q29" i="29" s="1"/>
  <c r="BP242" i="25"/>
  <c r="BP240" i="25"/>
  <c r="BP285" i="25"/>
  <c r="BP226" i="25"/>
  <c r="BP298" i="25"/>
  <c r="BP303" i="25"/>
  <c r="M333" i="25"/>
  <c r="W57" i="25" s="1"/>
  <c r="AG380" i="25"/>
  <c r="R34" i="29" s="1"/>
  <c r="AG353" i="25"/>
  <c r="R12" i="29" s="1"/>
  <c r="BR286" i="25"/>
  <c r="BS100" i="25"/>
  <c r="BS21" i="25"/>
  <c r="BS84" i="25"/>
  <c r="BS63" i="25"/>
  <c r="BR232" i="25"/>
  <c r="BR279" i="25"/>
  <c r="AB363" i="25"/>
  <c r="N12" i="1"/>
  <c r="BS131" i="25"/>
  <c r="BS133" i="25"/>
  <c r="BS143" i="25"/>
  <c r="BS144" i="25"/>
  <c r="BS145" i="25"/>
  <c r="BS146" i="25"/>
  <c r="BS147" i="25"/>
  <c r="BS148" i="25"/>
  <c r="BS149" i="25"/>
  <c r="BS150" i="25"/>
  <c r="BS151" i="25"/>
  <c r="BS248" i="25" s="1"/>
  <c r="BS152" i="25"/>
  <c r="BS153" i="25"/>
  <c r="BS154" i="25"/>
  <c r="BS251" i="25" s="1"/>
  <c r="BS155" i="25"/>
  <c r="BS156" i="25"/>
  <c r="BS125" i="25"/>
  <c r="BS126" i="25"/>
  <c r="BS127" i="25"/>
  <c r="BS128" i="25"/>
  <c r="BS129" i="25"/>
  <c r="BS134" i="25"/>
  <c r="BS135" i="25"/>
  <c r="BS136" i="25"/>
  <c r="BS138" i="25"/>
  <c r="BS139" i="25"/>
  <c r="BS140" i="25"/>
  <c r="BS141" i="25"/>
  <c r="BS142" i="25"/>
  <c r="BS132" i="25"/>
  <c r="BS130" i="25"/>
  <c r="BS160" i="25"/>
  <c r="BS165" i="25"/>
  <c r="BS170" i="25"/>
  <c r="BS267" i="25" s="1"/>
  <c r="BS176" i="25"/>
  <c r="BS181" i="25"/>
  <c r="BS278" i="25" s="1"/>
  <c r="BS202" i="25"/>
  <c r="BS203" i="25"/>
  <c r="BS123" i="25"/>
  <c r="BS159" i="25"/>
  <c r="BS164" i="25"/>
  <c r="BS169" i="25"/>
  <c r="BS172" i="25"/>
  <c r="BS269" i="25" s="1"/>
  <c r="AI369" i="25" s="1"/>
  <c r="T25" i="29" s="1"/>
  <c r="BS179" i="25"/>
  <c r="BS198" i="25"/>
  <c r="BS200" i="25"/>
  <c r="BS183" i="25"/>
  <c r="BS184" i="25"/>
  <c r="BS185" i="25"/>
  <c r="BS186" i="25"/>
  <c r="BS187" i="25"/>
  <c r="BS188" i="25"/>
  <c r="BS189" i="25"/>
  <c r="BS190" i="25"/>
  <c r="BS191" i="25"/>
  <c r="BS192" i="25"/>
  <c r="BS193" i="25"/>
  <c r="BS194" i="25"/>
  <c r="BS195" i="25"/>
  <c r="BS196" i="25"/>
  <c r="BS197" i="25"/>
  <c r="BS199" i="25"/>
  <c r="BS201" i="25"/>
  <c r="BS204" i="25"/>
  <c r="BS205" i="25"/>
  <c r="BS206" i="25"/>
  <c r="BS207" i="25"/>
  <c r="BS208" i="25"/>
  <c r="BS209" i="25"/>
  <c r="BS210" i="25"/>
  <c r="BS211" i="25"/>
  <c r="BS212" i="25"/>
  <c r="BS213" i="25"/>
  <c r="BS214" i="25"/>
  <c r="BS215" i="25"/>
  <c r="BS157" i="25"/>
  <c r="BS163" i="25"/>
  <c r="BS168" i="25"/>
  <c r="BS175" i="25"/>
  <c r="BS180" i="25"/>
  <c r="BS161" i="25"/>
  <c r="BS166" i="25"/>
  <c r="BS171" i="25"/>
  <c r="BS268" i="25" s="1"/>
  <c r="AI367" i="25" s="1"/>
  <c r="T24" i="29" s="1"/>
  <c r="BS177" i="25"/>
  <c r="BS182" i="25"/>
  <c r="BS279" i="25" s="1"/>
  <c r="BS158" i="25"/>
  <c r="BS162" i="25"/>
  <c r="BS167" i="25"/>
  <c r="BS174" i="25"/>
  <c r="BS178" i="25"/>
  <c r="BS124" i="25"/>
  <c r="BR248" i="25"/>
  <c r="BQ241" i="25"/>
  <c r="BQ301" i="25"/>
  <c r="BQ288" i="25"/>
  <c r="BQ264" i="25"/>
  <c r="BQ257" i="25"/>
  <c r="BQ243" i="25"/>
  <c r="BQ254" i="25"/>
  <c r="W27" i="25"/>
  <c r="W26" i="25"/>
  <c r="W110" i="25" s="1"/>
  <c r="BQ294" i="25"/>
  <c r="BQ274" i="25"/>
  <c r="AG375" i="25" s="1"/>
  <c r="R29" i="29" s="1"/>
  <c r="BQ287" i="25"/>
  <c r="BQ292" i="25"/>
  <c r="BR307" i="25"/>
  <c r="U113" i="21"/>
  <c r="V113" i="21" s="1"/>
  <c r="W113" i="21" s="1"/>
  <c r="X113" i="21" s="1"/>
  <c r="Y113" i="21" s="1"/>
  <c r="Z113" i="21" s="1"/>
  <c r="AA113" i="21" s="1"/>
  <c r="AB113" i="21" s="1"/>
  <c r="AC113" i="21" s="1"/>
  <c r="AD113" i="21" s="1"/>
  <c r="AE113" i="21" s="1"/>
  <c r="AF113" i="21" s="1"/>
  <c r="AG113" i="21" s="1"/>
  <c r="AH113" i="21" s="1"/>
  <c r="AI113" i="21" s="1"/>
  <c r="AJ113" i="21" s="1"/>
  <c r="AK113" i="21" s="1"/>
  <c r="AL113" i="21" s="1"/>
  <c r="AM113" i="21" s="1"/>
  <c r="AN113" i="21" s="1"/>
  <c r="AO113" i="21" s="1"/>
  <c r="AP113" i="21" s="1"/>
  <c r="AQ113" i="21" s="1"/>
  <c r="AR113" i="21" s="1"/>
  <c r="AS113" i="21" s="1"/>
  <c r="AT113" i="21" s="1"/>
  <c r="AU113" i="21" s="1"/>
  <c r="BR18" i="25"/>
  <c r="BR17" i="25"/>
  <c r="BR38" i="25"/>
  <c r="BR15" i="25"/>
  <c r="BR227" i="25" s="1"/>
  <c r="BR87" i="25"/>
  <c r="BR299" i="25" s="1"/>
  <c r="BR86" i="25"/>
  <c r="BR298" i="25" s="1"/>
  <c r="BR88" i="25"/>
  <c r="BR300" i="25" s="1"/>
  <c r="BR76" i="25"/>
  <c r="BR288" i="25" s="1"/>
  <c r="BR266" i="25"/>
  <c r="BS95" i="25"/>
  <c r="BS96" i="25"/>
  <c r="Q154" i="21"/>
  <c r="Q152" i="21"/>
  <c r="Q138" i="21"/>
  <c r="Q133" i="21"/>
  <c r="Q150" i="21"/>
  <c r="Q146" i="21"/>
  <c r="Q158" i="21"/>
  <c r="BS8" i="25" s="1"/>
  <c r="Q121" i="21"/>
  <c r="Q157" i="21"/>
  <c r="Q148" i="21"/>
  <c r="Q164" i="21"/>
  <c r="BR53" i="25" l="1"/>
  <c r="Q131" i="21"/>
  <c r="BS26" i="25"/>
  <c r="BR34" i="25"/>
  <c r="BS43" i="25"/>
  <c r="Q132" i="21"/>
  <c r="Q155" i="21"/>
  <c r="Q161" i="21"/>
  <c r="BS33" i="25" s="1"/>
  <c r="BS245" i="25" s="1"/>
  <c r="AI359" i="25" s="1"/>
  <c r="T18" i="29" s="1"/>
  <c r="Q130" i="21"/>
  <c r="Q126" i="21"/>
  <c r="Q142" i="21"/>
  <c r="BS24" i="25" s="1"/>
  <c r="Q168" i="21"/>
  <c r="BR82" i="25"/>
  <c r="BR50" i="25"/>
  <c r="BR262" i="25" s="1"/>
  <c r="BS85" i="25"/>
  <c r="BS297" i="25" s="1"/>
  <c r="BS74" i="25"/>
  <c r="BS22" i="25"/>
  <c r="BS234" i="25" s="1"/>
  <c r="Q151" i="21"/>
  <c r="BS64" i="25"/>
  <c r="Q165" i="21"/>
  <c r="BS99" i="25" s="1"/>
  <c r="BS311" i="25" s="1"/>
  <c r="T4" i="30"/>
  <c r="BS69" i="25" s="1"/>
  <c r="BS281" i="25" s="1"/>
  <c r="Q144" i="21"/>
  <c r="Q134" i="21"/>
  <c r="BS38" i="25" s="1"/>
  <c r="BS250" i="25" s="1"/>
  <c r="Q160" i="21"/>
  <c r="BS32" i="25" s="1"/>
  <c r="Q127" i="21"/>
  <c r="R114" i="21"/>
  <c r="BT58" i="25" s="1"/>
  <c r="BT270" i="25" s="1"/>
  <c r="AJ371" i="25" s="1"/>
  <c r="U26" i="29" s="1"/>
  <c r="BS94" i="25"/>
  <c r="Q163" i="21"/>
  <c r="BR25" i="25"/>
  <c r="BR237" i="25" s="1"/>
  <c r="BS93" i="25"/>
  <c r="BS83" i="25"/>
  <c r="BR30" i="25"/>
  <c r="BR242" i="25" s="1"/>
  <c r="Q139" i="21"/>
  <c r="Q129" i="21"/>
  <c r="Q153" i="21"/>
  <c r="BS40" i="25"/>
  <c r="Q123" i="21"/>
  <c r="Q169" i="21"/>
  <c r="Q122" i="21"/>
  <c r="BS50" i="25" s="1"/>
  <c r="BS262" i="25" s="1"/>
  <c r="Q128" i="21"/>
  <c r="Q162" i="21"/>
  <c r="Q120" i="21"/>
  <c r="Q124" i="21"/>
  <c r="Q147" i="21"/>
  <c r="Q136" i="21"/>
  <c r="BS11" i="25" s="1"/>
  <c r="BS223" i="25" s="1"/>
  <c r="BS41" i="25"/>
  <c r="BS20" i="25"/>
  <c r="Q159" i="21"/>
  <c r="BS9" i="25" s="1"/>
  <c r="BS221" i="25" s="1"/>
  <c r="BS65" i="25"/>
  <c r="Q137" i="21"/>
  <c r="Q143" i="21"/>
  <c r="BS23" i="25" s="1"/>
  <c r="BS235" i="25" s="1"/>
  <c r="Q140" i="21"/>
  <c r="Q149" i="21"/>
  <c r="BS79" i="25" s="1"/>
  <c r="BS291" i="25" s="1"/>
  <c r="Q141" i="21"/>
  <c r="Q119" i="21"/>
  <c r="BS37" i="25" s="1"/>
  <c r="BS249" i="25" s="1"/>
  <c r="Q145" i="21"/>
  <c r="BS62" i="25" s="1"/>
  <c r="Q125" i="21"/>
  <c r="BS42" i="25" s="1"/>
  <c r="BS254" i="25" s="1"/>
  <c r="Q156" i="21"/>
  <c r="Q170" i="21"/>
  <c r="Q135" i="21"/>
  <c r="BS10" i="25" s="1"/>
  <c r="BR80" i="25"/>
  <c r="BR292" i="25" s="1"/>
  <c r="BS27" i="25"/>
  <c r="BS239" i="25" s="1"/>
  <c r="BS19" i="25"/>
  <c r="BR92" i="25"/>
  <c r="BR304" i="25" s="1"/>
  <c r="R367" i="25"/>
  <c r="BR13" i="25"/>
  <c r="BR225" i="25" s="1"/>
  <c r="BR51" i="25"/>
  <c r="BQ280" i="25"/>
  <c r="BR37" i="25"/>
  <c r="BR249" i="25" s="1"/>
  <c r="BR231" i="25"/>
  <c r="BR89" i="25"/>
  <c r="BR301" i="25" s="1"/>
  <c r="BQ226" i="25"/>
  <c r="AG361" i="25"/>
  <c r="R20" i="29" s="1"/>
  <c r="Q26" i="29"/>
  <c r="BR270" i="25"/>
  <c r="BR223" i="25"/>
  <c r="BS68" i="25"/>
  <c r="BR78" i="25"/>
  <c r="BR290" i="25" s="1"/>
  <c r="M21" i="29"/>
  <c r="BR233" i="25"/>
  <c r="BQ272" i="25"/>
  <c r="AG374" i="25" s="1"/>
  <c r="R28" i="29" s="1"/>
  <c r="BQ225" i="25"/>
  <c r="W40" i="25"/>
  <c r="BQ289" i="25"/>
  <c r="W41" i="25"/>
  <c r="AG376" i="25"/>
  <c r="R30" i="29" s="1"/>
  <c r="BR29" i="25"/>
  <c r="BR241" i="25" s="1"/>
  <c r="BQ236" i="25"/>
  <c r="AG357" i="25" s="1"/>
  <c r="R16" i="29" s="1"/>
  <c r="AF362" i="25"/>
  <c r="BR312" i="25"/>
  <c r="BR255" i="25"/>
  <c r="BR311" i="25"/>
  <c r="R369" i="25"/>
  <c r="BR306" i="25"/>
  <c r="BR16" i="25"/>
  <c r="BR228" i="25" s="1"/>
  <c r="BR305" i="25"/>
  <c r="BR79" i="25"/>
  <c r="BR291" i="25" s="1"/>
  <c r="BR61" i="25"/>
  <c r="BR273" i="25" s="1"/>
  <c r="BR60" i="25"/>
  <c r="BR272" i="25" s="1"/>
  <c r="AF363" i="25"/>
  <c r="BQ298" i="25"/>
  <c r="BQ229" i="25"/>
  <c r="BQ303" i="25"/>
  <c r="AG378" i="25"/>
  <c r="R32" i="29" s="1"/>
  <c r="BQ260" i="25"/>
  <c r="AG362" i="25" s="1"/>
  <c r="AF377" i="25"/>
  <c r="Q31" i="29" s="1"/>
  <c r="AH364" i="25"/>
  <c r="S22" i="29" s="1"/>
  <c r="AF354" i="25"/>
  <c r="Q13" i="29" s="1"/>
  <c r="BS275" i="25"/>
  <c r="BS296" i="25"/>
  <c r="BS233" i="25"/>
  <c r="AF379" i="25"/>
  <c r="Q33" i="29" s="1"/>
  <c r="AF357" i="25"/>
  <c r="Q16" i="29" s="1"/>
  <c r="BS238" i="25"/>
  <c r="AG365" i="25"/>
  <c r="R23" i="29" s="1"/>
  <c r="AG363" i="25"/>
  <c r="BS252" i="25"/>
  <c r="AH353" i="25"/>
  <c r="S12" i="29" s="1"/>
  <c r="BS312" i="25"/>
  <c r="BS216" i="25"/>
  <c r="O12" i="1"/>
  <c r="BT124" i="25"/>
  <c r="BT125" i="25"/>
  <c r="BT126" i="25"/>
  <c r="BT127" i="25"/>
  <c r="BT128" i="25"/>
  <c r="BT129" i="25"/>
  <c r="BT130" i="25"/>
  <c r="BT131" i="25"/>
  <c r="BT132" i="25"/>
  <c r="BT133" i="25"/>
  <c r="BT134" i="25"/>
  <c r="BT135" i="25"/>
  <c r="BT136" i="25"/>
  <c r="BT138" i="25"/>
  <c r="BT139" i="25"/>
  <c r="BT140" i="25"/>
  <c r="BT141" i="25"/>
  <c r="BT142" i="25"/>
  <c r="BT143" i="25"/>
  <c r="BT144" i="25"/>
  <c r="BT145" i="25"/>
  <c r="BT146" i="25"/>
  <c r="BT147" i="25"/>
  <c r="BT148" i="25"/>
  <c r="BT149" i="25"/>
  <c r="BT150" i="25"/>
  <c r="BT151" i="25"/>
  <c r="BT248" i="25" s="1"/>
  <c r="BT152" i="25"/>
  <c r="BT153" i="25"/>
  <c r="BT154" i="25"/>
  <c r="BT251" i="25" s="1"/>
  <c r="BT155" i="25"/>
  <c r="BT156" i="25"/>
  <c r="BT210" i="25"/>
  <c r="BT214" i="25"/>
  <c r="BT215" i="25"/>
  <c r="BT162" i="25"/>
  <c r="BT166" i="25"/>
  <c r="BT171" i="25"/>
  <c r="BT268" i="25" s="1"/>
  <c r="AJ367" i="25" s="1"/>
  <c r="U24" i="29" s="1"/>
  <c r="BT177" i="25"/>
  <c r="BT182" i="25"/>
  <c r="BT279" i="25" s="1"/>
  <c r="BT212" i="25"/>
  <c r="BT213" i="25"/>
  <c r="BT159" i="25"/>
  <c r="BT165" i="25"/>
  <c r="BT169" i="25"/>
  <c r="BT172" i="25"/>
  <c r="BT269" i="25" s="1"/>
  <c r="AJ369" i="25" s="1"/>
  <c r="U25" i="29" s="1"/>
  <c r="BT178" i="25"/>
  <c r="BT202" i="25"/>
  <c r="BT203" i="25"/>
  <c r="BT123" i="25"/>
  <c r="BT157" i="25"/>
  <c r="BT161" i="25"/>
  <c r="BT170" i="25"/>
  <c r="BT267" i="25" s="1"/>
  <c r="BT175" i="25"/>
  <c r="BT180" i="25"/>
  <c r="BT183" i="25"/>
  <c r="BT184" i="25"/>
  <c r="BT185" i="25"/>
  <c r="BT186" i="25"/>
  <c r="BT187" i="25"/>
  <c r="BT188" i="25"/>
  <c r="BT189" i="25"/>
  <c r="BT190" i="25"/>
  <c r="BT191" i="25"/>
  <c r="BT192" i="25"/>
  <c r="BT193" i="25"/>
  <c r="BT194" i="25"/>
  <c r="BT195" i="25"/>
  <c r="BT196" i="25"/>
  <c r="BT197" i="25"/>
  <c r="BT199" i="25"/>
  <c r="BT201" i="25"/>
  <c r="BT204" i="25"/>
  <c r="BT205" i="25"/>
  <c r="BT206" i="25"/>
  <c r="BT207" i="25"/>
  <c r="BT208" i="25"/>
  <c r="BT209" i="25"/>
  <c r="BT211" i="25"/>
  <c r="BT158" i="25"/>
  <c r="BT163" i="25"/>
  <c r="BT167" i="25"/>
  <c r="BT176" i="25"/>
  <c r="BT181" i="25"/>
  <c r="BT278" i="25" s="1"/>
  <c r="BT198" i="25"/>
  <c r="BT200" i="25"/>
  <c r="BT160" i="25"/>
  <c r="BT164" i="25"/>
  <c r="BT168" i="25"/>
  <c r="BT174" i="25"/>
  <c r="BT179" i="25"/>
  <c r="BR250" i="25"/>
  <c r="BR230" i="25"/>
  <c r="V319" i="25"/>
  <c r="AD347" i="25"/>
  <c r="BI319" i="25"/>
  <c r="BR246" i="25"/>
  <c r="AH361" i="25" s="1"/>
  <c r="S20" i="29" s="1"/>
  <c r="BR289" i="25"/>
  <c r="BR274" i="25"/>
  <c r="AH375" i="25" s="1"/>
  <c r="S29" i="29" s="1"/>
  <c r="BR287" i="25"/>
  <c r="BR229" i="25"/>
  <c r="BR236" i="25"/>
  <c r="BR240" i="25"/>
  <c r="BR310" i="25"/>
  <c r="BR224" i="25"/>
  <c r="BR261" i="25"/>
  <c r="BR265" i="25"/>
  <c r="BR259" i="25"/>
  <c r="BS222" i="25"/>
  <c r="BR260" i="25"/>
  <c r="BR285" i="25"/>
  <c r="BR226" i="25"/>
  <c r="AE347" i="25"/>
  <c r="AF347" i="25"/>
  <c r="AB347" i="25"/>
  <c r="AC347" i="25"/>
  <c r="BS307" i="25"/>
  <c r="BS220" i="25"/>
  <c r="BS308" i="25"/>
  <c r="BS98" i="25"/>
  <c r="BS91" i="25"/>
  <c r="BS303" i="25" s="1"/>
  <c r="BS92" i="25"/>
  <c r="BS304" i="25" s="1"/>
  <c r="BS13" i="25"/>
  <c r="BS16" i="25"/>
  <c r="BS76" i="25"/>
  <c r="BS75" i="25"/>
  <c r="BS48" i="25"/>
  <c r="BS80" i="25"/>
  <c r="BS81" i="25"/>
  <c r="BS293" i="25" s="1"/>
  <c r="BS82" i="25"/>
  <c r="BS17" i="25"/>
  <c r="BS89" i="25"/>
  <c r="BS301" i="25" s="1"/>
  <c r="BS90" i="25"/>
  <c r="BS302" i="25" s="1"/>
  <c r="BS12" i="25"/>
  <c r="BS25" i="25"/>
  <c r="BS237" i="25" s="1"/>
  <c r="BS30" i="25"/>
  <c r="BS31" i="25"/>
  <c r="BS243" i="25" s="1"/>
  <c r="BS51" i="25"/>
  <c r="BS52" i="25"/>
  <c r="BS264" i="25" s="1"/>
  <c r="BS28" i="25"/>
  <c r="BS29" i="25"/>
  <c r="BS241" i="25" s="1"/>
  <c r="BS77" i="25"/>
  <c r="BS78" i="25"/>
  <c r="BS290" i="25" s="1"/>
  <c r="BS266" i="25"/>
  <c r="BS73" i="25"/>
  <c r="BS35" i="25" l="1"/>
  <c r="BS247" i="25" s="1"/>
  <c r="BS61" i="25"/>
  <c r="BS273" i="25" s="1"/>
  <c r="BS60" i="25"/>
  <c r="BS34" i="25"/>
  <c r="BS246" i="25" s="1"/>
  <c r="AI361" i="25" s="1"/>
  <c r="T20" i="29" s="1"/>
  <c r="BS306" i="25"/>
  <c r="R147" i="21"/>
  <c r="BT73" i="25" s="1"/>
  <c r="S114" i="21"/>
  <c r="BU58" i="25" s="1"/>
  <c r="AA58" i="25" s="1"/>
  <c r="BS231" i="25"/>
  <c r="BR294" i="25"/>
  <c r="AH378" i="25" s="1"/>
  <c r="S32" i="29" s="1"/>
  <c r="R138" i="21"/>
  <c r="R162" i="21"/>
  <c r="R164" i="21"/>
  <c r="R142" i="21"/>
  <c r="BT24" i="25" s="1"/>
  <c r="R125" i="21"/>
  <c r="BT42" i="25" s="1"/>
  <c r="BT254" i="25" s="1"/>
  <c r="R130" i="21"/>
  <c r="BT12" i="25" s="1"/>
  <c r="R136" i="21"/>
  <c r="BT11" i="25" s="1"/>
  <c r="BT223" i="25" s="1"/>
  <c r="R128" i="21"/>
  <c r="BT34" i="25" s="1"/>
  <c r="BS255" i="25"/>
  <c r="BT93" i="25"/>
  <c r="BT305" i="25" s="1"/>
  <c r="R155" i="21"/>
  <c r="BT90" i="25" s="1"/>
  <c r="BT302" i="25" s="1"/>
  <c r="BT84" i="25"/>
  <c r="BT296" i="25" s="1"/>
  <c r="R160" i="21"/>
  <c r="BT32" i="25" s="1"/>
  <c r="BT244" i="25" s="1"/>
  <c r="AJ358" i="25" s="1"/>
  <c r="U17" i="29" s="1"/>
  <c r="R150" i="21"/>
  <c r="BT81" i="25" s="1"/>
  <c r="R151" i="21"/>
  <c r="BT65" i="25"/>
  <c r="BS88" i="25"/>
  <c r="BS300" i="25" s="1"/>
  <c r="R144" i="21"/>
  <c r="R156" i="21"/>
  <c r="BT86" i="25" s="1"/>
  <c r="BT298" i="25" s="1"/>
  <c r="R124" i="21"/>
  <c r="R169" i="21"/>
  <c r="BS14" i="25"/>
  <c r="BT19" i="25"/>
  <c r="BT231" i="25" s="1"/>
  <c r="BS86" i="25"/>
  <c r="BS298" i="25" s="1"/>
  <c r="R122" i="21"/>
  <c r="BT50" i="25" s="1"/>
  <c r="R133" i="21"/>
  <c r="R168" i="21"/>
  <c r="BS15" i="25"/>
  <c r="BS227" i="25" s="1"/>
  <c r="BS277" i="25"/>
  <c r="R137" i="21"/>
  <c r="BS87" i="25"/>
  <c r="BS299" i="25" s="1"/>
  <c r="R165" i="21"/>
  <c r="BT99" i="25" s="1"/>
  <c r="BT311" i="25" s="1"/>
  <c r="R119" i="21"/>
  <c r="BT44" i="25" s="1"/>
  <c r="R134" i="21"/>
  <c r="BT38" i="25" s="1"/>
  <c r="BT250" i="25" s="1"/>
  <c r="R132" i="21"/>
  <c r="R170" i="21"/>
  <c r="BT63" i="25"/>
  <c r="BS276" i="25"/>
  <c r="BS53" i="25"/>
  <c r="R139" i="21"/>
  <c r="BS47" i="25"/>
  <c r="BS259" i="25" s="1"/>
  <c r="R141" i="21"/>
  <c r="R148" i="21"/>
  <c r="BT76" i="25" s="1"/>
  <c r="BT288" i="25" s="1"/>
  <c r="R143" i="21"/>
  <c r="BT23" i="25" s="1"/>
  <c r="BT235" i="25" s="1"/>
  <c r="R145" i="21"/>
  <c r="BT62" i="25" s="1"/>
  <c r="R127" i="21"/>
  <c r="BT100" i="25"/>
  <c r="R131" i="21"/>
  <c r="R158" i="21"/>
  <c r="BT8" i="25" s="1"/>
  <c r="R149" i="21"/>
  <c r="R163" i="21"/>
  <c r="R153" i="21"/>
  <c r="BT74" i="25"/>
  <c r="R121" i="21"/>
  <c r="R161" i="21"/>
  <c r="BT33" i="25" s="1"/>
  <c r="BT245" i="25" s="1"/>
  <c r="AJ359" i="25" s="1"/>
  <c r="U18" i="29" s="1"/>
  <c r="R146" i="21"/>
  <c r="R157" i="21"/>
  <c r="BT91" i="25" s="1"/>
  <c r="BT303" i="25" s="1"/>
  <c r="R126" i="21"/>
  <c r="R152" i="21"/>
  <c r="BT94" i="25"/>
  <c r="BT26" i="25"/>
  <c r="BS244" i="25"/>
  <c r="AI358" i="25" s="1"/>
  <c r="T17" i="29" s="1"/>
  <c r="BT27" i="25"/>
  <c r="BT239" i="25" s="1"/>
  <c r="BT41" i="25"/>
  <c r="BS305" i="25"/>
  <c r="BT22" i="25"/>
  <c r="BT234" i="25" s="1"/>
  <c r="BS44" i="25"/>
  <c r="BS18" i="25"/>
  <c r="BS230" i="25" s="1"/>
  <c r="BS49" i="25"/>
  <c r="BS261" i="25" s="1"/>
  <c r="R140" i="21"/>
  <c r="BT29" i="25" s="1"/>
  <c r="BT241" i="25" s="1"/>
  <c r="R123" i="21"/>
  <c r="BT52" i="25" s="1"/>
  <c r="BT264" i="25" s="1"/>
  <c r="R120" i="21"/>
  <c r="R159" i="21"/>
  <c r="BT9" i="25" s="1"/>
  <c r="BT221" i="25" s="1"/>
  <c r="R129" i="21"/>
  <c r="R154" i="21"/>
  <c r="BT82" i="25" s="1"/>
  <c r="R135" i="21"/>
  <c r="BT10" i="25" s="1"/>
  <c r="BT222" i="25" s="1"/>
  <c r="BT40" i="25"/>
  <c r="BT252" i="25" s="1"/>
  <c r="BT83" i="25"/>
  <c r="BS295" i="25"/>
  <c r="BS253" i="25"/>
  <c r="AI364" i="25" s="1"/>
  <c r="T22" i="29" s="1"/>
  <c r="BS232" i="25"/>
  <c r="U4" i="30"/>
  <c r="BT64" i="25"/>
  <c r="BT21" i="25"/>
  <c r="BS286" i="25"/>
  <c r="BT43" i="25"/>
  <c r="BT85" i="25"/>
  <c r="BT297" i="25" s="1"/>
  <c r="BT20" i="25"/>
  <c r="BR263" i="25"/>
  <c r="AH362" i="25" s="1"/>
  <c r="AH355" i="25"/>
  <c r="S14" i="29" s="1"/>
  <c r="BU270" i="25"/>
  <c r="AK371" i="25" s="1"/>
  <c r="V26" i="29" s="1"/>
  <c r="AH371" i="25"/>
  <c r="AH380" i="25"/>
  <c r="S34" i="29" s="1"/>
  <c r="Q21" i="29"/>
  <c r="V4" i="30"/>
  <c r="BU22" i="25"/>
  <c r="BU234" i="25" s="1"/>
  <c r="AI381" i="25"/>
  <c r="T35" i="29" s="1"/>
  <c r="AH374" i="25"/>
  <c r="S28" i="29" s="1"/>
  <c r="AG379" i="25"/>
  <c r="R33" i="29" s="1"/>
  <c r="AI356" i="25"/>
  <c r="T15" i="29" s="1"/>
  <c r="R21" i="29"/>
  <c r="AH354" i="25"/>
  <c r="S13" i="29" s="1"/>
  <c r="AI353" i="25"/>
  <c r="T12" i="29" s="1"/>
  <c r="AH357" i="25"/>
  <c r="S16" i="29" s="1"/>
  <c r="BU19" i="25"/>
  <c r="BU21" i="25"/>
  <c r="BU20" i="25"/>
  <c r="BU27" i="25"/>
  <c r="BU41" i="25"/>
  <c r="BU93" i="25"/>
  <c r="BU83" i="25"/>
  <c r="BU40" i="25"/>
  <c r="BU26" i="25"/>
  <c r="BU74" i="25"/>
  <c r="BU65" i="25"/>
  <c r="BU64" i="25"/>
  <c r="BU84" i="25"/>
  <c r="BU85" i="25"/>
  <c r="BU100" i="25"/>
  <c r="BU94" i="25"/>
  <c r="BU63" i="25"/>
  <c r="BU43" i="25"/>
  <c r="AH381" i="25"/>
  <c r="S35" i="29" s="1"/>
  <c r="AH363" i="25"/>
  <c r="L319" i="25"/>
  <c r="X21" i="25" s="1"/>
  <c r="U355" i="25"/>
  <c r="BT216" i="25"/>
  <c r="P12" i="1"/>
  <c r="BU124" i="25"/>
  <c r="BU125" i="25"/>
  <c r="BU126" i="25"/>
  <c r="BU127" i="25"/>
  <c r="BU128" i="25"/>
  <c r="BU129" i="25"/>
  <c r="BU130" i="25"/>
  <c r="BU131" i="25"/>
  <c r="BU132" i="25"/>
  <c r="BU133" i="25"/>
  <c r="BU134" i="25"/>
  <c r="BU135" i="25"/>
  <c r="BU136" i="25"/>
  <c r="BU138" i="25"/>
  <c r="BU139" i="25"/>
  <c r="BU140" i="25"/>
  <c r="BU141" i="25"/>
  <c r="BU142" i="25"/>
  <c r="BU143" i="25"/>
  <c r="BU144" i="25"/>
  <c r="BU145" i="25"/>
  <c r="BU146" i="25"/>
  <c r="BU147" i="25"/>
  <c r="BU148" i="25"/>
  <c r="BU149" i="25"/>
  <c r="BU150" i="25"/>
  <c r="BU151" i="25"/>
  <c r="BU248" i="25" s="1"/>
  <c r="BU152" i="25"/>
  <c r="BU154" i="25"/>
  <c r="BU251" i="25" s="1"/>
  <c r="BU156" i="25"/>
  <c r="BU153" i="25"/>
  <c r="BU157" i="25"/>
  <c r="BU158" i="25"/>
  <c r="BU159" i="25"/>
  <c r="BU160" i="25"/>
  <c r="BU161" i="25"/>
  <c r="BU162" i="25"/>
  <c r="BU163" i="25"/>
  <c r="BU164" i="25"/>
  <c r="BU165" i="25"/>
  <c r="BU166" i="25"/>
  <c r="BU167" i="25"/>
  <c r="BU168" i="25"/>
  <c r="BU169" i="25"/>
  <c r="BU170" i="25"/>
  <c r="BU267" i="25" s="1"/>
  <c r="BU171" i="25"/>
  <c r="BU268" i="25" s="1"/>
  <c r="BU172" i="25"/>
  <c r="BU269" i="25" s="1"/>
  <c r="BU174" i="25"/>
  <c r="BU175" i="25"/>
  <c r="BU176" i="25"/>
  <c r="BU177" i="25"/>
  <c r="BU178" i="25"/>
  <c r="BU179" i="25"/>
  <c r="BU180" i="25"/>
  <c r="BU181" i="25"/>
  <c r="BU278" i="25" s="1"/>
  <c r="BU182" i="25"/>
  <c r="BU279" i="25" s="1"/>
  <c r="BU198" i="25"/>
  <c r="BU200" i="25"/>
  <c r="BU123" i="25"/>
  <c r="BU155" i="25"/>
  <c r="BU202" i="25"/>
  <c r="BU203" i="25"/>
  <c r="BU183" i="25"/>
  <c r="BU184" i="25"/>
  <c r="BU185" i="25"/>
  <c r="BU186" i="25"/>
  <c r="BU187" i="25"/>
  <c r="BU188" i="25"/>
  <c r="BU189" i="25"/>
  <c r="BU190" i="25"/>
  <c r="BU191" i="25"/>
  <c r="BU192" i="25"/>
  <c r="BU193" i="25"/>
  <c r="BU194" i="25"/>
  <c r="BU195" i="25"/>
  <c r="BU196" i="25"/>
  <c r="BU197" i="25"/>
  <c r="BU199" i="25"/>
  <c r="BU201" i="25"/>
  <c r="BU204" i="25"/>
  <c r="BU205" i="25"/>
  <c r="BU206" i="25"/>
  <c r="BU207" i="25"/>
  <c r="BU208" i="25"/>
  <c r="BU209" i="25"/>
  <c r="BU210" i="25"/>
  <c r="BU211" i="25"/>
  <c r="BU212" i="25"/>
  <c r="BU213" i="25"/>
  <c r="BU214" i="25"/>
  <c r="BU215" i="25"/>
  <c r="R100" i="25"/>
  <c r="BS288" i="25"/>
  <c r="AG347" i="25"/>
  <c r="BS229" i="25"/>
  <c r="BS285" i="25"/>
  <c r="BS272" i="25"/>
  <c r="AI374" i="25" s="1"/>
  <c r="T28" i="29" s="1"/>
  <c r="BS265" i="25"/>
  <c r="BS240" i="25"/>
  <c r="BS274" i="25"/>
  <c r="AI375" i="25" s="1"/>
  <c r="T29" i="29" s="1"/>
  <c r="BS225" i="25"/>
  <c r="BS242" i="25"/>
  <c r="BS236" i="25"/>
  <c r="BS287" i="25"/>
  <c r="BS263" i="25"/>
  <c r="BS224" i="25"/>
  <c r="BS294" i="25"/>
  <c r="AI378" i="25" s="1"/>
  <c r="T32" i="29" s="1"/>
  <c r="BS289" i="25"/>
  <c r="BS292" i="25"/>
  <c r="BS260" i="25"/>
  <c r="BS280" i="25"/>
  <c r="BS310" i="25"/>
  <c r="BS228" i="25"/>
  <c r="BT266" i="25"/>
  <c r="BT78" i="25"/>
  <c r="BT290" i="25" s="1"/>
  <c r="BT77" i="25"/>
  <c r="BT79" i="25"/>
  <c r="BT291" i="25" s="1"/>
  <c r="BT14" i="25"/>
  <c r="BT15" i="25"/>
  <c r="BT227" i="25" s="1"/>
  <c r="T114" i="21"/>
  <c r="BV58" i="25" s="1"/>
  <c r="S135" i="21"/>
  <c r="BU10" i="25" s="1"/>
  <c r="S136" i="21"/>
  <c r="BU11" i="25" s="1"/>
  <c r="S170" i="21"/>
  <c r="S152" i="21"/>
  <c r="S154" i="21"/>
  <c r="S153" i="21"/>
  <c r="S168" i="21"/>
  <c r="S127" i="21"/>
  <c r="S169" i="21"/>
  <c r="S145" i="21"/>
  <c r="S133" i="21"/>
  <c r="S150" i="21"/>
  <c r="S151" i="21"/>
  <c r="S146" i="21"/>
  <c r="S148" i="21"/>
  <c r="S123" i="21"/>
  <c r="S126" i="21"/>
  <c r="S141" i="21"/>
  <c r="S132" i="21"/>
  <c r="S124" i="21"/>
  <c r="S156" i="21"/>
  <c r="S120" i="21"/>
  <c r="S140" i="21"/>
  <c r="S162" i="21"/>
  <c r="BU59" i="25" s="1"/>
  <c r="S138" i="21"/>
  <c r="S149" i="21"/>
  <c r="S142" i="21"/>
  <c r="S134" i="21"/>
  <c r="S139" i="21"/>
  <c r="S157" i="21"/>
  <c r="S144" i="21"/>
  <c r="S119" i="21"/>
  <c r="S147" i="21"/>
  <c r="S165" i="21"/>
  <c r="BU99" i="25" s="1"/>
  <c r="AA99" i="25" s="1"/>
  <c r="S125" i="21"/>
  <c r="BU42" i="25" s="1"/>
  <c r="S129" i="21"/>
  <c r="S161" i="21"/>
  <c r="BU33" i="25" s="1"/>
  <c r="S130" i="21"/>
  <c r="S160" i="21"/>
  <c r="BU32" i="25" s="1"/>
  <c r="S121" i="21"/>
  <c r="S155" i="21"/>
  <c r="S128" i="21"/>
  <c r="S163" i="21"/>
  <c r="S164" i="21"/>
  <c r="S143" i="21"/>
  <c r="BU23" i="25" s="1"/>
  <c r="S137" i="21"/>
  <c r="S159" i="21"/>
  <c r="BU9" i="25" s="1"/>
  <c r="S131" i="21"/>
  <c r="S158" i="21"/>
  <c r="BU8" i="25" s="1"/>
  <c r="S122" i="21"/>
  <c r="BT49" i="25"/>
  <c r="BT31" i="25"/>
  <c r="BT243" i="25" s="1"/>
  <c r="BT30" i="25"/>
  <c r="BT98" i="25"/>
  <c r="BT13" i="25"/>
  <c r="BT88" i="25"/>
  <c r="BT300" i="25" s="1"/>
  <c r="BT48" i="25"/>
  <c r="BT25" i="25"/>
  <c r="BT237" i="25" s="1"/>
  <c r="BT16" i="25"/>
  <c r="BT53" i="25" l="1"/>
  <c r="AA32" i="25"/>
  <c r="BU232" i="25"/>
  <c r="BT87" i="25"/>
  <c r="BT299" i="25" s="1"/>
  <c r="BT18" i="25"/>
  <c r="BT230" i="25" s="1"/>
  <c r="BT92" i="25"/>
  <c r="BT304" i="25" s="1"/>
  <c r="BT89" i="25"/>
  <c r="BT301" i="25" s="1"/>
  <c r="BT253" i="25"/>
  <c r="AJ364" i="25" s="1"/>
  <c r="U22" i="29" s="1"/>
  <c r="BT37" i="25"/>
  <c r="BT249" i="25" s="1"/>
  <c r="AJ381" i="25" s="1"/>
  <c r="U35" i="29" s="1"/>
  <c r="BT17" i="25"/>
  <c r="BT47" i="25"/>
  <c r="BT51" i="25"/>
  <c r="BT263" i="25" s="1"/>
  <c r="AA8" i="25"/>
  <c r="BT220" i="25"/>
  <c r="AJ353" i="25" s="1"/>
  <c r="U12" i="29" s="1"/>
  <c r="BT233" i="25"/>
  <c r="BT295" i="25"/>
  <c r="AI379" i="25"/>
  <c r="T33" i="29" s="1"/>
  <c r="AI376" i="25"/>
  <c r="T30" i="29" s="1"/>
  <c r="BT28" i="25"/>
  <c r="BT240" i="25" s="1"/>
  <c r="AA33" i="25"/>
  <c r="BT276" i="25"/>
  <c r="BT35" i="25"/>
  <c r="BT247" i="25" s="1"/>
  <c r="BT277" i="25"/>
  <c r="BT275" i="25"/>
  <c r="BS226" i="25"/>
  <c r="AI354" i="25" s="1"/>
  <c r="T13" i="29" s="1"/>
  <c r="BT312" i="25"/>
  <c r="AI355" i="25"/>
  <c r="T14" i="29" s="1"/>
  <c r="BS256" i="25"/>
  <c r="AA23" i="25"/>
  <c r="AA20" i="25"/>
  <c r="BT232" i="25"/>
  <c r="BT68" i="25"/>
  <c r="BT280" i="25" s="1"/>
  <c r="BT80" i="25"/>
  <c r="BT292" i="25" s="1"/>
  <c r="BT75" i="25"/>
  <c r="BT287" i="25" s="1"/>
  <c r="BT306" i="25"/>
  <c r="AA40" i="25"/>
  <c r="BT286" i="25"/>
  <c r="BT61" i="25"/>
  <c r="BT273" i="25" s="1"/>
  <c r="BT60" i="25"/>
  <c r="BT272" i="25" s="1"/>
  <c r="AA10" i="25"/>
  <c r="BT255" i="25"/>
  <c r="AA9" i="25"/>
  <c r="BT238" i="25"/>
  <c r="AJ356" i="25" s="1"/>
  <c r="U15" i="29" s="1"/>
  <c r="BT69" i="25"/>
  <c r="BT281" i="25" s="1"/>
  <c r="BV270" i="25"/>
  <c r="S26" i="29"/>
  <c r="AA371" i="25"/>
  <c r="V371" i="25"/>
  <c r="Y58" i="25" s="1"/>
  <c r="BU69" i="25"/>
  <c r="BU68" i="25"/>
  <c r="BU277" i="25"/>
  <c r="W4" i="30"/>
  <c r="BV22" i="25"/>
  <c r="BV234" i="25" s="1"/>
  <c r="X20" i="25"/>
  <c r="X19" i="25"/>
  <c r="BU276" i="25"/>
  <c r="BU275" i="25"/>
  <c r="BU238" i="25"/>
  <c r="BU231" i="25"/>
  <c r="BU239" i="25"/>
  <c r="BU296" i="25"/>
  <c r="S21" i="29"/>
  <c r="AA19" i="25"/>
  <c r="BU306" i="25"/>
  <c r="BU252" i="25"/>
  <c r="AK369" i="25"/>
  <c r="V25" i="29" s="1"/>
  <c r="BU233" i="25"/>
  <c r="AK367" i="25"/>
  <c r="V24" i="29" s="1"/>
  <c r="BU286" i="25"/>
  <c r="AA21" i="25"/>
  <c r="BU255" i="25"/>
  <c r="AI357" i="25"/>
  <c r="T16" i="29" s="1"/>
  <c r="AI362" i="25"/>
  <c r="BU295" i="25"/>
  <c r="AA41" i="25"/>
  <c r="BV19" i="25"/>
  <c r="BV21" i="25"/>
  <c r="BV20" i="25"/>
  <c r="BV27" i="25"/>
  <c r="BV65" i="25"/>
  <c r="BV84" i="25"/>
  <c r="BV41" i="25"/>
  <c r="BV74" i="25"/>
  <c r="BV40" i="25"/>
  <c r="BV26" i="25"/>
  <c r="BV85" i="25"/>
  <c r="BV83" i="25"/>
  <c r="BV93" i="25"/>
  <c r="BV64" i="25"/>
  <c r="BV94" i="25"/>
  <c r="BV63" i="25"/>
  <c r="BV43" i="25"/>
  <c r="BV100" i="25"/>
  <c r="BU305" i="25"/>
  <c r="AA64" i="25"/>
  <c r="AI363" i="25"/>
  <c r="BU297" i="25"/>
  <c r="AA43" i="25"/>
  <c r="AA74" i="25"/>
  <c r="AA93" i="25"/>
  <c r="BU253" i="25"/>
  <c r="AA94" i="25"/>
  <c r="AA100" i="25"/>
  <c r="M319" i="25"/>
  <c r="BU312" i="25"/>
  <c r="BU216" i="25"/>
  <c r="Q12" i="1"/>
  <c r="BV124" i="25"/>
  <c r="BV125" i="25"/>
  <c r="BV126" i="25"/>
  <c r="BV127" i="25"/>
  <c r="BV128" i="25"/>
  <c r="BV129" i="25"/>
  <c r="BV130" i="25"/>
  <c r="BV131" i="25"/>
  <c r="BV132" i="25"/>
  <c r="BV133" i="25"/>
  <c r="BV134" i="25"/>
  <c r="BV135" i="25"/>
  <c r="BV136" i="25"/>
  <c r="BV138" i="25"/>
  <c r="BV139" i="25"/>
  <c r="BV140" i="25"/>
  <c r="BV141" i="25"/>
  <c r="BV142" i="25"/>
  <c r="BV143" i="25"/>
  <c r="BV144" i="25"/>
  <c r="BV145" i="25"/>
  <c r="BV146" i="25"/>
  <c r="BV147" i="25"/>
  <c r="BV148" i="25"/>
  <c r="BV149" i="25"/>
  <c r="BV150" i="25"/>
  <c r="BV151" i="25"/>
  <c r="BV248" i="25" s="1"/>
  <c r="BV152" i="25"/>
  <c r="BV153" i="25"/>
  <c r="BV154" i="25"/>
  <c r="BV251" i="25" s="1"/>
  <c r="BV155" i="25"/>
  <c r="BV156" i="25"/>
  <c r="BV157" i="25"/>
  <c r="BV158" i="25"/>
  <c r="BV159" i="25"/>
  <c r="BV160" i="25"/>
  <c r="BV161" i="25"/>
  <c r="BV162" i="25"/>
  <c r="BV163" i="25"/>
  <c r="BV164" i="25"/>
  <c r="BV165" i="25"/>
  <c r="BV166" i="25"/>
  <c r="BV167" i="25"/>
  <c r="BV168" i="25"/>
  <c r="BV169" i="25"/>
  <c r="BV170" i="25"/>
  <c r="BV267" i="25" s="1"/>
  <c r="BV171" i="25"/>
  <c r="BV268" i="25" s="1"/>
  <c r="AL367" i="25" s="1"/>
  <c r="W24" i="29" s="1"/>
  <c r="BV172" i="25"/>
  <c r="BV269" i="25" s="1"/>
  <c r="AL369" i="25" s="1"/>
  <c r="W25" i="29" s="1"/>
  <c r="BV174" i="25"/>
  <c r="BV175" i="25"/>
  <c r="BV176" i="25"/>
  <c r="BV177" i="25"/>
  <c r="BV178" i="25"/>
  <c r="BV179" i="25"/>
  <c r="BV180" i="25"/>
  <c r="BV181" i="25"/>
  <c r="BV278" i="25" s="1"/>
  <c r="BV182" i="25"/>
  <c r="BV279" i="25" s="1"/>
  <c r="BV183" i="25"/>
  <c r="BV184" i="25"/>
  <c r="BV185" i="25"/>
  <c r="BV186" i="25"/>
  <c r="BV187" i="25"/>
  <c r="BV188" i="25"/>
  <c r="BV189" i="25"/>
  <c r="BV190" i="25"/>
  <c r="BV191" i="25"/>
  <c r="BV192" i="25"/>
  <c r="BV193" i="25"/>
  <c r="BV194" i="25"/>
  <c r="BV195" i="25"/>
  <c r="BV196" i="25"/>
  <c r="BV197" i="25"/>
  <c r="BV198" i="25"/>
  <c r="BV199" i="25"/>
  <c r="BV200" i="25"/>
  <c r="BV201" i="25"/>
  <c r="BV202" i="25"/>
  <c r="BV203" i="25"/>
  <c r="BV206" i="25"/>
  <c r="BV211" i="25"/>
  <c r="BV212" i="25"/>
  <c r="BV207" i="25"/>
  <c r="BV210" i="25"/>
  <c r="BV215" i="25"/>
  <c r="BV204" i="25"/>
  <c r="BV213" i="25"/>
  <c r="BV214" i="25"/>
  <c r="BV205" i="25"/>
  <c r="BV209" i="25"/>
  <c r="BV123" i="25"/>
  <c r="BV208" i="25"/>
  <c r="BT262" i="25"/>
  <c r="BT293" i="25"/>
  <c r="AH347" i="25"/>
  <c r="BT274" i="25"/>
  <c r="AJ375" i="25" s="1"/>
  <c r="U29" i="29" s="1"/>
  <c r="BT289" i="25"/>
  <c r="BU244" i="25"/>
  <c r="BT294" i="25"/>
  <c r="BU221" i="25"/>
  <c r="BT310" i="25"/>
  <c r="BT246" i="25"/>
  <c r="AJ361" i="25" s="1"/>
  <c r="U20" i="29" s="1"/>
  <c r="BT261" i="25"/>
  <c r="BT228" i="25"/>
  <c r="BU235" i="25"/>
  <c r="BU245" i="25"/>
  <c r="BT224" i="25"/>
  <c r="BT256" i="25"/>
  <c r="BT285" i="25"/>
  <c r="BT229" i="25"/>
  <c r="BT259" i="25"/>
  <c r="BU271" i="25"/>
  <c r="AK373" i="25" s="1"/>
  <c r="V27" i="29" s="1"/>
  <c r="BT236" i="25"/>
  <c r="BU311" i="25"/>
  <c r="BU223" i="25"/>
  <c r="BT226" i="25"/>
  <c r="BT225" i="25"/>
  <c r="BT260" i="25"/>
  <c r="BT242" i="25"/>
  <c r="BU222" i="25"/>
  <c r="BT265" i="25"/>
  <c r="BU220" i="25"/>
  <c r="BU90" i="25"/>
  <c r="BU89" i="25"/>
  <c r="BU73" i="25"/>
  <c r="AA73" i="25" s="1"/>
  <c r="BU78" i="25"/>
  <c r="BU79" i="25"/>
  <c r="BU291" i="25" s="1"/>
  <c r="BU77" i="25"/>
  <c r="AA77" i="25" s="1"/>
  <c r="BU62" i="25"/>
  <c r="AA62" i="25" s="1"/>
  <c r="BU61" i="25"/>
  <c r="BU60" i="25"/>
  <c r="BU13" i="25"/>
  <c r="AA13" i="25" s="1"/>
  <c r="BU28" i="25"/>
  <c r="BU29" i="25"/>
  <c r="BU75" i="25"/>
  <c r="BU76" i="25"/>
  <c r="BU288" i="25" s="1"/>
  <c r="U114" i="21"/>
  <c r="BW58" i="25" s="1"/>
  <c r="BW270" i="25" s="1"/>
  <c r="AM371" i="25" s="1"/>
  <c r="X26" i="29" s="1"/>
  <c r="T136" i="21"/>
  <c r="BV11" i="25" s="1"/>
  <c r="T135" i="21"/>
  <c r="BV10" i="25" s="1"/>
  <c r="T168" i="21"/>
  <c r="T153" i="21"/>
  <c r="T169" i="21"/>
  <c r="T152" i="21"/>
  <c r="T161" i="21"/>
  <c r="BV33" i="25" s="1"/>
  <c r="T127" i="21"/>
  <c r="T154" i="21"/>
  <c r="T170" i="21"/>
  <c r="T141" i="21"/>
  <c r="T137" i="21"/>
  <c r="T155" i="21"/>
  <c r="T128" i="21"/>
  <c r="T125" i="21"/>
  <c r="BV42" i="25" s="1"/>
  <c r="T149" i="21"/>
  <c r="T126" i="21"/>
  <c r="T156" i="21"/>
  <c r="T123" i="21"/>
  <c r="T150" i="21"/>
  <c r="T147" i="21"/>
  <c r="T163" i="21"/>
  <c r="BV97" i="25" s="1"/>
  <c r="T148" i="21"/>
  <c r="T146" i="21"/>
  <c r="T130" i="21"/>
  <c r="T124" i="21"/>
  <c r="T143" i="21"/>
  <c r="BV23" i="25" s="1"/>
  <c r="T151" i="21"/>
  <c r="T129" i="21"/>
  <c r="T133" i="21"/>
  <c r="T158" i="21"/>
  <c r="BV8" i="25" s="1"/>
  <c r="T159" i="21"/>
  <c r="BV9" i="25" s="1"/>
  <c r="T138" i="21"/>
  <c r="T131" i="21"/>
  <c r="T120" i="21"/>
  <c r="T139" i="21"/>
  <c r="T157" i="21"/>
  <c r="T145" i="21"/>
  <c r="T121" i="21"/>
  <c r="T119" i="21"/>
  <c r="T164" i="21"/>
  <c r="T165" i="21"/>
  <c r="BV99" i="25" s="1"/>
  <c r="T140" i="21"/>
  <c r="T160" i="21"/>
  <c r="BV32" i="25" s="1"/>
  <c r="T162" i="21"/>
  <c r="BV59" i="25" s="1"/>
  <c r="T134" i="21"/>
  <c r="T142" i="21"/>
  <c r="T132" i="21"/>
  <c r="T144" i="21"/>
  <c r="T122" i="21"/>
  <c r="BU12" i="25"/>
  <c r="AA12" i="25" s="1"/>
  <c r="BU92" i="25"/>
  <c r="BU91" i="25"/>
  <c r="BU47" i="25"/>
  <c r="AA47" i="25" s="1"/>
  <c r="BU31" i="25"/>
  <c r="BU30" i="25"/>
  <c r="AA30" i="25" s="1"/>
  <c r="BU45" i="25"/>
  <c r="BU44" i="25"/>
  <c r="BU37" i="25"/>
  <c r="BU46" i="25"/>
  <c r="BU52" i="25"/>
  <c r="BU51" i="25"/>
  <c r="BU87" i="25"/>
  <c r="BU88" i="25"/>
  <c r="BU86" i="25"/>
  <c r="BU72" i="25"/>
  <c r="BU70" i="25"/>
  <c r="BU71" i="25"/>
  <c r="BU82" i="25"/>
  <c r="AA82" i="25" s="1"/>
  <c r="BU50" i="25"/>
  <c r="BU262" i="25" s="1"/>
  <c r="BU49" i="25"/>
  <c r="AA49" i="25" s="1"/>
  <c r="BU48" i="25"/>
  <c r="AA48" i="25" s="1"/>
  <c r="BU98" i="25"/>
  <c r="AA98" i="25" s="1"/>
  <c r="BU17" i="25"/>
  <c r="AA17" i="25" s="1"/>
  <c r="BU38" i="25"/>
  <c r="BU18" i="25"/>
  <c r="BU80" i="25"/>
  <c r="BU81" i="25"/>
  <c r="BU293" i="25" s="1"/>
  <c r="BU35" i="25"/>
  <c r="BU34" i="25"/>
  <c r="AA34" i="25" s="1"/>
  <c r="BU53" i="25"/>
  <c r="AA53" i="25" s="1"/>
  <c r="BU24" i="25"/>
  <c r="AA24" i="25" s="1"/>
  <c r="BU25" i="25"/>
  <c r="BU237" i="25" s="1"/>
  <c r="BU15" i="25"/>
  <c r="BU14" i="25"/>
  <c r="AA14" i="25" s="1"/>
  <c r="BU16" i="25"/>
  <c r="AA16" i="25" s="1"/>
  <c r="AJ355" i="25" l="1"/>
  <c r="U14" i="29" s="1"/>
  <c r="AJ379" i="25"/>
  <c r="U33" i="29" s="1"/>
  <c r="AA51" i="25"/>
  <c r="AA75" i="25"/>
  <c r="AA28" i="25"/>
  <c r="AJ376" i="25"/>
  <c r="U30" i="29" s="1"/>
  <c r="AJ378" i="25"/>
  <c r="U32" i="29" s="1"/>
  <c r="AA80" i="25"/>
  <c r="AJ374" i="25"/>
  <c r="U28" i="29" s="1"/>
  <c r="AA60" i="25"/>
  <c r="T371" i="25"/>
  <c r="S371" i="25"/>
  <c r="H26" i="29"/>
  <c r="AL371" i="25"/>
  <c r="R355" i="25"/>
  <c r="W22" i="25"/>
  <c r="BV68" i="25"/>
  <c r="BV280" i="25" s="1"/>
  <c r="BV69" i="25"/>
  <c r="BV281" i="25" s="1"/>
  <c r="X4" i="30"/>
  <c r="BW22" i="25"/>
  <c r="BW234" i="25" s="1"/>
  <c r="BV276" i="25"/>
  <c r="AK376" i="25"/>
  <c r="V30" i="29" s="1"/>
  <c r="AK356" i="25"/>
  <c r="V15" i="29" s="1"/>
  <c r="AK355" i="25"/>
  <c r="V14" i="29" s="1"/>
  <c r="BV296" i="25"/>
  <c r="BV231" i="25"/>
  <c r="BV255" i="25"/>
  <c r="BV311" i="25"/>
  <c r="T21" i="29"/>
  <c r="BV297" i="25"/>
  <c r="BV253" i="25"/>
  <c r="AK364" i="25"/>
  <c r="AA364" i="25" s="1"/>
  <c r="BV306" i="25"/>
  <c r="W21" i="25"/>
  <c r="BV286" i="25"/>
  <c r="W20" i="25"/>
  <c r="BV233" i="25"/>
  <c r="W19" i="25"/>
  <c r="AA367" i="25"/>
  <c r="BV275" i="25"/>
  <c r="V367" i="25"/>
  <c r="BV309" i="25"/>
  <c r="H25" i="29"/>
  <c r="AA369" i="25"/>
  <c r="V369" i="25"/>
  <c r="BV252" i="25"/>
  <c r="AJ362" i="25"/>
  <c r="AK353" i="25"/>
  <c r="AJ357" i="25"/>
  <c r="U16" i="29" s="1"/>
  <c r="AJ354" i="25"/>
  <c r="U13" i="29" s="1"/>
  <c r="BV305" i="25"/>
  <c r="BV277" i="25"/>
  <c r="BV232" i="25"/>
  <c r="AK359" i="25"/>
  <c r="BV312" i="25"/>
  <c r="BV239" i="25"/>
  <c r="BV238" i="25"/>
  <c r="AK358" i="25"/>
  <c r="BV295" i="25"/>
  <c r="BW20" i="25"/>
  <c r="BW21" i="25"/>
  <c r="BW19" i="25"/>
  <c r="BW65" i="25"/>
  <c r="BW85" i="25"/>
  <c r="BW27" i="25"/>
  <c r="BW64" i="25"/>
  <c r="BW26" i="25"/>
  <c r="BW83" i="25"/>
  <c r="BW40" i="25"/>
  <c r="BW41" i="25"/>
  <c r="BW84" i="25"/>
  <c r="BW74" i="25"/>
  <c r="BW93" i="25"/>
  <c r="BW96" i="25"/>
  <c r="BW94" i="25"/>
  <c r="BW95" i="25"/>
  <c r="BW43" i="25"/>
  <c r="BW100" i="25"/>
  <c r="AJ363" i="25"/>
  <c r="BV245" i="25"/>
  <c r="AL359" i="25" s="1"/>
  <c r="W18" i="29" s="1"/>
  <c r="BV244" i="25"/>
  <c r="AL358" i="25" s="1"/>
  <c r="W17" i="29" s="1"/>
  <c r="BV235" i="25"/>
  <c r="BV221" i="25"/>
  <c r="BV271" i="25"/>
  <c r="AL373" i="25" s="1"/>
  <c r="W27" i="29" s="1"/>
  <c r="BV222" i="25"/>
  <c r="R12" i="1"/>
  <c r="BW131" i="25"/>
  <c r="BW133" i="25"/>
  <c r="BW134" i="25"/>
  <c r="BW135" i="25"/>
  <c r="BW136" i="25"/>
  <c r="BW138" i="25"/>
  <c r="BW139" i="25"/>
  <c r="BW140" i="25"/>
  <c r="BW141" i="25"/>
  <c r="BW142" i="25"/>
  <c r="BW157" i="25"/>
  <c r="BW158" i="25"/>
  <c r="BW159" i="25"/>
  <c r="BW160" i="25"/>
  <c r="BW161" i="25"/>
  <c r="BW162" i="25"/>
  <c r="BW163" i="25"/>
  <c r="BW164" i="25"/>
  <c r="BW165" i="25"/>
  <c r="BW166" i="25"/>
  <c r="BW167" i="25"/>
  <c r="BW168" i="25"/>
  <c r="BW169" i="25"/>
  <c r="BW170" i="25"/>
  <c r="BW267" i="25" s="1"/>
  <c r="BW171" i="25"/>
  <c r="BW268" i="25" s="1"/>
  <c r="AM367" i="25" s="1"/>
  <c r="X24" i="29" s="1"/>
  <c r="BW172" i="25"/>
  <c r="BW269" i="25" s="1"/>
  <c r="AM369" i="25" s="1"/>
  <c r="X25" i="29" s="1"/>
  <c r="BW174" i="25"/>
  <c r="BW175" i="25"/>
  <c r="BW176" i="25"/>
  <c r="BW177" i="25"/>
  <c r="BW179" i="25"/>
  <c r="BW180" i="25"/>
  <c r="BW181" i="25"/>
  <c r="BW278" i="25" s="1"/>
  <c r="BW182" i="25"/>
  <c r="BW279" i="25" s="1"/>
  <c r="BW125" i="25"/>
  <c r="BW127" i="25"/>
  <c r="BW129" i="25"/>
  <c r="BW143" i="25"/>
  <c r="BW144" i="25"/>
  <c r="BW145" i="25"/>
  <c r="BW146" i="25"/>
  <c r="BW147" i="25"/>
  <c r="BW148" i="25"/>
  <c r="BW149" i="25"/>
  <c r="BW150" i="25"/>
  <c r="BW151" i="25"/>
  <c r="BW248" i="25" s="1"/>
  <c r="BW152" i="25"/>
  <c r="BW154" i="25"/>
  <c r="BW251" i="25" s="1"/>
  <c r="BW156" i="25"/>
  <c r="BW132" i="25"/>
  <c r="BW183" i="25"/>
  <c r="BW184" i="25"/>
  <c r="BW185" i="25"/>
  <c r="BW186" i="25"/>
  <c r="BW187" i="25"/>
  <c r="BW188" i="25"/>
  <c r="BW189" i="25"/>
  <c r="BW190" i="25"/>
  <c r="BW191" i="25"/>
  <c r="BW192" i="25"/>
  <c r="BW193" i="25"/>
  <c r="BW194" i="25"/>
  <c r="BW195" i="25"/>
  <c r="BW196" i="25"/>
  <c r="BW197" i="25"/>
  <c r="BW198" i="25"/>
  <c r="BW199" i="25"/>
  <c r="BW200" i="25"/>
  <c r="BW201" i="25"/>
  <c r="BW126" i="25"/>
  <c r="BW153" i="25"/>
  <c r="BW123" i="25"/>
  <c r="BW205" i="25"/>
  <c r="BW212" i="25"/>
  <c r="BW128" i="25"/>
  <c r="BW130" i="25"/>
  <c r="BW211" i="25"/>
  <c r="BW209" i="25"/>
  <c r="BW214" i="25"/>
  <c r="BW215" i="25"/>
  <c r="BW124" i="25"/>
  <c r="BW155" i="25"/>
  <c r="BW204" i="25"/>
  <c r="BW206" i="25"/>
  <c r="BW207" i="25"/>
  <c r="BW208" i="25"/>
  <c r="BW210" i="25"/>
  <c r="BW213" i="25"/>
  <c r="BW202" i="25"/>
  <c r="BW203" i="25"/>
  <c r="BV223" i="25"/>
  <c r="BV216" i="25"/>
  <c r="BU273" i="25"/>
  <c r="AA61" i="25"/>
  <c r="BU247" i="25"/>
  <c r="AA35" i="25"/>
  <c r="BU299" i="25"/>
  <c r="AA87" i="25"/>
  <c r="BU257" i="25"/>
  <c r="BU227" i="25"/>
  <c r="AA15" i="25"/>
  <c r="AA81" i="25"/>
  <c r="BU283" i="25"/>
  <c r="BU304" i="25"/>
  <c r="AA92" i="25"/>
  <c r="BU243" i="25"/>
  <c r="AA31" i="25"/>
  <c r="AA79" i="25"/>
  <c r="BU302" i="25"/>
  <c r="BU303" i="25"/>
  <c r="AA91" i="25"/>
  <c r="BU264" i="25"/>
  <c r="AA52" i="25"/>
  <c r="AA50" i="25"/>
  <c r="BU230" i="25"/>
  <c r="AA18" i="25"/>
  <c r="BU290" i="25"/>
  <c r="AA78" i="25"/>
  <c r="BU284" i="25"/>
  <c r="BU281" i="25"/>
  <c r="BU266" i="25"/>
  <c r="BU258" i="25"/>
  <c r="BU298" i="25"/>
  <c r="AA86" i="25"/>
  <c r="BU249" i="25"/>
  <c r="AA37" i="25"/>
  <c r="AA76" i="25"/>
  <c r="BU250" i="25"/>
  <c r="AA38" i="25"/>
  <c r="BU254" i="25"/>
  <c r="AA42" i="25"/>
  <c r="BU300" i="25"/>
  <c r="AA88" i="25"/>
  <c r="BU241" i="25"/>
  <c r="AA29" i="25"/>
  <c r="BU301" i="25"/>
  <c r="AA89" i="25"/>
  <c r="AA25" i="25"/>
  <c r="V323" i="25"/>
  <c r="V322" i="25"/>
  <c r="AI347" i="25"/>
  <c r="BU260" i="25"/>
  <c r="BU280" i="25"/>
  <c r="BU274" i="25"/>
  <c r="BU285" i="25"/>
  <c r="V337" i="25"/>
  <c r="BU228" i="25"/>
  <c r="BU287" i="25"/>
  <c r="BU289" i="25"/>
  <c r="BU292" i="25"/>
  <c r="BU265" i="25"/>
  <c r="BU261" i="25"/>
  <c r="BU256" i="25"/>
  <c r="BU259" i="25"/>
  <c r="BU226" i="25"/>
  <c r="BU240" i="25"/>
  <c r="BU236" i="25"/>
  <c r="BU246" i="25"/>
  <c r="BU294" i="25"/>
  <c r="AK378" i="25" s="1"/>
  <c r="V32" i="29" s="1"/>
  <c r="BU224" i="25"/>
  <c r="BU229" i="25"/>
  <c r="BU263" i="25"/>
  <c r="BU242" i="25"/>
  <c r="BU225" i="25"/>
  <c r="BU310" i="25"/>
  <c r="BU282" i="25"/>
  <c r="BU272" i="25"/>
  <c r="BV220" i="25"/>
  <c r="BV51" i="25"/>
  <c r="BV263" i="25" s="1"/>
  <c r="BV52" i="25"/>
  <c r="BV264" i="25" s="1"/>
  <c r="BV31" i="25"/>
  <c r="BV243" i="25" s="1"/>
  <c r="BV30" i="25"/>
  <c r="BV242" i="25" s="1"/>
  <c r="BV50" i="25"/>
  <c r="BV262" i="25" s="1"/>
  <c r="BV49" i="25"/>
  <c r="BV261" i="25" s="1"/>
  <c r="BV13" i="25"/>
  <c r="BV225" i="25" s="1"/>
  <c r="BV88" i="25"/>
  <c r="BV300" i="25" s="1"/>
  <c r="BV87" i="25"/>
  <c r="BV299" i="25" s="1"/>
  <c r="BV86" i="25"/>
  <c r="BV298" i="25" s="1"/>
  <c r="BV98" i="25"/>
  <c r="BV310" i="25" s="1"/>
  <c r="BV12" i="25"/>
  <c r="BV224" i="25" s="1"/>
  <c r="BV15" i="25"/>
  <c r="BV227" i="25" s="1"/>
  <c r="BV14" i="25"/>
  <c r="BV226" i="25" s="1"/>
  <c r="BV46" i="25"/>
  <c r="BV258" i="25" s="1"/>
  <c r="BV37" i="25"/>
  <c r="BV249" i="25" s="1"/>
  <c r="BV44" i="25"/>
  <c r="BV256" i="25" s="1"/>
  <c r="BV45" i="25"/>
  <c r="BV257" i="25" s="1"/>
  <c r="BV77" i="25"/>
  <c r="BV289" i="25" s="1"/>
  <c r="BV79" i="25"/>
  <c r="BV291" i="25" s="1"/>
  <c r="BV78" i="25"/>
  <c r="BV290" i="25" s="1"/>
  <c r="V114" i="21"/>
  <c r="BX58" i="25" s="1"/>
  <c r="BX270" i="25" s="1"/>
  <c r="AN371" i="25" s="1"/>
  <c r="Y26" i="29" s="1"/>
  <c r="U136" i="21"/>
  <c r="U135" i="21"/>
  <c r="BW10" i="25" s="1"/>
  <c r="U127" i="21"/>
  <c r="U153" i="21"/>
  <c r="U169" i="21"/>
  <c r="U170" i="21"/>
  <c r="U168" i="21"/>
  <c r="U152" i="21"/>
  <c r="U154" i="21"/>
  <c r="U137" i="21"/>
  <c r="U132" i="21"/>
  <c r="U120" i="21"/>
  <c r="U150" i="21"/>
  <c r="U124" i="21"/>
  <c r="U128" i="21"/>
  <c r="U126" i="21"/>
  <c r="U140" i="21"/>
  <c r="U149" i="21"/>
  <c r="U160" i="21"/>
  <c r="BW32" i="25" s="1"/>
  <c r="U151" i="21"/>
  <c r="U125" i="21"/>
  <c r="BW42" i="25" s="1"/>
  <c r="U130" i="21"/>
  <c r="U157" i="21"/>
  <c r="U165" i="21"/>
  <c r="BW99" i="25" s="1"/>
  <c r="U129" i="21"/>
  <c r="U121" i="21"/>
  <c r="U155" i="21"/>
  <c r="U134" i="21"/>
  <c r="U164" i="21"/>
  <c r="U133" i="21"/>
  <c r="U119" i="21"/>
  <c r="U123" i="21"/>
  <c r="U146" i="21"/>
  <c r="U147" i="21"/>
  <c r="U141" i="21"/>
  <c r="U144" i="21"/>
  <c r="U138" i="21"/>
  <c r="U162" i="21"/>
  <c r="BW59" i="25" s="1"/>
  <c r="U145" i="21"/>
  <c r="U139" i="21"/>
  <c r="U158" i="21"/>
  <c r="BW8" i="25" s="1"/>
  <c r="U142" i="21"/>
  <c r="U131" i="21"/>
  <c r="U159" i="21"/>
  <c r="BW9" i="25" s="1"/>
  <c r="U148" i="21"/>
  <c r="U143" i="21"/>
  <c r="BW23" i="25" s="1"/>
  <c r="U163" i="21"/>
  <c r="BW97" i="25" s="1"/>
  <c r="U161" i="21"/>
  <c r="BW33" i="25" s="1"/>
  <c r="U156" i="21"/>
  <c r="U122" i="21"/>
  <c r="BV29" i="25"/>
  <c r="BV241" i="25" s="1"/>
  <c r="BV28" i="25"/>
  <c r="BV240" i="25" s="1"/>
  <c r="BV25" i="25"/>
  <c r="BV237" i="25" s="1"/>
  <c r="BV24" i="25"/>
  <c r="BV236" i="25" s="1"/>
  <c r="BV48" i="25"/>
  <c r="BV260" i="25" s="1"/>
  <c r="BV75" i="25"/>
  <c r="BV287" i="25" s="1"/>
  <c r="BV76" i="25"/>
  <c r="BV288" i="25" s="1"/>
  <c r="BV53" i="25"/>
  <c r="BV265" i="25" s="1"/>
  <c r="BV266" i="25"/>
  <c r="BV254" i="25"/>
  <c r="BV47" i="25"/>
  <c r="BV259" i="25" s="1"/>
  <c r="BV38" i="25"/>
  <c r="BV250" i="25" s="1"/>
  <c r="BV17" i="25"/>
  <c r="BV229" i="25" s="1"/>
  <c r="BV18" i="25"/>
  <c r="BV230" i="25" s="1"/>
  <c r="BV62" i="25"/>
  <c r="BV274" i="25" s="1"/>
  <c r="AL375" i="25" s="1"/>
  <c r="W29" i="29" s="1"/>
  <c r="BV60" i="25"/>
  <c r="BV272" i="25" s="1"/>
  <c r="BV61" i="25"/>
  <c r="BV273" i="25" s="1"/>
  <c r="BV16" i="25"/>
  <c r="BV228" i="25" s="1"/>
  <c r="BV34" i="25"/>
  <c r="BV246" i="25" s="1"/>
  <c r="BV35" i="25"/>
  <c r="BV247" i="25" s="1"/>
  <c r="BV82" i="25"/>
  <c r="BV294" i="25" s="1"/>
  <c r="BV91" i="25"/>
  <c r="BV303" i="25" s="1"/>
  <c r="BV92" i="25"/>
  <c r="BV304" i="25" s="1"/>
  <c r="BV73" i="25"/>
  <c r="BV285" i="25" s="1"/>
  <c r="BV89" i="25"/>
  <c r="BV301" i="25" s="1"/>
  <c r="BV90" i="25"/>
  <c r="BV302" i="25" s="1"/>
  <c r="BV70" i="25"/>
  <c r="BV282" i="25" s="1"/>
  <c r="BV71" i="25"/>
  <c r="BV283" i="25" s="1"/>
  <c r="BV72" i="25"/>
  <c r="BV284" i="25" s="1"/>
  <c r="BV81" i="25"/>
  <c r="BV293" i="25" s="1"/>
  <c r="BV80" i="25"/>
  <c r="BV292" i="25" s="1"/>
  <c r="W26" i="29" l="1"/>
  <c r="D371" i="25"/>
  <c r="E371" i="25" s="1"/>
  <c r="BW68" i="25"/>
  <c r="BW280" i="25" s="1"/>
  <c r="BW69" i="25"/>
  <c r="BW281" i="25" s="1"/>
  <c r="Y4" i="30"/>
  <c r="BX22" i="25"/>
  <c r="BX234" i="25" s="1"/>
  <c r="D369" i="25"/>
  <c r="E369" i="25" s="1"/>
  <c r="BW295" i="25"/>
  <c r="AL364" i="25"/>
  <c r="W22" i="29" s="1"/>
  <c r="BW305" i="25"/>
  <c r="BW239" i="25"/>
  <c r="BW306" i="25"/>
  <c r="AL376" i="25"/>
  <c r="W30" i="29" s="1"/>
  <c r="BW238" i="25"/>
  <c r="BW244" i="25"/>
  <c r="AM358" i="25" s="1"/>
  <c r="X17" i="29" s="1"/>
  <c r="AK374" i="25"/>
  <c r="V28" i="29" s="1"/>
  <c r="H28" i="29" s="1"/>
  <c r="AL378" i="25"/>
  <c r="W32" i="29" s="1"/>
  <c r="AK379" i="25"/>
  <c r="V33" i="29" s="1"/>
  <c r="V353" i="25"/>
  <c r="Y8" i="25" s="1"/>
  <c r="V12" i="29"/>
  <c r="U21" i="29"/>
  <c r="V22" i="29"/>
  <c r="H22" i="29" s="1"/>
  <c r="V18" i="29"/>
  <c r="H18" i="29" s="1"/>
  <c r="V17" i="29"/>
  <c r="H17" i="29" s="1"/>
  <c r="AL379" i="25"/>
  <c r="W33" i="29" s="1"/>
  <c r="BW232" i="25"/>
  <c r="V364" i="25"/>
  <c r="Y40" i="25" s="1"/>
  <c r="BW308" i="25"/>
  <c r="AL355" i="25"/>
  <c r="W14" i="29" s="1"/>
  <c r="Y56" i="25"/>
  <c r="S367" i="25"/>
  <c r="T367" i="25"/>
  <c r="BW255" i="25"/>
  <c r="Y57" i="25"/>
  <c r="S369" i="25"/>
  <c r="T369" i="25"/>
  <c r="AA353" i="25"/>
  <c r="AK357" i="25"/>
  <c r="V16" i="29" s="1"/>
  <c r="AK354" i="25"/>
  <c r="V13" i="29" s="1"/>
  <c r="AL353" i="25"/>
  <c r="W12" i="29" s="1"/>
  <c r="AL365" i="25"/>
  <c r="W23" i="29" s="1"/>
  <c r="AK362" i="25"/>
  <c r="BW296" i="25"/>
  <c r="AL361" i="25"/>
  <c r="W20" i="29" s="1"/>
  <c r="AK381" i="25"/>
  <c r="V35" i="29" s="1"/>
  <c r="V358" i="25"/>
  <c r="Y32" i="25" s="1"/>
  <c r="AA358" i="25"/>
  <c r="V359" i="25"/>
  <c r="Y33" i="25" s="1"/>
  <c r="AA359" i="25"/>
  <c r="H32" i="29"/>
  <c r="BW231" i="25"/>
  <c r="BW297" i="25"/>
  <c r="BX20" i="25"/>
  <c r="BX19" i="25"/>
  <c r="BX21" i="25"/>
  <c r="BX27" i="25"/>
  <c r="BX83" i="25"/>
  <c r="BX41" i="25"/>
  <c r="BX26" i="25"/>
  <c r="BX74" i="25"/>
  <c r="BX84" i="25"/>
  <c r="BX65" i="25"/>
  <c r="BX85" i="25"/>
  <c r="BX64" i="25"/>
  <c r="BX40" i="25"/>
  <c r="BX93" i="25"/>
  <c r="BX96" i="25"/>
  <c r="BX94" i="25"/>
  <c r="BX95" i="25"/>
  <c r="BX43" i="25"/>
  <c r="BX100" i="25"/>
  <c r="AK377" i="25"/>
  <c r="V31" i="29" s="1"/>
  <c r="BW252" i="25"/>
  <c r="AL357" i="25"/>
  <c r="W16" i="29" s="1"/>
  <c r="AL356" i="25"/>
  <c r="W15" i="29" s="1"/>
  <c r="AK361" i="25"/>
  <c r="AL374" i="25"/>
  <c r="W28" i="29" s="1"/>
  <c r="AK365" i="25"/>
  <c r="V23" i="29" s="1"/>
  <c r="BW286" i="25"/>
  <c r="BW253" i="25"/>
  <c r="AL354" i="25"/>
  <c r="W13" i="29" s="1"/>
  <c r="AL363" i="25"/>
  <c r="AL381" i="25"/>
  <c r="W35" i="29" s="1"/>
  <c r="BW312" i="25"/>
  <c r="BW277" i="25"/>
  <c r="AK375" i="25"/>
  <c r="AL377" i="25"/>
  <c r="W31" i="29" s="1"/>
  <c r="AL362" i="25"/>
  <c r="AK363" i="25"/>
  <c r="BW307" i="25"/>
  <c r="BW276" i="25"/>
  <c r="BW233" i="25"/>
  <c r="L322" i="25"/>
  <c r="X32" i="25" s="1"/>
  <c r="U358" i="25"/>
  <c r="L323" i="25"/>
  <c r="X33" i="25" s="1"/>
  <c r="U359" i="25"/>
  <c r="L337" i="25"/>
  <c r="X59" i="25" s="1"/>
  <c r="U373" i="25"/>
  <c r="BW235" i="25"/>
  <c r="BW271" i="25"/>
  <c r="AM373" i="25" s="1"/>
  <c r="X27" i="29" s="1"/>
  <c r="BW221" i="25"/>
  <c r="S12" i="1"/>
  <c r="BX124" i="25"/>
  <c r="BX125" i="25"/>
  <c r="BX126" i="25"/>
  <c r="BX127" i="25"/>
  <c r="BX128" i="25"/>
  <c r="BX129" i="25"/>
  <c r="BX130" i="25"/>
  <c r="BX131" i="25"/>
  <c r="BX132" i="25"/>
  <c r="BX133" i="25"/>
  <c r="BX134" i="25"/>
  <c r="BX135" i="25"/>
  <c r="BX136" i="25"/>
  <c r="BX138" i="25"/>
  <c r="BX139" i="25"/>
  <c r="BX140" i="25"/>
  <c r="BX141" i="25"/>
  <c r="BX142" i="25"/>
  <c r="BX157" i="25"/>
  <c r="BX158" i="25"/>
  <c r="BX159" i="25"/>
  <c r="BX160" i="25"/>
  <c r="BX161" i="25"/>
  <c r="BX162" i="25"/>
  <c r="BX163" i="25"/>
  <c r="BX164" i="25"/>
  <c r="BX165" i="25"/>
  <c r="BX166" i="25"/>
  <c r="BX167" i="25"/>
  <c r="BX168" i="25"/>
  <c r="BX169" i="25"/>
  <c r="BX170" i="25"/>
  <c r="BX267" i="25" s="1"/>
  <c r="BX171" i="25"/>
  <c r="BX268" i="25" s="1"/>
  <c r="AN367" i="25" s="1"/>
  <c r="Y24" i="29" s="1"/>
  <c r="BX172" i="25"/>
  <c r="BX269" i="25" s="1"/>
  <c r="AN369" i="25" s="1"/>
  <c r="Y25" i="29" s="1"/>
  <c r="BX174" i="25"/>
  <c r="BX175" i="25"/>
  <c r="BX176" i="25"/>
  <c r="BX177" i="25"/>
  <c r="BX179" i="25"/>
  <c r="BX180" i="25"/>
  <c r="BX181" i="25"/>
  <c r="BX278" i="25" s="1"/>
  <c r="BX182" i="25"/>
  <c r="BX279" i="25" s="1"/>
  <c r="BX143" i="25"/>
  <c r="BX144" i="25"/>
  <c r="BX145" i="25"/>
  <c r="BX146" i="25"/>
  <c r="BX147" i="25"/>
  <c r="BX148" i="25"/>
  <c r="BX149" i="25"/>
  <c r="BX150" i="25"/>
  <c r="BX151" i="25"/>
  <c r="BX248" i="25" s="1"/>
  <c r="BX152" i="25"/>
  <c r="BX154" i="25"/>
  <c r="BX251" i="25" s="1"/>
  <c r="BX156" i="25"/>
  <c r="BX183" i="25"/>
  <c r="BX184" i="25"/>
  <c r="BX185" i="25"/>
  <c r="BX186" i="25"/>
  <c r="BX187" i="25"/>
  <c r="BX188" i="25"/>
  <c r="BX189" i="25"/>
  <c r="BX190" i="25"/>
  <c r="BX191" i="25"/>
  <c r="BX192" i="25"/>
  <c r="BX193" i="25"/>
  <c r="BX194" i="25"/>
  <c r="BX195" i="25"/>
  <c r="BX196" i="25"/>
  <c r="BX197" i="25"/>
  <c r="BX123" i="25"/>
  <c r="BX209" i="25"/>
  <c r="BX212" i="25"/>
  <c r="BX153" i="25"/>
  <c r="BX198" i="25"/>
  <c r="BX200" i="25"/>
  <c r="BX201" i="25"/>
  <c r="BX210" i="25"/>
  <c r="BX211" i="25"/>
  <c r="BX215" i="25"/>
  <c r="BX207" i="25"/>
  <c r="BX208" i="25"/>
  <c r="BX213" i="25"/>
  <c r="BX214" i="25"/>
  <c r="BX199" i="25"/>
  <c r="BX203" i="25"/>
  <c r="BX205" i="25"/>
  <c r="BX206" i="25"/>
  <c r="BX155" i="25"/>
  <c r="BX202" i="25"/>
  <c r="BX204" i="25"/>
  <c r="BW222" i="25"/>
  <c r="BW245" i="25"/>
  <c r="AM359" i="25" s="1"/>
  <c r="X18" i="29" s="1"/>
  <c r="BW311" i="25"/>
  <c r="BW309" i="25"/>
  <c r="BR59" i="25"/>
  <c r="V329" i="25"/>
  <c r="V326" i="25"/>
  <c r="V342" i="25"/>
  <c r="V317" i="25"/>
  <c r="AJ347" i="25"/>
  <c r="V345" i="25"/>
  <c r="V325" i="25"/>
  <c r="V339" i="25"/>
  <c r="V338" i="25"/>
  <c r="V346" i="25"/>
  <c r="BW220" i="25"/>
  <c r="BW52" i="25"/>
  <c r="BW264" i="25" s="1"/>
  <c r="BW51" i="25"/>
  <c r="BW263" i="25" s="1"/>
  <c r="BW91" i="25"/>
  <c r="BW303" i="25" s="1"/>
  <c r="BW92" i="25"/>
  <c r="BW304" i="25" s="1"/>
  <c r="BW16" i="25"/>
  <c r="BW228" i="25" s="1"/>
  <c r="BW12" i="25"/>
  <c r="BW224" i="25" s="1"/>
  <c r="BW75" i="25"/>
  <c r="BW287" i="25" s="1"/>
  <c r="BW76" i="25"/>
  <c r="BW288" i="25" s="1"/>
  <c r="BW98" i="25"/>
  <c r="BW310" i="25" s="1"/>
  <c r="BW53" i="25"/>
  <c r="BW265" i="25" s="1"/>
  <c r="BW266" i="25"/>
  <c r="BW254" i="25"/>
  <c r="BW80" i="25"/>
  <c r="BW292" i="25" s="1"/>
  <c r="BW81" i="25"/>
  <c r="BW293" i="25" s="1"/>
  <c r="BW62" i="25"/>
  <c r="BW274" i="25" s="1"/>
  <c r="AM375" i="25" s="1"/>
  <c r="X29" i="29" s="1"/>
  <c r="BW60" i="25"/>
  <c r="BW272" i="25" s="1"/>
  <c r="BW61" i="25"/>
  <c r="BW273" i="25" s="1"/>
  <c r="BW38" i="25"/>
  <c r="BW250" i="25" s="1"/>
  <c r="BW18" i="25"/>
  <c r="BW230" i="25" s="1"/>
  <c r="BW17" i="25"/>
  <c r="BW229" i="25" s="1"/>
  <c r="BW71" i="25"/>
  <c r="BW283" i="25" s="1"/>
  <c r="BW72" i="25"/>
  <c r="BW284" i="25" s="1"/>
  <c r="BW70" i="25"/>
  <c r="BW282" i="25" s="1"/>
  <c r="BW47" i="25"/>
  <c r="BW259" i="25" s="1"/>
  <c r="BW35" i="25"/>
  <c r="BW247" i="25" s="1"/>
  <c r="BW34" i="25"/>
  <c r="BW246" i="25" s="1"/>
  <c r="BW13" i="25"/>
  <c r="BW225" i="25" s="1"/>
  <c r="BW31" i="25"/>
  <c r="BW243" i="25" s="1"/>
  <c r="BW30" i="25"/>
  <c r="BW242" i="25" s="1"/>
  <c r="BW89" i="25"/>
  <c r="BW301" i="25" s="1"/>
  <c r="BW90" i="25"/>
  <c r="BW302" i="25" s="1"/>
  <c r="BW14" i="25"/>
  <c r="BW226" i="25" s="1"/>
  <c r="BW15" i="25"/>
  <c r="BW227" i="25" s="1"/>
  <c r="W114" i="21"/>
  <c r="BY58" i="25" s="1"/>
  <c r="BY270" i="25" s="1"/>
  <c r="AO371" i="25" s="1"/>
  <c r="Z26" i="29" s="1"/>
  <c r="V135" i="21"/>
  <c r="BX10" i="25" s="1"/>
  <c r="V136" i="21"/>
  <c r="V154" i="21"/>
  <c r="V168" i="21"/>
  <c r="V127" i="21"/>
  <c r="V170" i="21"/>
  <c r="V169" i="21"/>
  <c r="V152" i="21"/>
  <c r="V153" i="21"/>
  <c r="V138" i="21"/>
  <c r="V131" i="21"/>
  <c r="V150" i="21"/>
  <c r="V151" i="21"/>
  <c r="V160" i="21"/>
  <c r="BX32" i="25" s="1"/>
  <c r="V124" i="21"/>
  <c r="V137" i="21"/>
  <c r="V146" i="21"/>
  <c r="V142" i="21"/>
  <c r="V125" i="21"/>
  <c r="BX42" i="25" s="1"/>
  <c r="V126" i="21"/>
  <c r="V141" i="21"/>
  <c r="V148" i="21"/>
  <c r="V143" i="21"/>
  <c r="BX23" i="25" s="1"/>
  <c r="V161" i="21"/>
  <c r="BX33" i="25" s="1"/>
  <c r="V132" i="21"/>
  <c r="V123" i="21"/>
  <c r="V140" i="21"/>
  <c r="V120" i="21"/>
  <c r="V128" i="21"/>
  <c r="V121" i="21"/>
  <c r="V144" i="21"/>
  <c r="V155" i="21"/>
  <c r="V163" i="21"/>
  <c r="BX97" i="25" s="1"/>
  <c r="V149" i="21"/>
  <c r="V165" i="21"/>
  <c r="BX99" i="25" s="1"/>
  <c r="V158" i="21"/>
  <c r="BX8" i="25" s="1"/>
  <c r="V119" i="21"/>
  <c r="V157" i="21"/>
  <c r="V133" i="21"/>
  <c r="V159" i="21"/>
  <c r="BX9" i="25" s="1"/>
  <c r="V156" i="21"/>
  <c r="V145" i="21"/>
  <c r="V164" i="21"/>
  <c r="V134" i="21"/>
  <c r="V130" i="21"/>
  <c r="V129" i="21"/>
  <c r="V139" i="21"/>
  <c r="V147" i="21"/>
  <c r="V162" i="21"/>
  <c r="BX59" i="25" s="1"/>
  <c r="V122" i="21"/>
  <c r="BW45" i="25"/>
  <c r="BW257" i="25" s="1"/>
  <c r="BW46" i="25"/>
  <c r="BW258" i="25" s="1"/>
  <c r="BW37" i="25"/>
  <c r="BW249" i="25" s="1"/>
  <c r="BW44" i="25"/>
  <c r="BW256" i="25" s="1"/>
  <c r="BW50" i="25"/>
  <c r="BW262" i="25" s="1"/>
  <c r="BW49" i="25"/>
  <c r="BW261" i="25" s="1"/>
  <c r="BW24" i="25"/>
  <c r="BW236" i="25" s="1"/>
  <c r="BW25" i="25"/>
  <c r="BW237" i="25" s="1"/>
  <c r="BW73" i="25"/>
  <c r="BW285" i="25" s="1"/>
  <c r="BW48" i="25"/>
  <c r="BW260" i="25" s="1"/>
  <c r="BW79" i="25"/>
  <c r="BW291" i="25" s="1"/>
  <c r="BW78" i="25"/>
  <c r="BW290" i="25" s="1"/>
  <c r="BW77" i="25"/>
  <c r="BW289" i="25" s="1"/>
  <c r="BW87" i="25"/>
  <c r="BW299" i="25" s="1"/>
  <c r="BW88" i="25"/>
  <c r="BW300" i="25" s="1"/>
  <c r="BW86" i="25"/>
  <c r="BW298" i="25" s="1"/>
  <c r="BW28" i="25"/>
  <c r="BW240" i="25" s="1"/>
  <c r="BW29" i="25"/>
  <c r="BW241" i="25" s="1"/>
  <c r="BW82" i="25"/>
  <c r="BW294" i="25" s="1"/>
  <c r="M322" i="25" l="1"/>
  <c r="BX69" i="25"/>
  <c r="BX281" i="25" s="1"/>
  <c r="BX68" i="25"/>
  <c r="BX280" i="25" s="1"/>
  <c r="Z4" i="30"/>
  <c r="BY22" i="25"/>
  <c r="BY234" i="25" s="1"/>
  <c r="M323" i="25"/>
  <c r="W33" i="25" s="1"/>
  <c r="D358" i="25"/>
  <c r="E358" i="25" s="1"/>
  <c r="D378" i="25"/>
  <c r="D359" i="25"/>
  <c r="E359" i="25" s="1"/>
  <c r="D374" i="25"/>
  <c r="D364" i="25"/>
  <c r="E364" i="25" s="1"/>
  <c r="AM356" i="25"/>
  <c r="X15" i="29" s="1"/>
  <c r="AA374" i="25"/>
  <c r="V374" i="25"/>
  <c r="Y61" i="25" s="1"/>
  <c r="BX296" i="25"/>
  <c r="BX232" i="25"/>
  <c r="BX307" i="25"/>
  <c r="BX252" i="25"/>
  <c r="BX238" i="25"/>
  <c r="BX308" i="25"/>
  <c r="AM379" i="25"/>
  <c r="X33" i="29" s="1"/>
  <c r="AM378" i="25"/>
  <c r="X32" i="29" s="1"/>
  <c r="BX221" i="25"/>
  <c r="Y9" i="25"/>
  <c r="S364" i="25"/>
  <c r="V20" i="29"/>
  <c r="H20" i="29" s="1"/>
  <c r="V357" i="25"/>
  <c r="W21" i="29"/>
  <c r="V21" i="29"/>
  <c r="H21" i="29" s="1"/>
  <c r="Y41" i="25"/>
  <c r="T364" i="25"/>
  <c r="V29" i="29"/>
  <c r="H29" i="29" s="1"/>
  <c r="BX231" i="25"/>
  <c r="BX277" i="25"/>
  <c r="BX222" i="25"/>
  <c r="BX306" i="25"/>
  <c r="M337" i="25"/>
  <c r="W59" i="25" s="1"/>
  <c r="BX286" i="25"/>
  <c r="AA357" i="25"/>
  <c r="H16" i="29"/>
  <c r="AA362" i="25"/>
  <c r="AA381" i="25"/>
  <c r="H35" i="29"/>
  <c r="H12" i="29"/>
  <c r="V381" i="25"/>
  <c r="Y38" i="25" s="1"/>
  <c r="V362" i="25"/>
  <c r="Y42" i="25" s="1"/>
  <c r="AM365" i="25"/>
  <c r="X23" i="29" s="1"/>
  <c r="AM381" i="25"/>
  <c r="X35" i="29" s="1"/>
  <c r="BX255" i="25"/>
  <c r="AM380" i="25"/>
  <c r="X34" i="29" s="1"/>
  <c r="V375" i="25"/>
  <c r="Y62" i="25" s="1"/>
  <c r="AA375" i="25"/>
  <c r="AM363" i="25"/>
  <c r="V363" i="25"/>
  <c r="AA363" i="25"/>
  <c r="V361" i="25"/>
  <c r="Y34" i="25" s="1"/>
  <c r="AA361" i="25"/>
  <c r="AM353" i="25"/>
  <c r="X12" i="29" s="1"/>
  <c r="BX297" i="25"/>
  <c r="BX239" i="25"/>
  <c r="BX295" i="25"/>
  <c r="BX233" i="25"/>
  <c r="AM364" i="25"/>
  <c r="X22" i="29" s="1"/>
  <c r="V378" i="25"/>
  <c r="Y100" i="25" s="1"/>
  <c r="AA378" i="25"/>
  <c r="AM355" i="25"/>
  <c r="X14" i="29" s="1"/>
  <c r="BY20" i="25"/>
  <c r="BY19" i="25"/>
  <c r="BY21" i="25"/>
  <c r="BY26" i="25"/>
  <c r="BY65" i="25"/>
  <c r="BY84" i="25"/>
  <c r="BY93" i="25"/>
  <c r="BY74" i="25"/>
  <c r="BY64" i="25"/>
  <c r="BY41" i="25"/>
  <c r="BY27" i="25"/>
  <c r="BY83" i="25"/>
  <c r="BY40" i="25"/>
  <c r="BY100" i="25"/>
  <c r="BY96" i="25"/>
  <c r="BY95" i="25"/>
  <c r="BY94" i="25"/>
  <c r="BY63" i="25"/>
  <c r="BY43" i="25"/>
  <c r="BX312" i="25"/>
  <c r="BX276" i="25"/>
  <c r="AM374" i="25"/>
  <c r="X28" i="29" s="1"/>
  <c r="AM362" i="25"/>
  <c r="BX253" i="25"/>
  <c r="AM357" i="25"/>
  <c r="X16" i="29" s="1"/>
  <c r="BX305" i="25"/>
  <c r="AM377" i="25"/>
  <c r="X31" i="29" s="1"/>
  <c r="AM361" i="25"/>
  <c r="X20" i="29" s="1"/>
  <c r="L345" i="25"/>
  <c r="X94" i="25" s="1"/>
  <c r="U380" i="25"/>
  <c r="L317" i="25"/>
  <c r="X9" i="25" s="1"/>
  <c r="U353" i="25"/>
  <c r="L342" i="25"/>
  <c r="X100" i="25" s="1"/>
  <c r="U378" i="25"/>
  <c r="L346" i="25"/>
  <c r="X38" i="25" s="1"/>
  <c r="L326" i="25"/>
  <c r="M326" i="25" s="1"/>
  <c r="R362" i="25" s="1"/>
  <c r="U362" i="25"/>
  <c r="S359" i="25"/>
  <c r="T359" i="25"/>
  <c r="L338" i="25"/>
  <c r="M338" i="25" s="1"/>
  <c r="U374" i="25"/>
  <c r="L329" i="25"/>
  <c r="X43" i="25" s="1"/>
  <c r="U365" i="25"/>
  <c r="L339" i="25"/>
  <c r="X62" i="25" s="1"/>
  <c r="U375" i="25"/>
  <c r="S358" i="25"/>
  <c r="T358" i="25"/>
  <c r="L325" i="25"/>
  <c r="M325" i="25" s="1"/>
  <c r="U361" i="25"/>
  <c r="BX271" i="25"/>
  <c r="AN373" i="25" s="1"/>
  <c r="Y27" i="29" s="1"/>
  <c r="BX235" i="25"/>
  <c r="BX244" i="25"/>
  <c r="AN358" i="25" s="1"/>
  <c r="Y17" i="29" s="1"/>
  <c r="BX311" i="25"/>
  <c r="BX309" i="25"/>
  <c r="BX245" i="25"/>
  <c r="AN359" i="25" s="1"/>
  <c r="Y18" i="29" s="1"/>
  <c r="T12" i="1"/>
  <c r="BY124" i="25"/>
  <c r="BY125" i="25"/>
  <c r="BY126" i="25"/>
  <c r="BY127" i="25"/>
  <c r="BY128" i="25"/>
  <c r="BY129" i="25"/>
  <c r="BY130" i="25"/>
  <c r="BY131" i="25"/>
  <c r="BY132" i="25"/>
  <c r="BY133" i="25"/>
  <c r="BY134" i="25"/>
  <c r="BY135" i="25"/>
  <c r="BY136" i="25"/>
  <c r="BY138" i="25"/>
  <c r="BY139" i="25"/>
  <c r="BY140" i="25"/>
  <c r="BY141" i="25"/>
  <c r="BY142" i="25"/>
  <c r="BY157" i="25"/>
  <c r="BY158" i="25"/>
  <c r="BY159" i="25"/>
  <c r="BY160" i="25"/>
  <c r="BY161" i="25"/>
  <c r="BY162" i="25"/>
  <c r="BY164" i="25"/>
  <c r="BY165" i="25"/>
  <c r="BY166" i="25"/>
  <c r="BY167" i="25"/>
  <c r="BY168" i="25"/>
  <c r="BY169" i="25"/>
  <c r="BY170" i="25"/>
  <c r="BY267" i="25" s="1"/>
  <c r="BY171" i="25"/>
  <c r="BY268" i="25" s="1"/>
  <c r="AO367" i="25" s="1"/>
  <c r="Z24" i="29" s="1"/>
  <c r="BY172" i="25"/>
  <c r="BY269" i="25" s="1"/>
  <c r="AO369" i="25" s="1"/>
  <c r="Z25" i="29" s="1"/>
  <c r="BY174" i="25"/>
  <c r="BY175" i="25"/>
  <c r="BY176" i="25"/>
  <c r="BY177" i="25"/>
  <c r="BY178" i="25"/>
  <c r="BY179" i="25"/>
  <c r="BY180" i="25"/>
  <c r="BY181" i="25"/>
  <c r="BY278" i="25" s="1"/>
  <c r="BY182" i="25"/>
  <c r="BY279" i="25" s="1"/>
  <c r="BY143" i="25"/>
  <c r="BY144" i="25"/>
  <c r="BY145" i="25"/>
  <c r="BY146" i="25"/>
  <c r="BY147" i="25"/>
  <c r="BY148" i="25"/>
  <c r="BY149" i="25"/>
  <c r="BY150" i="25"/>
  <c r="BY151" i="25"/>
  <c r="BY248" i="25" s="1"/>
  <c r="BY152" i="25"/>
  <c r="BY154" i="25"/>
  <c r="BY251" i="25" s="1"/>
  <c r="BY156" i="25"/>
  <c r="BY155" i="25"/>
  <c r="BY153" i="25"/>
  <c r="BY204" i="25"/>
  <c r="BY205" i="25"/>
  <c r="BY206" i="25"/>
  <c r="BY207" i="25"/>
  <c r="BY208" i="25"/>
  <c r="BY209" i="25"/>
  <c r="BY210" i="25"/>
  <c r="BY211" i="25"/>
  <c r="BY212" i="25"/>
  <c r="BY213" i="25"/>
  <c r="BY214" i="25"/>
  <c r="BY215" i="25"/>
  <c r="BY183" i="25"/>
  <c r="BY187" i="25"/>
  <c r="BY189" i="25"/>
  <c r="BY191" i="25"/>
  <c r="BY193" i="25"/>
  <c r="BY195" i="25"/>
  <c r="BY197" i="25"/>
  <c r="BY199" i="25"/>
  <c r="BY123" i="25"/>
  <c r="BY184" i="25"/>
  <c r="BY188" i="25"/>
  <c r="BY190" i="25"/>
  <c r="BY192" i="25"/>
  <c r="BY194" i="25"/>
  <c r="BY196" i="25"/>
  <c r="BY201" i="25"/>
  <c r="BY198" i="25"/>
  <c r="BY200" i="25"/>
  <c r="BY202" i="25"/>
  <c r="BY203" i="25"/>
  <c r="W32" i="25"/>
  <c r="R358" i="25"/>
  <c r="BN59" i="25"/>
  <c r="BR271" i="25"/>
  <c r="AH373" i="25" s="1"/>
  <c r="S27" i="29" s="1"/>
  <c r="BT59" i="25"/>
  <c r="BS59" i="25"/>
  <c r="V318" i="25"/>
  <c r="V327" i="25"/>
  <c r="V343" i="25"/>
  <c r="V341" i="25"/>
  <c r="AK347" i="25"/>
  <c r="V321" i="25"/>
  <c r="AL347" i="25"/>
  <c r="BX220" i="25"/>
  <c r="BX73" i="25"/>
  <c r="BX285" i="25" s="1"/>
  <c r="BX89" i="25"/>
  <c r="BX301" i="25" s="1"/>
  <c r="BX90" i="25"/>
  <c r="BX302" i="25" s="1"/>
  <c r="X114" i="21"/>
  <c r="BZ58" i="25" s="1"/>
  <c r="BZ270" i="25" s="1"/>
  <c r="AP371" i="25" s="1"/>
  <c r="AA26" i="29" s="1"/>
  <c r="W135" i="21"/>
  <c r="BY10" i="25" s="1"/>
  <c r="W136" i="21"/>
  <c r="W168" i="21"/>
  <c r="W154" i="21"/>
  <c r="W159" i="21"/>
  <c r="BY9" i="25" s="1"/>
  <c r="W170" i="21"/>
  <c r="W153" i="21"/>
  <c r="W169" i="21"/>
  <c r="W152" i="21"/>
  <c r="W127" i="21"/>
  <c r="W149" i="21"/>
  <c r="W141" i="21"/>
  <c r="W128" i="21"/>
  <c r="W139" i="21"/>
  <c r="W142" i="21"/>
  <c r="W132" i="21"/>
  <c r="W123" i="21"/>
  <c r="W165" i="21"/>
  <c r="BY99" i="25" s="1"/>
  <c r="W137" i="21"/>
  <c r="W145" i="21"/>
  <c r="W157" i="21"/>
  <c r="W140" i="21"/>
  <c r="W147" i="21"/>
  <c r="W156" i="21"/>
  <c r="W146" i="21"/>
  <c r="W131" i="21"/>
  <c r="W144" i="21"/>
  <c r="W155" i="21"/>
  <c r="W160" i="21"/>
  <c r="BY32" i="25" s="1"/>
  <c r="W119" i="21"/>
  <c r="W148" i="21"/>
  <c r="W129" i="21"/>
  <c r="W162" i="21"/>
  <c r="BY59" i="25" s="1"/>
  <c r="W163" i="21"/>
  <c r="BY97" i="25" s="1"/>
  <c r="W161" i="21"/>
  <c r="BY33" i="25" s="1"/>
  <c r="W150" i="21"/>
  <c r="W143" i="21"/>
  <c r="BY23" i="25" s="1"/>
  <c r="W164" i="21"/>
  <c r="W151" i="21"/>
  <c r="W121" i="21"/>
  <c r="W130" i="21"/>
  <c r="W125" i="21"/>
  <c r="BY42" i="25" s="1"/>
  <c r="W134" i="21"/>
  <c r="W124" i="21"/>
  <c r="W138" i="21"/>
  <c r="W120" i="21"/>
  <c r="W133" i="21"/>
  <c r="W158" i="21"/>
  <c r="BY8" i="25" s="1"/>
  <c r="W126" i="21"/>
  <c r="W122" i="21"/>
  <c r="BX88" i="25"/>
  <c r="BX300" i="25" s="1"/>
  <c r="BX87" i="25"/>
  <c r="BX299" i="25" s="1"/>
  <c r="BX86" i="25"/>
  <c r="BX298" i="25" s="1"/>
  <c r="BX92" i="25"/>
  <c r="BX304" i="25" s="1"/>
  <c r="BX91" i="25"/>
  <c r="BX303" i="25" s="1"/>
  <c r="BX48" i="25"/>
  <c r="BX260" i="25" s="1"/>
  <c r="BX75" i="25"/>
  <c r="BX287" i="25" s="1"/>
  <c r="BX76" i="25"/>
  <c r="BX288" i="25" s="1"/>
  <c r="BX12" i="25"/>
  <c r="BX224" i="25" s="1"/>
  <c r="BX37" i="25"/>
  <c r="BX249" i="25" s="1"/>
  <c r="BX45" i="25"/>
  <c r="BX257" i="25" s="1"/>
  <c r="BX46" i="25"/>
  <c r="BX258" i="25" s="1"/>
  <c r="BX44" i="25"/>
  <c r="BX256" i="25" s="1"/>
  <c r="BX35" i="25"/>
  <c r="BX247" i="25" s="1"/>
  <c r="BX34" i="25"/>
  <c r="BX246" i="25" s="1"/>
  <c r="BX31" i="25"/>
  <c r="BX243" i="25" s="1"/>
  <c r="BX30" i="25"/>
  <c r="BX242" i="25" s="1"/>
  <c r="BX71" i="25"/>
  <c r="BX283" i="25" s="1"/>
  <c r="BX70" i="25"/>
  <c r="BX282" i="25" s="1"/>
  <c r="BX72" i="25"/>
  <c r="BX284" i="25" s="1"/>
  <c r="BX14" i="25"/>
  <c r="BX226" i="25" s="1"/>
  <c r="BX15" i="25"/>
  <c r="BX227" i="25" s="1"/>
  <c r="BX38" i="25"/>
  <c r="BX250" i="25" s="1"/>
  <c r="BX18" i="25"/>
  <c r="BX230" i="25" s="1"/>
  <c r="BX17" i="25"/>
  <c r="BX229" i="25" s="1"/>
  <c r="BX47" i="25"/>
  <c r="BX259" i="25" s="1"/>
  <c r="BX81" i="25"/>
  <c r="BX293" i="25" s="1"/>
  <c r="BX80" i="25"/>
  <c r="BX292" i="25" s="1"/>
  <c r="BX16" i="25"/>
  <c r="BX228" i="25" s="1"/>
  <c r="BX98" i="25"/>
  <c r="BX310" i="25" s="1"/>
  <c r="BX28" i="25"/>
  <c r="BX240" i="25" s="1"/>
  <c r="BX29" i="25"/>
  <c r="BX241" i="25" s="1"/>
  <c r="BX53" i="25"/>
  <c r="BX265" i="25" s="1"/>
  <c r="BX266" i="25"/>
  <c r="BX254" i="25"/>
  <c r="BX13" i="25"/>
  <c r="BX225" i="25" s="1"/>
  <c r="BX82" i="25"/>
  <c r="BX294" i="25" s="1"/>
  <c r="BX50" i="25"/>
  <c r="BX262" i="25" s="1"/>
  <c r="BX49" i="25"/>
  <c r="BX261" i="25" s="1"/>
  <c r="BX62" i="25"/>
  <c r="BX274" i="25" s="1"/>
  <c r="AN375" i="25" s="1"/>
  <c r="Y29" i="29" s="1"/>
  <c r="BX61" i="25"/>
  <c r="BX273" i="25" s="1"/>
  <c r="BX60" i="25"/>
  <c r="BX272" i="25" s="1"/>
  <c r="BX78" i="25"/>
  <c r="BX290" i="25" s="1"/>
  <c r="BX79" i="25"/>
  <c r="BX291" i="25" s="1"/>
  <c r="BX77" i="25"/>
  <c r="BX289" i="25" s="1"/>
  <c r="BX52" i="25"/>
  <c r="BX264" i="25" s="1"/>
  <c r="BX51" i="25"/>
  <c r="BX263" i="25" s="1"/>
  <c r="BX24" i="25"/>
  <c r="BX236" i="25" s="1"/>
  <c r="BX25" i="25"/>
  <c r="BX237" i="25" s="1"/>
  <c r="Y49" i="25" l="1"/>
  <c r="X37" i="25"/>
  <c r="X95" i="25"/>
  <c r="R373" i="25"/>
  <c r="X96" i="25"/>
  <c r="R359" i="25"/>
  <c r="BY68" i="25"/>
  <c r="BY280" i="25" s="1"/>
  <c r="BY69" i="25"/>
  <c r="BY281" i="25" s="1"/>
  <c r="BY295" i="25"/>
  <c r="X36" i="25"/>
  <c r="AA4" i="30"/>
  <c r="BZ22" i="25"/>
  <c r="BZ234" i="25" s="1"/>
  <c r="X60" i="25"/>
  <c r="X61" i="25"/>
  <c r="X8" i="25"/>
  <c r="M317" i="25"/>
  <c r="R353" i="25" s="1"/>
  <c r="X98" i="25"/>
  <c r="X97" i="25"/>
  <c r="M345" i="25"/>
  <c r="R380" i="25" s="1"/>
  <c r="X93" i="25"/>
  <c r="E378" i="25"/>
  <c r="X35" i="25"/>
  <c r="D361" i="25"/>
  <c r="E361" i="25" s="1"/>
  <c r="X34" i="25"/>
  <c r="D357" i="25"/>
  <c r="E357" i="25" s="1"/>
  <c r="D375" i="25"/>
  <c r="E375" i="25" s="1"/>
  <c r="E374" i="25"/>
  <c r="D381" i="25"/>
  <c r="E381" i="25" s="1"/>
  <c r="D353" i="25"/>
  <c r="E353" i="25" s="1"/>
  <c r="Y60" i="25"/>
  <c r="S374" i="25"/>
  <c r="BY305" i="25"/>
  <c r="BY296" i="25"/>
  <c r="BY312" i="25"/>
  <c r="AN361" i="25"/>
  <c r="Y20" i="29" s="1"/>
  <c r="BY238" i="25"/>
  <c r="AN356" i="25"/>
  <c r="Y15" i="29" s="1"/>
  <c r="AN364" i="25"/>
  <c r="Y22" i="29" s="1"/>
  <c r="AN353" i="25"/>
  <c r="Y12" i="29" s="1"/>
  <c r="AN355" i="25"/>
  <c r="Y14" i="29" s="1"/>
  <c r="Y36" i="25"/>
  <c r="X21" i="29"/>
  <c r="BY306" i="25"/>
  <c r="BY232" i="25"/>
  <c r="AN378" i="25"/>
  <c r="Y32" i="29" s="1"/>
  <c r="Y37" i="25"/>
  <c r="Y30" i="25"/>
  <c r="Y28" i="25"/>
  <c r="Y31" i="25"/>
  <c r="Y29" i="25"/>
  <c r="D362" i="25"/>
  <c r="E362" i="25" s="1"/>
  <c r="D363" i="25"/>
  <c r="E363" i="25" s="1"/>
  <c r="AN379" i="25"/>
  <c r="Y33" i="29" s="1"/>
  <c r="Y47" i="25"/>
  <c r="X99" i="25"/>
  <c r="X82" i="25"/>
  <c r="M342" i="25"/>
  <c r="R378" i="25" s="1"/>
  <c r="Y82" i="25"/>
  <c r="Y99" i="25"/>
  <c r="X48" i="25"/>
  <c r="X55" i="25"/>
  <c r="M339" i="25"/>
  <c r="X47" i="25"/>
  <c r="X39" i="25"/>
  <c r="S361" i="25"/>
  <c r="X42" i="25"/>
  <c r="AN362" i="25"/>
  <c r="Y53" i="25"/>
  <c r="S362" i="25"/>
  <c r="Y55" i="25"/>
  <c r="T362" i="25"/>
  <c r="Y39" i="25"/>
  <c r="Y48" i="25"/>
  <c r="AN365" i="25"/>
  <c r="Y23" i="29" s="1"/>
  <c r="Y52" i="25"/>
  <c r="T361" i="25"/>
  <c r="AN363" i="25"/>
  <c r="Y51" i="25"/>
  <c r="BY308" i="25"/>
  <c r="BY277" i="25"/>
  <c r="AN380" i="25"/>
  <c r="Y34" i="29" s="1"/>
  <c r="Y50" i="25"/>
  <c r="BY286" i="25"/>
  <c r="BY307" i="25"/>
  <c r="BY252" i="25"/>
  <c r="Y35" i="25"/>
  <c r="BY253" i="25"/>
  <c r="BY275" i="25"/>
  <c r="BY233" i="25"/>
  <c r="AN377" i="25"/>
  <c r="Y31" i="29" s="1"/>
  <c r="BY231" i="25"/>
  <c r="AN374" i="25"/>
  <c r="Y28" i="29" s="1"/>
  <c r="BZ19" i="25"/>
  <c r="BZ21" i="25"/>
  <c r="BZ20" i="25"/>
  <c r="BZ64" i="25"/>
  <c r="BZ40" i="25"/>
  <c r="BZ41" i="25"/>
  <c r="BZ93" i="25"/>
  <c r="BZ65" i="25"/>
  <c r="BZ74" i="25"/>
  <c r="BZ85" i="25"/>
  <c r="BZ100" i="25"/>
  <c r="BZ96" i="25"/>
  <c r="BZ95" i="25"/>
  <c r="BZ94" i="25"/>
  <c r="BZ63" i="25"/>
  <c r="BZ43" i="25"/>
  <c r="BY239" i="25"/>
  <c r="AN357" i="25"/>
  <c r="Y16" i="29" s="1"/>
  <c r="AN381" i="25"/>
  <c r="Y35" i="29" s="1"/>
  <c r="BY255" i="25"/>
  <c r="BY276" i="25"/>
  <c r="X46" i="25"/>
  <c r="X45" i="25"/>
  <c r="X44" i="25"/>
  <c r="X109" i="25" s="1"/>
  <c r="M329" i="25"/>
  <c r="R365" i="25" s="1"/>
  <c r="BY222" i="25"/>
  <c r="L318" i="25"/>
  <c r="X12" i="25" s="1"/>
  <c r="U354" i="25"/>
  <c r="S378" i="25"/>
  <c r="T378" i="25"/>
  <c r="L321" i="25"/>
  <c r="X23" i="25" s="1"/>
  <c r="U357" i="25"/>
  <c r="L327" i="25"/>
  <c r="X52" i="25" s="1"/>
  <c r="U363" i="25"/>
  <c r="T353" i="25"/>
  <c r="S353" i="25"/>
  <c r="L341" i="25"/>
  <c r="X77" i="25" s="1"/>
  <c r="U377" i="25"/>
  <c r="T374" i="25"/>
  <c r="S375" i="25"/>
  <c r="T375" i="25"/>
  <c r="L343" i="25"/>
  <c r="X89" i="25" s="1"/>
  <c r="U379" i="25"/>
  <c r="BY311" i="25"/>
  <c r="BY244" i="25"/>
  <c r="AO358" i="25" s="1"/>
  <c r="Z17" i="29" s="1"/>
  <c r="BY235" i="25"/>
  <c r="BY245" i="25"/>
  <c r="AO359" i="25" s="1"/>
  <c r="Z18" i="29" s="1"/>
  <c r="BY309" i="25"/>
  <c r="BY271" i="25"/>
  <c r="AO373" i="25" s="1"/>
  <c r="Z27" i="29" s="1"/>
  <c r="BY221" i="25"/>
  <c r="U12" i="1"/>
  <c r="BZ124" i="25"/>
  <c r="BZ125" i="25"/>
  <c r="BZ126" i="25"/>
  <c r="BZ127" i="25"/>
  <c r="BZ128" i="25"/>
  <c r="BZ129" i="25"/>
  <c r="BZ131" i="25"/>
  <c r="BZ133" i="25"/>
  <c r="BZ134" i="25"/>
  <c r="BZ135" i="25"/>
  <c r="BZ136" i="25"/>
  <c r="BZ138" i="25"/>
  <c r="BZ139" i="25"/>
  <c r="BZ140" i="25"/>
  <c r="BZ153" i="25"/>
  <c r="BZ155" i="25"/>
  <c r="BZ132" i="25"/>
  <c r="BZ157" i="25"/>
  <c r="BZ158" i="25"/>
  <c r="BZ159" i="25"/>
  <c r="BZ160" i="25"/>
  <c r="BZ161" i="25"/>
  <c r="BZ162" i="25"/>
  <c r="BZ163" i="25"/>
  <c r="BZ164" i="25"/>
  <c r="BZ165" i="25"/>
  <c r="BZ166" i="25"/>
  <c r="BZ167" i="25"/>
  <c r="BZ168" i="25"/>
  <c r="BZ169" i="25"/>
  <c r="BZ170" i="25"/>
  <c r="BZ267" i="25" s="1"/>
  <c r="BZ171" i="25"/>
  <c r="BZ268" i="25" s="1"/>
  <c r="AP367" i="25" s="1"/>
  <c r="AA24" i="29" s="1"/>
  <c r="BZ172" i="25"/>
  <c r="BZ269" i="25" s="1"/>
  <c r="AP369" i="25" s="1"/>
  <c r="AA25" i="29" s="1"/>
  <c r="BZ174" i="25"/>
  <c r="BZ175" i="25"/>
  <c r="BZ176" i="25"/>
  <c r="BZ177" i="25"/>
  <c r="BZ178" i="25"/>
  <c r="BZ179" i="25"/>
  <c r="BZ180" i="25"/>
  <c r="BZ181" i="25"/>
  <c r="BZ278" i="25" s="1"/>
  <c r="BZ182" i="25"/>
  <c r="BZ279" i="25" s="1"/>
  <c r="BZ143" i="25"/>
  <c r="BZ144" i="25"/>
  <c r="BZ145" i="25"/>
  <c r="BZ146" i="25"/>
  <c r="BZ147" i="25"/>
  <c r="BZ148" i="25"/>
  <c r="BZ149" i="25"/>
  <c r="BZ150" i="25"/>
  <c r="BZ151" i="25"/>
  <c r="BZ248" i="25" s="1"/>
  <c r="BZ152" i="25"/>
  <c r="BZ156" i="25"/>
  <c r="BZ130" i="25"/>
  <c r="BZ183" i="25"/>
  <c r="BZ184" i="25"/>
  <c r="BZ185" i="25"/>
  <c r="BZ186" i="25"/>
  <c r="BZ187" i="25"/>
  <c r="BZ188" i="25"/>
  <c r="BZ189" i="25"/>
  <c r="BZ190" i="25"/>
  <c r="BZ191" i="25"/>
  <c r="BZ192" i="25"/>
  <c r="BZ193" i="25"/>
  <c r="BZ194" i="25"/>
  <c r="BZ195" i="25"/>
  <c r="BZ196" i="25"/>
  <c r="BZ197" i="25"/>
  <c r="BZ201" i="25"/>
  <c r="BZ202" i="25"/>
  <c r="BZ203" i="25"/>
  <c r="BZ123" i="25"/>
  <c r="BZ154" i="25"/>
  <c r="BZ251" i="25" s="1"/>
  <c r="BZ204" i="25"/>
  <c r="BZ206" i="25"/>
  <c r="BZ207" i="25"/>
  <c r="BZ208" i="25"/>
  <c r="BZ209" i="25"/>
  <c r="BZ210" i="25"/>
  <c r="BZ211" i="25"/>
  <c r="BZ212" i="25"/>
  <c r="BZ213" i="25"/>
  <c r="BZ214" i="25"/>
  <c r="BZ215" i="25"/>
  <c r="BS271" i="25"/>
  <c r="AI373" i="25" s="1"/>
  <c r="T27" i="29" s="1"/>
  <c r="BN271" i="25"/>
  <c r="AD373" i="25" s="1"/>
  <c r="O27" i="29" s="1"/>
  <c r="BN5" i="25"/>
  <c r="BN103" i="25"/>
  <c r="BT271" i="25"/>
  <c r="AJ373" i="25" s="1"/>
  <c r="U27" i="29" s="1"/>
  <c r="BO59" i="25"/>
  <c r="X88" i="25"/>
  <c r="X50" i="25"/>
  <c r="X51" i="25"/>
  <c r="X49" i="25"/>
  <c r="X53" i="25"/>
  <c r="W48" i="25"/>
  <c r="W47" i="25"/>
  <c r="W55" i="25"/>
  <c r="W42" i="25"/>
  <c r="W39" i="25"/>
  <c r="W34" i="25"/>
  <c r="W35" i="25"/>
  <c r="W36" i="25"/>
  <c r="W37" i="25"/>
  <c r="W38" i="25"/>
  <c r="AK348" i="25"/>
  <c r="V347" i="25"/>
  <c r="AM347" i="25"/>
  <c r="BY220" i="25"/>
  <c r="BY49" i="25"/>
  <c r="BY261" i="25" s="1"/>
  <c r="BY50" i="25"/>
  <c r="BY262" i="25" s="1"/>
  <c r="BY254" i="25"/>
  <c r="BY266" i="25"/>
  <c r="BY53" i="25"/>
  <c r="BY265" i="25" s="1"/>
  <c r="BY13" i="25"/>
  <c r="BY225" i="25" s="1"/>
  <c r="BY12" i="25"/>
  <c r="BY224" i="25" s="1"/>
  <c r="BY51" i="25"/>
  <c r="BY263" i="25" s="1"/>
  <c r="BY52" i="25"/>
  <c r="BY264" i="25" s="1"/>
  <c r="BY86" i="25"/>
  <c r="BY298" i="25" s="1"/>
  <c r="BY88" i="25"/>
  <c r="BY300" i="25" s="1"/>
  <c r="BY87" i="25"/>
  <c r="BY299" i="25" s="1"/>
  <c r="BY16" i="25"/>
  <c r="BY228" i="25" s="1"/>
  <c r="BY76" i="25"/>
  <c r="BY288" i="25" s="1"/>
  <c r="BY75" i="25"/>
  <c r="BY287" i="25" s="1"/>
  <c r="BY73" i="25"/>
  <c r="BY285" i="25" s="1"/>
  <c r="BY47" i="25"/>
  <c r="BY259" i="25" s="1"/>
  <c r="BY98" i="25"/>
  <c r="BY310" i="25" s="1"/>
  <c r="BY37" i="25"/>
  <c r="BY249" i="25" s="1"/>
  <c r="BY46" i="25"/>
  <c r="BY258" i="25" s="1"/>
  <c r="BY44" i="25"/>
  <c r="BY256" i="25" s="1"/>
  <c r="BY45" i="25"/>
  <c r="BY257" i="25" s="1"/>
  <c r="BY29" i="25"/>
  <c r="BY241" i="25" s="1"/>
  <c r="BY28" i="25"/>
  <c r="BY240" i="25" s="1"/>
  <c r="Y114" i="21"/>
  <c r="CA58" i="25" s="1"/>
  <c r="CA270" i="25" s="1"/>
  <c r="AQ371" i="25" s="1"/>
  <c r="AB26" i="29" s="1"/>
  <c r="X135" i="21"/>
  <c r="BZ10" i="25" s="1"/>
  <c r="X136" i="21"/>
  <c r="BZ11" i="25" s="1"/>
  <c r="X169" i="21"/>
  <c r="X168" i="21"/>
  <c r="X152" i="21"/>
  <c r="X154" i="21"/>
  <c r="X127" i="21"/>
  <c r="X170" i="21"/>
  <c r="X153" i="21"/>
  <c r="X132" i="21"/>
  <c r="X120" i="21"/>
  <c r="X139" i="21"/>
  <c r="X140" i="21"/>
  <c r="X150" i="21"/>
  <c r="X129" i="21"/>
  <c r="X142" i="21"/>
  <c r="X123" i="21"/>
  <c r="X151" i="21"/>
  <c r="X137" i="21"/>
  <c r="X146" i="21"/>
  <c r="X164" i="21"/>
  <c r="X163" i="21"/>
  <c r="BZ97" i="25" s="1"/>
  <c r="X131" i="21"/>
  <c r="X119" i="21"/>
  <c r="X160" i="21"/>
  <c r="BZ32" i="25" s="1"/>
  <c r="X121" i="21"/>
  <c r="X143" i="21"/>
  <c r="BZ23" i="25" s="1"/>
  <c r="X147" i="21"/>
  <c r="X125" i="21"/>
  <c r="BZ42" i="25" s="1"/>
  <c r="X148" i="21"/>
  <c r="X165" i="21"/>
  <c r="BZ99" i="25" s="1"/>
  <c r="X133" i="21"/>
  <c r="X128" i="21"/>
  <c r="X126" i="21"/>
  <c r="X144" i="21"/>
  <c r="X141" i="21"/>
  <c r="X162" i="21"/>
  <c r="BZ59" i="25" s="1"/>
  <c r="X157" i="21"/>
  <c r="X130" i="21"/>
  <c r="X149" i="21"/>
  <c r="X156" i="21"/>
  <c r="X138" i="21"/>
  <c r="X155" i="21"/>
  <c r="X134" i="21"/>
  <c r="X159" i="21"/>
  <c r="BZ9" i="25" s="1"/>
  <c r="X145" i="21"/>
  <c r="X124" i="21"/>
  <c r="X158" i="21"/>
  <c r="BZ8" i="25" s="1"/>
  <c r="X161" i="21"/>
  <c r="BZ33" i="25" s="1"/>
  <c r="X122" i="21"/>
  <c r="BY92" i="25"/>
  <c r="BY304" i="25" s="1"/>
  <c r="BY91" i="25"/>
  <c r="BY303" i="25" s="1"/>
  <c r="BY34" i="25"/>
  <c r="BY246" i="25" s="1"/>
  <c r="BY35" i="25"/>
  <c r="BY247" i="25" s="1"/>
  <c r="BY14" i="25"/>
  <c r="BY226" i="25" s="1"/>
  <c r="BY15" i="25"/>
  <c r="BY227" i="25" s="1"/>
  <c r="BY72" i="25"/>
  <c r="BY284" i="25" s="1"/>
  <c r="BY25" i="25"/>
  <c r="BY237" i="25" s="1"/>
  <c r="BY24" i="25"/>
  <c r="BY236" i="25" s="1"/>
  <c r="BY81" i="25"/>
  <c r="BY293" i="25" s="1"/>
  <c r="BY80" i="25"/>
  <c r="BY292" i="25" s="1"/>
  <c r="BY90" i="25"/>
  <c r="BY302" i="25" s="1"/>
  <c r="BY89" i="25"/>
  <c r="BY301" i="25" s="1"/>
  <c r="BY62" i="25"/>
  <c r="BY274" i="25" s="1"/>
  <c r="AO375" i="25" s="1"/>
  <c r="Z29" i="29" s="1"/>
  <c r="BY60" i="25"/>
  <c r="BY272" i="25" s="1"/>
  <c r="BY61" i="25"/>
  <c r="BY273" i="25" s="1"/>
  <c r="BY31" i="25"/>
  <c r="BY243" i="25" s="1"/>
  <c r="BY30" i="25"/>
  <c r="BY242" i="25" s="1"/>
  <c r="BY82" i="25"/>
  <c r="BY294" i="25" s="1"/>
  <c r="BY18" i="25"/>
  <c r="BY230" i="25" s="1"/>
  <c r="BY38" i="25"/>
  <c r="BY250" i="25" s="1"/>
  <c r="BY17" i="25"/>
  <c r="BY229" i="25" s="1"/>
  <c r="BY77" i="25"/>
  <c r="BY289" i="25" s="1"/>
  <c r="BY78" i="25"/>
  <c r="BY290" i="25" s="1"/>
  <c r="BY79" i="25"/>
  <c r="BY291" i="25" s="1"/>
  <c r="W45" i="25" l="1"/>
  <c r="U382" i="25"/>
  <c r="X18" i="25"/>
  <c r="M321" i="25"/>
  <c r="R357" i="25" s="1"/>
  <c r="X30" i="25"/>
  <c r="W43" i="25"/>
  <c r="X69" i="25"/>
  <c r="W94" i="25"/>
  <c r="BZ305" i="25"/>
  <c r="BZ275" i="25"/>
  <c r="BZ68" i="25"/>
  <c r="BZ280" i="25" s="1"/>
  <c r="BZ69" i="25"/>
  <c r="BZ281" i="25" s="1"/>
  <c r="W9" i="25"/>
  <c r="W82" i="25"/>
  <c r="X76" i="25"/>
  <c r="X66" i="25"/>
  <c r="X74" i="25"/>
  <c r="W8" i="25"/>
  <c r="X72" i="25"/>
  <c r="W100" i="25"/>
  <c r="X78" i="25"/>
  <c r="W99" i="25"/>
  <c r="X68" i="25"/>
  <c r="M318" i="25"/>
  <c r="R354" i="25" s="1"/>
  <c r="X11" i="25"/>
  <c r="M327" i="25"/>
  <c r="R363" i="25" s="1"/>
  <c r="X92" i="25"/>
  <c r="AB4" i="30"/>
  <c r="CA22" i="25"/>
  <c r="CA234" i="25" s="1"/>
  <c r="X29" i="25"/>
  <c r="X28" i="25"/>
  <c r="W46" i="25"/>
  <c r="W98" i="25"/>
  <c r="X24" i="25"/>
  <c r="W97" i="25"/>
  <c r="X25" i="25"/>
  <c r="W96" i="25"/>
  <c r="X31" i="25"/>
  <c r="W95" i="25"/>
  <c r="W93" i="25"/>
  <c r="X73" i="25"/>
  <c r="W44" i="25"/>
  <c r="W109" i="25" s="1"/>
  <c r="X80" i="25"/>
  <c r="M341" i="25"/>
  <c r="R377" i="25" s="1"/>
  <c r="X75" i="25"/>
  <c r="X70" i="25"/>
  <c r="X113" i="25" s="1"/>
  <c r="AO356" i="25"/>
  <c r="Z15" i="29" s="1"/>
  <c r="BZ307" i="25"/>
  <c r="BZ277" i="25"/>
  <c r="AO378" i="25"/>
  <c r="Z32" i="29" s="1"/>
  <c r="AO364" i="25"/>
  <c r="Z22" i="29" s="1"/>
  <c r="AO374" i="25"/>
  <c r="Z28" i="29" s="1"/>
  <c r="BZ309" i="25"/>
  <c r="Y21" i="29"/>
  <c r="X67" i="25"/>
  <c r="X79" i="25"/>
  <c r="X71" i="25"/>
  <c r="BZ252" i="25"/>
  <c r="X81" i="25"/>
  <c r="BZ306" i="25"/>
  <c r="BZ286" i="25"/>
  <c r="BZ253" i="25"/>
  <c r="BZ255" i="25"/>
  <c r="AO376" i="25"/>
  <c r="Z30" i="29" s="1"/>
  <c r="O36" i="29"/>
  <c r="AO353" i="25"/>
  <c r="Z12" i="29" s="1"/>
  <c r="AO380" i="25"/>
  <c r="Z34" i="29" s="1"/>
  <c r="BZ232" i="25"/>
  <c r="BZ312" i="25"/>
  <c r="BZ231" i="25"/>
  <c r="AO355" i="25"/>
  <c r="Z14" i="29" s="1"/>
  <c r="AD382" i="25"/>
  <c r="BZ233" i="25"/>
  <c r="AO357" i="25"/>
  <c r="Z16" i="29" s="1"/>
  <c r="CA21" i="25"/>
  <c r="CA19" i="25"/>
  <c r="CA20" i="25"/>
  <c r="CA93" i="25"/>
  <c r="CA84" i="25"/>
  <c r="CA27" i="25"/>
  <c r="CA26" i="25"/>
  <c r="CA83" i="25"/>
  <c r="CA74" i="25"/>
  <c r="CA85" i="25"/>
  <c r="CA40" i="25"/>
  <c r="CA41" i="25"/>
  <c r="CA64" i="25"/>
  <c r="CA100" i="25"/>
  <c r="CA96" i="25"/>
  <c r="CA94" i="25"/>
  <c r="CA95" i="25"/>
  <c r="CA63" i="25"/>
  <c r="CA43" i="25"/>
  <c r="AO361" i="25"/>
  <c r="Z20" i="29" s="1"/>
  <c r="AO381" i="25"/>
  <c r="Z35" i="29" s="1"/>
  <c r="AO363" i="25"/>
  <c r="BZ308" i="25"/>
  <c r="AO365" i="25"/>
  <c r="Z23" i="29" s="1"/>
  <c r="BZ276" i="25"/>
  <c r="X10" i="25"/>
  <c r="X87" i="25"/>
  <c r="X16" i="25"/>
  <c r="X17" i="25"/>
  <c r="X91" i="25"/>
  <c r="X86" i="25"/>
  <c r="X15" i="25"/>
  <c r="X83" i="25"/>
  <c r="X114" i="25" s="1"/>
  <c r="X85" i="25"/>
  <c r="X14" i="25"/>
  <c r="X90" i="25"/>
  <c r="M343" i="25"/>
  <c r="R379" i="25" s="1"/>
  <c r="X13" i="25"/>
  <c r="X84" i="25"/>
  <c r="L347" i="25"/>
  <c r="L348" i="25" s="1"/>
  <c r="T357" i="25"/>
  <c r="S357" i="25"/>
  <c r="S363" i="25"/>
  <c r="T363" i="25"/>
  <c r="BZ223" i="25"/>
  <c r="BZ311" i="25"/>
  <c r="BZ245" i="25"/>
  <c r="AP359" i="25" s="1"/>
  <c r="AA18" i="29" s="1"/>
  <c r="BZ244" i="25"/>
  <c r="AP358" i="25" s="1"/>
  <c r="AA17" i="29" s="1"/>
  <c r="BZ222" i="25"/>
  <c r="BZ221" i="25"/>
  <c r="BZ271" i="25"/>
  <c r="AP373" i="25" s="1"/>
  <c r="AA27" i="29" s="1"/>
  <c r="BZ235" i="25"/>
  <c r="V12" i="1"/>
  <c r="CA143" i="25"/>
  <c r="CA144" i="25"/>
  <c r="CA145" i="25"/>
  <c r="CA146" i="25"/>
  <c r="CA147" i="25"/>
  <c r="CA148" i="25"/>
  <c r="CA149" i="25"/>
  <c r="CA150" i="25"/>
  <c r="CA151" i="25"/>
  <c r="CA248" i="25" s="1"/>
  <c r="CA152" i="25"/>
  <c r="CA153" i="25"/>
  <c r="CA154" i="25"/>
  <c r="CA251" i="25" s="1"/>
  <c r="CA155" i="25"/>
  <c r="CA156" i="25"/>
  <c r="CA131" i="25"/>
  <c r="CA133" i="25"/>
  <c r="CA134" i="25"/>
  <c r="CA135" i="25"/>
  <c r="CA136" i="25"/>
  <c r="CA138" i="25"/>
  <c r="CA139" i="25"/>
  <c r="CA140" i="25"/>
  <c r="CA141" i="25"/>
  <c r="CA142" i="25"/>
  <c r="CA130" i="25"/>
  <c r="CA125" i="25"/>
  <c r="CA127" i="25"/>
  <c r="CA129" i="25"/>
  <c r="CA132" i="25"/>
  <c r="CA157" i="25"/>
  <c r="CA158" i="25"/>
  <c r="CA161" i="25"/>
  <c r="CA162" i="25"/>
  <c r="CA163" i="25"/>
  <c r="CA164" i="25"/>
  <c r="CA165" i="25"/>
  <c r="CA166" i="25"/>
  <c r="CA167" i="25"/>
  <c r="CA168" i="25"/>
  <c r="CA169" i="25"/>
  <c r="CA170" i="25"/>
  <c r="CA267" i="25" s="1"/>
  <c r="CA171" i="25"/>
  <c r="CA268" i="25" s="1"/>
  <c r="AQ367" i="25" s="1"/>
  <c r="AB24" i="29" s="1"/>
  <c r="CA172" i="25"/>
  <c r="CA269" i="25" s="1"/>
  <c r="AQ369" i="25" s="1"/>
  <c r="AB25" i="29" s="1"/>
  <c r="CA174" i="25"/>
  <c r="CA175" i="25"/>
  <c r="CA176" i="25"/>
  <c r="CA177" i="25"/>
  <c r="CA178" i="25"/>
  <c r="CA179" i="25"/>
  <c r="CA181" i="25"/>
  <c r="CA278" i="25" s="1"/>
  <c r="CA182" i="25"/>
  <c r="CA279" i="25" s="1"/>
  <c r="CA128" i="25"/>
  <c r="CA184" i="25"/>
  <c r="CA189" i="25"/>
  <c r="CA192" i="25"/>
  <c r="CA123" i="25"/>
  <c r="CA185" i="25"/>
  <c r="CA190" i="25"/>
  <c r="CA195" i="25"/>
  <c r="CA202" i="25"/>
  <c r="CA204" i="25"/>
  <c r="CA205" i="25"/>
  <c r="CA206" i="25"/>
  <c r="CA207" i="25"/>
  <c r="CA208" i="25"/>
  <c r="CA209" i="25"/>
  <c r="CA210" i="25"/>
  <c r="CA211" i="25"/>
  <c r="CA212" i="25"/>
  <c r="CA213" i="25"/>
  <c r="CA214" i="25"/>
  <c r="CA215" i="25"/>
  <c r="CA188" i="25"/>
  <c r="CA191" i="25"/>
  <c r="CA196" i="25"/>
  <c r="CA197" i="25"/>
  <c r="CA199" i="25"/>
  <c r="CA201" i="25"/>
  <c r="CA198" i="25"/>
  <c r="CA200" i="25"/>
  <c r="CA187" i="25"/>
  <c r="CA203" i="25"/>
  <c r="CA124" i="25"/>
  <c r="CA126" i="25"/>
  <c r="CA183" i="25"/>
  <c r="CA186" i="25"/>
  <c r="CA193" i="25"/>
  <c r="BN313" i="25"/>
  <c r="BO271" i="25"/>
  <c r="AE373" i="25" s="1"/>
  <c r="P27" i="29" s="1"/>
  <c r="BO5" i="25"/>
  <c r="BO103" i="25"/>
  <c r="BQ59" i="25"/>
  <c r="BP59" i="25"/>
  <c r="W49" i="25"/>
  <c r="W50" i="25"/>
  <c r="W51" i="25"/>
  <c r="W52" i="25"/>
  <c r="W53" i="25"/>
  <c r="W29" i="25"/>
  <c r="AN347" i="25"/>
  <c r="BZ220" i="25"/>
  <c r="BZ47" i="25"/>
  <c r="BZ259" i="25" s="1"/>
  <c r="BZ49" i="25"/>
  <c r="BZ261" i="25" s="1"/>
  <c r="BZ50" i="25"/>
  <c r="BZ262" i="25" s="1"/>
  <c r="BZ48" i="25"/>
  <c r="BZ260" i="25" s="1"/>
  <c r="BZ70" i="25"/>
  <c r="BZ282" i="25" s="1"/>
  <c r="BZ72" i="25"/>
  <c r="BZ284" i="25" s="1"/>
  <c r="BZ71" i="25"/>
  <c r="BZ283" i="25" s="1"/>
  <c r="BZ15" i="25"/>
  <c r="BZ227" i="25" s="1"/>
  <c r="BZ14" i="25"/>
  <c r="BZ226" i="25" s="1"/>
  <c r="BZ52" i="25"/>
  <c r="BZ264" i="25" s="1"/>
  <c r="BZ51" i="25"/>
  <c r="BZ263" i="25" s="1"/>
  <c r="BZ78" i="25"/>
  <c r="BZ290" i="25" s="1"/>
  <c r="BZ77" i="25"/>
  <c r="BZ289" i="25" s="1"/>
  <c r="BZ16" i="25"/>
  <c r="BZ228" i="25" s="1"/>
  <c r="BZ45" i="25"/>
  <c r="BZ257" i="25" s="1"/>
  <c r="BZ46" i="25"/>
  <c r="BZ258" i="25" s="1"/>
  <c r="BZ44" i="25"/>
  <c r="BZ256" i="25" s="1"/>
  <c r="BZ37" i="25"/>
  <c r="BZ249" i="25" s="1"/>
  <c r="BZ24" i="25"/>
  <c r="BZ236" i="25" s="1"/>
  <c r="BZ25" i="25"/>
  <c r="BZ237" i="25" s="1"/>
  <c r="Z114" i="21"/>
  <c r="CB58" i="25" s="1"/>
  <c r="CB270" i="25" s="1"/>
  <c r="AR371" i="25" s="1"/>
  <c r="AC26" i="29" s="1"/>
  <c r="Y135" i="21"/>
  <c r="CA10" i="25" s="1"/>
  <c r="Y136" i="21"/>
  <c r="CA11" i="25" s="1"/>
  <c r="Y152" i="21"/>
  <c r="Y169" i="21"/>
  <c r="Y168" i="21"/>
  <c r="Y154" i="21"/>
  <c r="Y170" i="21"/>
  <c r="Y153" i="21"/>
  <c r="Y127" i="21"/>
  <c r="Y159" i="21"/>
  <c r="CA9" i="25" s="1"/>
  <c r="Y125" i="21"/>
  <c r="CA42" i="25" s="1"/>
  <c r="Y129" i="21"/>
  <c r="Y157" i="21"/>
  <c r="Y128" i="21"/>
  <c r="Y130" i="21"/>
  <c r="Y134" i="21"/>
  <c r="Y160" i="21"/>
  <c r="CA32" i="25" s="1"/>
  <c r="Y137" i="21"/>
  <c r="Y145" i="21"/>
  <c r="Y131" i="21"/>
  <c r="Y140" i="21"/>
  <c r="Y164" i="21"/>
  <c r="Y119" i="21"/>
  <c r="Y138" i="21"/>
  <c r="Y155" i="21"/>
  <c r="Y126" i="21"/>
  <c r="Y146" i="21"/>
  <c r="Y143" i="21"/>
  <c r="CA23" i="25" s="1"/>
  <c r="Y149" i="21"/>
  <c r="Y139" i="21"/>
  <c r="Y161" i="21"/>
  <c r="CA33" i="25" s="1"/>
  <c r="Y132" i="21"/>
  <c r="Y156" i="21"/>
  <c r="Y147" i="21"/>
  <c r="Y120" i="21"/>
  <c r="Y133" i="21"/>
  <c r="Y144" i="21"/>
  <c r="Y121" i="21"/>
  <c r="Y123" i="21"/>
  <c r="Y148" i="21"/>
  <c r="Y165" i="21"/>
  <c r="CA99" i="25" s="1"/>
  <c r="Y163" i="21"/>
  <c r="CA97" i="25" s="1"/>
  <c r="Y142" i="21"/>
  <c r="Y151" i="21"/>
  <c r="Y124" i="21"/>
  <c r="Y150" i="21"/>
  <c r="Y162" i="21"/>
  <c r="CA59" i="25" s="1"/>
  <c r="Y158" i="21"/>
  <c r="CA8" i="25" s="1"/>
  <c r="Y141" i="21"/>
  <c r="Y122" i="21"/>
  <c r="BZ12" i="25"/>
  <c r="BZ224" i="25" s="1"/>
  <c r="BZ13" i="25"/>
  <c r="BZ225" i="25" s="1"/>
  <c r="BZ89" i="25"/>
  <c r="BZ301" i="25" s="1"/>
  <c r="BZ34" i="25"/>
  <c r="BZ246" i="25" s="1"/>
  <c r="BZ35" i="25"/>
  <c r="BZ247" i="25" s="1"/>
  <c r="BZ62" i="25"/>
  <c r="BZ274" i="25" s="1"/>
  <c r="AP375" i="25" s="1"/>
  <c r="AA29" i="29" s="1"/>
  <c r="BZ60" i="25"/>
  <c r="BZ272" i="25" s="1"/>
  <c r="BZ61" i="25"/>
  <c r="BZ273" i="25" s="1"/>
  <c r="BZ91" i="25"/>
  <c r="BZ303" i="25" s="1"/>
  <c r="BZ92" i="25"/>
  <c r="BZ304" i="25" s="1"/>
  <c r="BZ76" i="25"/>
  <c r="BZ288" i="25" s="1"/>
  <c r="BZ75" i="25"/>
  <c r="BZ287" i="25" s="1"/>
  <c r="BZ81" i="25"/>
  <c r="BZ293" i="25" s="1"/>
  <c r="BZ80" i="25"/>
  <c r="BZ292" i="25" s="1"/>
  <c r="BZ82" i="25"/>
  <c r="BZ294" i="25" s="1"/>
  <c r="BZ86" i="25"/>
  <c r="BZ298" i="25" s="1"/>
  <c r="BZ88" i="25"/>
  <c r="BZ300" i="25" s="1"/>
  <c r="BZ87" i="25"/>
  <c r="BZ299" i="25" s="1"/>
  <c r="BZ53" i="25"/>
  <c r="BZ265" i="25" s="1"/>
  <c r="BZ266" i="25"/>
  <c r="BZ254" i="25"/>
  <c r="BZ98" i="25"/>
  <c r="BZ310" i="25" s="1"/>
  <c r="BZ29" i="25"/>
  <c r="BZ241" i="25" s="1"/>
  <c r="BZ28" i="25"/>
  <c r="BZ240" i="25" s="1"/>
  <c r="BZ18" i="25"/>
  <c r="BZ230" i="25" s="1"/>
  <c r="BZ17" i="25"/>
  <c r="BZ229" i="25" s="1"/>
  <c r="BZ38" i="25"/>
  <c r="BZ250" i="25" s="1"/>
  <c r="BZ31" i="25"/>
  <c r="BZ243" i="25" s="1"/>
  <c r="BZ30" i="25"/>
  <c r="BZ242" i="25" s="1"/>
  <c r="BZ73" i="25"/>
  <c r="BZ285" i="25" s="1"/>
  <c r="W15" i="25" l="1"/>
  <c r="W13" i="25"/>
  <c r="W28" i="25"/>
  <c r="W66" i="25"/>
  <c r="W25" i="25"/>
  <c r="W71" i="25"/>
  <c r="W24" i="25"/>
  <c r="W31" i="25"/>
  <c r="W23" i="25"/>
  <c r="W30" i="25"/>
  <c r="W91" i="25"/>
  <c r="W90" i="25"/>
  <c r="W83" i="25"/>
  <c r="W114" i="25" s="1"/>
  <c r="W89" i="25"/>
  <c r="W92" i="25"/>
  <c r="W85" i="25"/>
  <c r="W77" i="25"/>
  <c r="W78" i="25"/>
  <c r="W88" i="25"/>
  <c r="W81" i="25"/>
  <c r="W70" i="25"/>
  <c r="W113" i="25" s="1"/>
  <c r="W76" i="25"/>
  <c r="W73" i="25"/>
  <c r="W68" i="25"/>
  <c r="W80" i="25"/>
  <c r="W75" i="25"/>
  <c r="W72" i="25"/>
  <c r="W67" i="25"/>
  <c r="W69" i="25"/>
  <c r="W74" i="25"/>
  <c r="W79" i="25"/>
  <c r="W14" i="25"/>
  <c r="W12" i="25"/>
  <c r="W11" i="25"/>
  <c r="W18" i="25"/>
  <c r="W17" i="25"/>
  <c r="W10" i="25"/>
  <c r="W87" i="25"/>
  <c r="W16" i="25"/>
  <c r="CA286" i="25"/>
  <c r="AC4" i="30"/>
  <c r="CB22" i="25"/>
  <c r="CB234" i="25" s="1"/>
  <c r="W84" i="25"/>
  <c r="W86" i="25"/>
  <c r="AP376" i="25"/>
  <c r="AA30" i="29" s="1"/>
  <c r="CA297" i="25"/>
  <c r="CA231" i="25"/>
  <c r="CA306" i="25"/>
  <c r="CA233" i="25"/>
  <c r="AP374" i="25"/>
  <c r="AA28" i="29" s="1"/>
  <c r="CA307" i="25"/>
  <c r="CA276" i="25"/>
  <c r="CA238" i="25"/>
  <c r="CA312" i="25"/>
  <c r="CA275" i="25"/>
  <c r="CA295" i="25"/>
  <c r="AP355" i="25"/>
  <c r="AA14" i="29" s="1"/>
  <c r="AP364" i="25"/>
  <c r="AA22" i="29" s="1"/>
  <c r="CA221" i="25"/>
  <c r="AP378" i="25"/>
  <c r="AA32" i="29" s="1"/>
  <c r="AD3" i="25"/>
  <c r="O37" i="29"/>
  <c r="CA255" i="25"/>
  <c r="AP361" i="25"/>
  <c r="AA20" i="29" s="1"/>
  <c r="AE382" i="25"/>
  <c r="AP365" i="25"/>
  <c r="AA23" i="29" s="1"/>
  <c r="AP353" i="25"/>
  <c r="AA12" i="29" s="1"/>
  <c r="AP381" i="25"/>
  <c r="AA35" i="29" s="1"/>
  <c r="AP357" i="25"/>
  <c r="AA16" i="29" s="1"/>
  <c r="CA296" i="25"/>
  <c r="CA308" i="25"/>
  <c r="AP380" i="25"/>
  <c r="AA34" i="29" s="1"/>
  <c r="CA239" i="25"/>
  <c r="CB19" i="25"/>
  <c r="CB21" i="25"/>
  <c r="CB20" i="25"/>
  <c r="CB64" i="25"/>
  <c r="CB40" i="25"/>
  <c r="CB41" i="25"/>
  <c r="CB96" i="25"/>
  <c r="CB100" i="25"/>
  <c r="CB93" i="25"/>
  <c r="CB74" i="25"/>
  <c r="CB95" i="25"/>
  <c r="CB94" i="25"/>
  <c r="CB63" i="25"/>
  <c r="CB43" i="25"/>
  <c r="CA253" i="25"/>
  <c r="CA305" i="25"/>
  <c r="CA252" i="25"/>
  <c r="AP354" i="25"/>
  <c r="AA13" i="29" s="1"/>
  <c r="CA232" i="25"/>
  <c r="AP362" i="25"/>
  <c r="AP363" i="25"/>
  <c r="CA244" i="25"/>
  <c r="AQ358" i="25" s="1"/>
  <c r="AB17" i="29" s="1"/>
  <c r="CA245" i="25"/>
  <c r="AQ359" i="25" s="1"/>
  <c r="AB18" i="29" s="1"/>
  <c r="CA309" i="25"/>
  <c r="CA223" i="25"/>
  <c r="CA311" i="25"/>
  <c r="CA222" i="25"/>
  <c r="W12" i="1"/>
  <c r="CB124" i="25"/>
  <c r="CB125" i="25"/>
  <c r="CB126" i="25"/>
  <c r="CB127" i="25"/>
  <c r="CB128" i="25"/>
  <c r="CB129" i="25"/>
  <c r="CB130" i="25"/>
  <c r="CB131" i="25"/>
  <c r="CB132" i="25"/>
  <c r="CB133" i="25"/>
  <c r="CB134" i="25"/>
  <c r="CB135" i="25"/>
  <c r="CB136" i="25"/>
  <c r="CB138" i="25"/>
  <c r="CB139" i="25"/>
  <c r="CB140" i="25"/>
  <c r="CB143" i="25"/>
  <c r="CB144" i="25"/>
  <c r="CB145" i="25"/>
  <c r="CB146" i="25"/>
  <c r="CB147" i="25"/>
  <c r="CB148" i="25"/>
  <c r="CB149" i="25"/>
  <c r="CB150" i="25"/>
  <c r="CB151" i="25"/>
  <c r="CB248" i="25" s="1"/>
  <c r="CB152" i="25"/>
  <c r="CB153" i="25"/>
  <c r="CB154" i="25"/>
  <c r="CB251" i="25" s="1"/>
  <c r="CB155" i="25"/>
  <c r="CB156" i="25"/>
  <c r="CB157" i="25"/>
  <c r="CB158" i="25"/>
  <c r="CB161" i="25"/>
  <c r="CB162" i="25"/>
  <c r="CB163" i="25"/>
  <c r="CB164" i="25"/>
  <c r="CB165" i="25"/>
  <c r="CB166" i="25"/>
  <c r="CB167" i="25"/>
  <c r="CB168" i="25"/>
  <c r="CB169" i="25"/>
  <c r="CB170" i="25"/>
  <c r="CB267" i="25" s="1"/>
  <c r="CB171" i="25"/>
  <c r="CB268" i="25" s="1"/>
  <c r="AR367" i="25" s="1"/>
  <c r="AC24" i="29" s="1"/>
  <c r="CB172" i="25"/>
  <c r="CB269" i="25" s="1"/>
  <c r="AR369" i="25" s="1"/>
  <c r="AC25" i="29" s="1"/>
  <c r="CB174" i="25"/>
  <c r="CB175" i="25"/>
  <c r="CB176" i="25"/>
  <c r="CB177" i="25"/>
  <c r="CB178" i="25"/>
  <c r="CB179" i="25"/>
  <c r="CB181" i="25"/>
  <c r="CB278" i="25" s="1"/>
  <c r="CB182" i="25"/>
  <c r="CB279" i="25" s="1"/>
  <c r="CB197" i="25"/>
  <c r="CB201" i="25"/>
  <c r="CB202" i="25"/>
  <c r="CB203" i="25"/>
  <c r="CB190" i="25"/>
  <c r="CB195" i="25"/>
  <c r="CB210" i="25"/>
  <c r="CB215" i="25"/>
  <c r="CB188" i="25"/>
  <c r="CB193" i="25"/>
  <c r="CB196" i="25"/>
  <c r="CB123" i="25"/>
  <c r="CB187" i="25"/>
  <c r="CB192" i="25"/>
  <c r="CB204" i="25"/>
  <c r="CB206" i="25"/>
  <c r="CB207" i="25"/>
  <c r="CB208" i="25"/>
  <c r="CB209" i="25"/>
  <c r="CB211" i="25"/>
  <c r="CB212" i="25"/>
  <c r="CB213" i="25"/>
  <c r="CB214" i="25"/>
  <c r="CB189" i="25"/>
  <c r="CB191" i="25"/>
  <c r="CA235" i="25"/>
  <c r="CA271" i="25"/>
  <c r="AQ373" i="25" s="1"/>
  <c r="AB27" i="29" s="1"/>
  <c r="BQ271" i="25"/>
  <c r="AG373" i="25" s="1"/>
  <c r="R27" i="29" s="1"/>
  <c r="BO313" i="25"/>
  <c r="R59" i="25"/>
  <c r="AD106" i="25"/>
  <c r="BP271" i="25"/>
  <c r="AF373" i="25" s="1"/>
  <c r="BP5" i="25"/>
  <c r="BP103" i="25"/>
  <c r="AA59" i="25"/>
  <c r="AO347" i="25"/>
  <c r="CA220" i="25"/>
  <c r="CA91" i="25"/>
  <c r="CA303" i="25" s="1"/>
  <c r="CA92" i="25"/>
  <c r="CA304" i="25" s="1"/>
  <c r="CA80" i="25"/>
  <c r="CA292" i="25" s="1"/>
  <c r="CA81" i="25"/>
  <c r="CA293" i="25" s="1"/>
  <c r="CA34" i="25"/>
  <c r="CA246" i="25" s="1"/>
  <c r="CA35" i="25"/>
  <c r="CA247" i="25" s="1"/>
  <c r="CA78" i="25"/>
  <c r="CA290" i="25" s="1"/>
  <c r="CA77" i="25"/>
  <c r="CA289" i="25" s="1"/>
  <c r="CA70" i="25"/>
  <c r="CA282" i="25" s="1"/>
  <c r="CA72" i="25"/>
  <c r="CA284" i="25" s="1"/>
  <c r="CA71" i="25"/>
  <c r="CA283" i="25" s="1"/>
  <c r="CA13" i="25"/>
  <c r="CA225" i="25" s="1"/>
  <c r="CA24" i="25"/>
  <c r="CA236" i="25" s="1"/>
  <c r="CA25" i="25"/>
  <c r="CA237" i="25" s="1"/>
  <c r="CA47" i="25"/>
  <c r="CA259" i="25" s="1"/>
  <c r="CA280" i="25"/>
  <c r="CA281" i="25"/>
  <c r="CA62" i="25"/>
  <c r="CA274" i="25" s="1"/>
  <c r="AQ375" i="25" s="1"/>
  <c r="AB29" i="29" s="1"/>
  <c r="CA60" i="25"/>
  <c r="CA272" i="25" s="1"/>
  <c r="CA61" i="25"/>
  <c r="CA273" i="25" s="1"/>
  <c r="CA254" i="25"/>
  <c r="CA53" i="25"/>
  <c r="CA265" i="25" s="1"/>
  <c r="CA266" i="25"/>
  <c r="CA16" i="25"/>
  <c r="CA228" i="25" s="1"/>
  <c r="CA50" i="25"/>
  <c r="CA262" i="25" s="1"/>
  <c r="CA49" i="25"/>
  <c r="CA261" i="25" s="1"/>
  <c r="CA73" i="25"/>
  <c r="CA285" i="25" s="1"/>
  <c r="CA48" i="25"/>
  <c r="CA260" i="25" s="1"/>
  <c r="CA87" i="25"/>
  <c r="CA299" i="25" s="1"/>
  <c r="CA86" i="25"/>
  <c r="CA298" i="25" s="1"/>
  <c r="CA88" i="25"/>
  <c r="CA300" i="25" s="1"/>
  <c r="CA89" i="25"/>
  <c r="CA301" i="25" s="1"/>
  <c r="CA90" i="25"/>
  <c r="CA302" i="25" s="1"/>
  <c r="CA98" i="25"/>
  <c r="CA310" i="25" s="1"/>
  <c r="CA28" i="25"/>
  <c r="CA240" i="25" s="1"/>
  <c r="CA29" i="25"/>
  <c r="CA241" i="25" s="1"/>
  <c r="CA30" i="25"/>
  <c r="CA242" i="25" s="1"/>
  <c r="CA31" i="25"/>
  <c r="CA243" i="25" s="1"/>
  <c r="CA76" i="25"/>
  <c r="CA288" i="25" s="1"/>
  <c r="CA75" i="25"/>
  <c r="CA287" i="25" s="1"/>
  <c r="CA15" i="25"/>
  <c r="CA227" i="25" s="1"/>
  <c r="CA14" i="25"/>
  <c r="CA226" i="25" s="1"/>
  <c r="CA17" i="25"/>
  <c r="CA229" i="25" s="1"/>
  <c r="CA38" i="25"/>
  <c r="CA250" i="25" s="1"/>
  <c r="CA18" i="25"/>
  <c r="CA230" i="25" s="1"/>
  <c r="AA114" i="21"/>
  <c r="CC58" i="25" s="1"/>
  <c r="CC270" i="25" s="1"/>
  <c r="AS371" i="25" s="1"/>
  <c r="AD26" i="29" s="1"/>
  <c r="Z136" i="21"/>
  <c r="CB11" i="25" s="1"/>
  <c r="Z135" i="21"/>
  <c r="CB10" i="25" s="1"/>
  <c r="Z152" i="21"/>
  <c r="Z154" i="21"/>
  <c r="Z169" i="21"/>
  <c r="Z153" i="21"/>
  <c r="Z127" i="21"/>
  <c r="Z168" i="21"/>
  <c r="Z170" i="21"/>
  <c r="Z140" i="21"/>
  <c r="Z145" i="21"/>
  <c r="Z158" i="21"/>
  <c r="CB8" i="25" s="1"/>
  <c r="Z126" i="21"/>
  <c r="Z123" i="21"/>
  <c r="Z131" i="21"/>
  <c r="Z160" i="21"/>
  <c r="CB32" i="25" s="1"/>
  <c r="Z139" i="21"/>
  <c r="Z133" i="21"/>
  <c r="Z129" i="21"/>
  <c r="Z137" i="21"/>
  <c r="Z163" i="21"/>
  <c r="CB97" i="25" s="1"/>
  <c r="Z141" i="21"/>
  <c r="Z132" i="21"/>
  <c r="Z120" i="21"/>
  <c r="Z151" i="21"/>
  <c r="Z146" i="21"/>
  <c r="Z119" i="21"/>
  <c r="Z138" i="21"/>
  <c r="Z125" i="21"/>
  <c r="CB42" i="25" s="1"/>
  <c r="Z150" i="21"/>
  <c r="Z149" i="21"/>
  <c r="Z147" i="21"/>
  <c r="Z148" i="21"/>
  <c r="Z134" i="21"/>
  <c r="Z143" i="21"/>
  <c r="CB23" i="25" s="1"/>
  <c r="Z128" i="21"/>
  <c r="Z121" i="21"/>
  <c r="Z156" i="21"/>
  <c r="Z159" i="21"/>
  <c r="CB9" i="25" s="1"/>
  <c r="Z165" i="21"/>
  <c r="CB99" i="25" s="1"/>
  <c r="Z124" i="21"/>
  <c r="Z164" i="21"/>
  <c r="Z161" i="21"/>
  <c r="CB33" i="25" s="1"/>
  <c r="Z142" i="21"/>
  <c r="Z130" i="21"/>
  <c r="Z144" i="21"/>
  <c r="Z155" i="21"/>
  <c r="Z157" i="21"/>
  <c r="Z162" i="21"/>
  <c r="CB59" i="25" s="1"/>
  <c r="Z122" i="21"/>
  <c r="CA82" i="25"/>
  <c r="CA294" i="25" s="1"/>
  <c r="CA52" i="25"/>
  <c r="CA264" i="25" s="1"/>
  <c r="CA51" i="25"/>
  <c r="CA263" i="25" s="1"/>
  <c r="CA46" i="25"/>
  <c r="CA258" i="25" s="1"/>
  <c r="CA37" i="25"/>
  <c r="CA249" i="25" s="1"/>
  <c r="CA12" i="25"/>
  <c r="CA224" i="25" s="1"/>
  <c r="CB307" i="25" l="1"/>
  <c r="AD4" i="30"/>
  <c r="CC22" i="25"/>
  <c r="CC234" i="25" s="1"/>
  <c r="AQ356" i="25"/>
  <c r="AB15" i="29" s="1"/>
  <c r="AQ355" i="25"/>
  <c r="AB14" i="29" s="1"/>
  <c r="CB252" i="25"/>
  <c r="AQ353" i="25"/>
  <c r="AB12" i="29" s="1"/>
  <c r="CB308" i="25"/>
  <c r="CB253" i="25"/>
  <c r="AQ378" i="25"/>
  <c r="AB32" i="29" s="1"/>
  <c r="CB306" i="25"/>
  <c r="CB286" i="25"/>
  <c r="CB231" i="25"/>
  <c r="AQ379" i="25"/>
  <c r="AB33" i="29" s="1"/>
  <c r="CB222" i="25"/>
  <c r="CB223" i="25"/>
  <c r="AA21" i="29"/>
  <c r="AE3" i="25"/>
  <c r="Q27" i="29"/>
  <c r="H27" i="29" s="1"/>
  <c r="AE106" i="25"/>
  <c r="AE104" i="25" s="1"/>
  <c r="CB245" i="25"/>
  <c r="AR359" i="25" s="1"/>
  <c r="AC18" i="29" s="1"/>
  <c r="P36" i="29"/>
  <c r="P37" i="29" s="1"/>
  <c r="AQ381" i="25"/>
  <c r="AB35" i="29" s="1"/>
  <c r="AQ363" i="25"/>
  <c r="AQ361" i="25"/>
  <c r="AB20" i="29" s="1"/>
  <c r="CB233" i="25"/>
  <c r="CB232" i="25"/>
  <c r="CB275" i="25"/>
  <c r="CB312" i="25"/>
  <c r="AF382" i="25"/>
  <c r="AA373" i="25"/>
  <c r="CB255" i="25"/>
  <c r="CB305" i="25"/>
  <c r="AQ354" i="25"/>
  <c r="AB13" i="29" s="1"/>
  <c r="CC19" i="25"/>
  <c r="CC21" i="25"/>
  <c r="CC20" i="25"/>
  <c r="CC100" i="25"/>
  <c r="CC85" i="25"/>
  <c r="CC93" i="25"/>
  <c r="CC83" i="25"/>
  <c r="CC27" i="25"/>
  <c r="CC74" i="25"/>
  <c r="CC65" i="25"/>
  <c r="CC64" i="25"/>
  <c r="CC84" i="25"/>
  <c r="CC41" i="25"/>
  <c r="CC96" i="25"/>
  <c r="CC26" i="25"/>
  <c r="CC40" i="25"/>
  <c r="CC95" i="25"/>
  <c r="CC94" i="25"/>
  <c r="CC63" i="25"/>
  <c r="CC43" i="25"/>
  <c r="CB276" i="25"/>
  <c r="AQ374" i="25"/>
  <c r="AB28" i="29" s="1"/>
  <c r="AQ364" i="25"/>
  <c r="AB22" i="29" s="1"/>
  <c r="AQ357" i="25"/>
  <c r="AB16" i="29" s="1"/>
  <c r="AQ362" i="25"/>
  <c r="AQ380" i="25"/>
  <c r="AB34" i="29" s="1"/>
  <c r="CB244" i="25"/>
  <c r="AR358" i="25" s="1"/>
  <c r="AC17" i="29" s="1"/>
  <c r="CB271" i="25"/>
  <c r="AR373" i="25" s="1"/>
  <c r="AC27" i="29" s="1"/>
  <c r="CB309" i="25"/>
  <c r="CB311" i="25"/>
  <c r="CB221" i="25"/>
  <c r="CB235" i="25"/>
  <c r="X12" i="1"/>
  <c r="CC124" i="25"/>
  <c r="CC125" i="25"/>
  <c r="CC126" i="25"/>
  <c r="CC127" i="25"/>
  <c r="CC128" i="25"/>
  <c r="CC129" i="25"/>
  <c r="CC130" i="25"/>
  <c r="CC131" i="25"/>
  <c r="CC132" i="25"/>
  <c r="CC143" i="25"/>
  <c r="CC144" i="25"/>
  <c r="CC145" i="25"/>
  <c r="CC146" i="25"/>
  <c r="CC147" i="25"/>
  <c r="CC148" i="25"/>
  <c r="CC149" i="25"/>
  <c r="CC150" i="25"/>
  <c r="CC151" i="25"/>
  <c r="CC248" i="25" s="1"/>
  <c r="CC133" i="25"/>
  <c r="CC134" i="25"/>
  <c r="CC135" i="25"/>
  <c r="CC136" i="25"/>
  <c r="CC138" i="25"/>
  <c r="CC139" i="25"/>
  <c r="CC140" i="25"/>
  <c r="CC141" i="25"/>
  <c r="CC142" i="25"/>
  <c r="CC153" i="25"/>
  <c r="CC155" i="25"/>
  <c r="CC152" i="25"/>
  <c r="CC183" i="25"/>
  <c r="CC184" i="25"/>
  <c r="CC185" i="25"/>
  <c r="CC186" i="25"/>
  <c r="CC187" i="25"/>
  <c r="CC188" i="25"/>
  <c r="CC189" i="25"/>
  <c r="CC190" i="25"/>
  <c r="CC191" i="25"/>
  <c r="CC192" i="25"/>
  <c r="CC193" i="25"/>
  <c r="CC195" i="25"/>
  <c r="CC196" i="25"/>
  <c r="CC156" i="25"/>
  <c r="CC157" i="25"/>
  <c r="CC158" i="25"/>
  <c r="CC159" i="25"/>
  <c r="CC160" i="25"/>
  <c r="CC161" i="25"/>
  <c r="CC162" i="25"/>
  <c r="CC163" i="25"/>
  <c r="CC164" i="25"/>
  <c r="CC165" i="25"/>
  <c r="CC166" i="25"/>
  <c r="CC167" i="25"/>
  <c r="CC168" i="25"/>
  <c r="CC169" i="25"/>
  <c r="CC170" i="25"/>
  <c r="CC267" i="25" s="1"/>
  <c r="CC171" i="25"/>
  <c r="CC268" i="25" s="1"/>
  <c r="AS367" i="25" s="1"/>
  <c r="AD24" i="29" s="1"/>
  <c r="CC172" i="25"/>
  <c r="CC269" i="25" s="1"/>
  <c r="AS369" i="25" s="1"/>
  <c r="AD25" i="29" s="1"/>
  <c r="CC174" i="25"/>
  <c r="CC175" i="25"/>
  <c r="CC176" i="25"/>
  <c r="CC177" i="25"/>
  <c r="CC178" i="25"/>
  <c r="CC179" i="25"/>
  <c r="CC180" i="25"/>
  <c r="CC181" i="25"/>
  <c r="CC278" i="25" s="1"/>
  <c r="CC182" i="25"/>
  <c r="CC279" i="25" s="1"/>
  <c r="CC197" i="25"/>
  <c r="CC199" i="25"/>
  <c r="CC201" i="25"/>
  <c r="CC202" i="25"/>
  <c r="CC203" i="25"/>
  <c r="CC123" i="25"/>
  <c r="CC198" i="25"/>
  <c r="CC200" i="25"/>
  <c r="CC204" i="25"/>
  <c r="CC205" i="25"/>
  <c r="CC206" i="25"/>
  <c r="CC207" i="25"/>
  <c r="CC208" i="25"/>
  <c r="CC209" i="25"/>
  <c r="CC210" i="25"/>
  <c r="CC211" i="25"/>
  <c r="CC212" i="25"/>
  <c r="CC213" i="25"/>
  <c r="CC214" i="25"/>
  <c r="CC215" i="25"/>
  <c r="CC154" i="25"/>
  <c r="CC251" i="25" s="1"/>
  <c r="AD104" i="25"/>
  <c r="BP313" i="25"/>
  <c r="AP347" i="25"/>
  <c r="CB220" i="25"/>
  <c r="CB92" i="25"/>
  <c r="CB304" i="25" s="1"/>
  <c r="CB91" i="25"/>
  <c r="CB303" i="25" s="1"/>
  <c r="CB73" i="25"/>
  <c r="CB285" i="25" s="1"/>
  <c r="CB47" i="25"/>
  <c r="CB259" i="25" s="1"/>
  <c r="AB114" i="21"/>
  <c r="CD58" i="25" s="1"/>
  <c r="CD270" i="25" s="1"/>
  <c r="AT371" i="25" s="1"/>
  <c r="AE26" i="29" s="1"/>
  <c r="AA136" i="21"/>
  <c r="CC11" i="25" s="1"/>
  <c r="AA135" i="21"/>
  <c r="CC10" i="25" s="1"/>
  <c r="AA152" i="21"/>
  <c r="AA153" i="21"/>
  <c r="AA170" i="21"/>
  <c r="AA127" i="21"/>
  <c r="AA169" i="21"/>
  <c r="AA168" i="21"/>
  <c r="AA154" i="21"/>
  <c r="AA146" i="21"/>
  <c r="AA129" i="21"/>
  <c r="AA124" i="21"/>
  <c r="AA137" i="21"/>
  <c r="AA132" i="21"/>
  <c r="AA120" i="21"/>
  <c r="AA164" i="21"/>
  <c r="AA156" i="21"/>
  <c r="AA151" i="21"/>
  <c r="AA131" i="21"/>
  <c r="AA130" i="21"/>
  <c r="CC12" i="25" s="1"/>
  <c r="AA123" i="21"/>
  <c r="AA162" i="21"/>
  <c r="CC59" i="25" s="1"/>
  <c r="AA160" i="21"/>
  <c r="CC32" i="25" s="1"/>
  <c r="AA121" i="21"/>
  <c r="AA142" i="21"/>
  <c r="AA157" i="21"/>
  <c r="AA125" i="21"/>
  <c r="CC42" i="25" s="1"/>
  <c r="AA147" i="21"/>
  <c r="AA165" i="21"/>
  <c r="CC99" i="25" s="1"/>
  <c r="AA148" i="21"/>
  <c r="AA133" i="21"/>
  <c r="AA143" i="21"/>
  <c r="CC23" i="25" s="1"/>
  <c r="AA134" i="21"/>
  <c r="AA128" i="21"/>
  <c r="AA140" i="21"/>
  <c r="AA150" i="21"/>
  <c r="AA138" i="21"/>
  <c r="AA145" i="21"/>
  <c r="AA161" i="21"/>
  <c r="CC33" i="25" s="1"/>
  <c r="AA159" i="21"/>
  <c r="CC9" i="25" s="1"/>
  <c r="AA158" i="21"/>
  <c r="CC8" i="25" s="1"/>
  <c r="AA119" i="21"/>
  <c r="AA126" i="21"/>
  <c r="AA149" i="21"/>
  <c r="AA163" i="21"/>
  <c r="CC97" i="25" s="1"/>
  <c r="AA155" i="21"/>
  <c r="AA144" i="21"/>
  <c r="AA139" i="21"/>
  <c r="AA141" i="21"/>
  <c r="AA122" i="21"/>
  <c r="CB75" i="25"/>
  <c r="CB287" i="25" s="1"/>
  <c r="CB76" i="25"/>
  <c r="CB288" i="25" s="1"/>
  <c r="CB78" i="25"/>
  <c r="CB290" i="25" s="1"/>
  <c r="CB77" i="25"/>
  <c r="CB289" i="25" s="1"/>
  <c r="CB80" i="25"/>
  <c r="CB292" i="25" s="1"/>
  <c r="CB81" i="25"/>
  <c r="CB293" i="25" s="1"/>
  <c r="CB52" i="25"/>
  <c r="CB264" i="25" s="1"/>
  <c r="CB51" i="25"/>
  <c r="CB263" i="25" s="1"/>
  <c r="CB12" i="25"/>
  <c r="CB224" i="25" s="1"/>
  <c r="CB48" i="25"/>
  <c r="CB260" i="25" s="1"/>
  <c r="CB254" i="25"/>
  <c r="CB266" i="25"/>
  <c r="CB53" i="25"/>
  <c r="CB265" i="25" s="1"/>
  <c r="CB87" i="25"/>
  <c r="CB299" i="25" s="1"/>
  <c r="CB86" i="25"/>
  <c r="CB298" i="25" s="1"/>
  <c r="CB88" i="25"/>
  <c r="CB300" i="25" s="1"/>
  <c r="CB30" i="25"/>
  <c r="CB242" i="25" s="1"/>
  <c r="CB31" i="25"/>
  <c r="CB243" i="25" s="1"/>
  <c r="CB24" i="25"/>
  <c r="CB236" i="25" s="1"/>
  <c r="CB25" i="25"/>
  <c r="CB237" i="25" s="1"/>
  <c r="CB82" i="25"/>
  <c r="CB294" i="25" s="1"/>
  <c r="CB72" i="25"/>
  <c r="CB284" i="25" s="1"/>
  <c r="CB14" i="25"/>
  <c r="CB226" i="25" s="1"/>
  <c r="CB15" i="25"/>
  <c r="CB227" i="25" s="1"/>
  <c r="CB46" i="25"/>
  <c r="CB258" i="25" s="1"/>
  <c r="CB37" i="25"/>
  <c r="CB249" i="25" s="1"/>
  <c r="CB62" i="25"/>
  <c r="CB274" i="25" s="1"/>
  <c r="AR375" i="25" s="1"/>
  <c r="AC29" i="29" s="1"/>
  <c r="CB60" i="25"/>
  <c r="CB272" i="25" s="1"/>
  <c r="CB61" i="25"/>
  <c r="CB273" i="25" s="1"/>
  <c r="CB89" i="25"/>
  <c r="CB301" i="25" s="1"/>
  <c r="CB13" i="25"/>
  <c r="CB225" i="25" s="1"/>
  <c r="CB34" i="25"/>
  <c r="CB246" i="25" s="1"/>
  <c r="CB35" i="25"/>
  <c r="CB247" i="25" s="1"/>
  <c r="CB50" i="25"/>
  <c r="CB262" i="25" s="1"/>
  <c r="CB49" i="25"/>
  <c r="CB261" i="25" s="1"/>
  <c r="CB98" i="25"/>
  <c r="CB310" i="25" s="1"/>
  <c r="CB17" i="25"/>
  <c r="CB229" i="25" s="1"/>
  <c r="CB18" i="25"/>
  <c r="CB230" i="25" s="1"/>
  <c r="CB38" i="25"/>
  <c r="CB250" i="25" s="1"/>
  <c r="CB16" i="25"/>
  <c r="CB228" i="25" s="1"/>
  <c r="CB28" i="25"/>
  <c r="CB240" i="25" s="1"/>
  <c r="CB29" i="25"/>
  <c r="CB241" i="25" s="1"/>
  <c r="CC297" i="25" l="1"/>
  <c r="AE4" i="30"/>
  <c r="CD22" i="25"/>
  <c r="CD234" i="25" s="1"/>
  <c r="AR364" i="25"/>
  <c r="AC22" i="29" s="1"/>
  <c r="D373" i="25"/>
  <c r="E373" i="25" s="1"/>
  <c r="CC306" i="25"/>
  <c r="CC277" i="25"/>
  <c r="CC308" i="25"/>
  <c r="CC305" i="25"/>
  <c r="CC252" i="25"/>
  <c r="CC253" i="25"/>
  <c r="CC276" i="25"/>
  <c r="AB21" i="29"/>
  <c r="CC239" i="25"/>
  <c r="AR355" i="25"/>
  <c r="AC14" i="29" s="1"/>
  <c r="AR378" i="25"/>
  <c r="AC32" i="29" s="1"/>
  <c r="CC245" i="25"/>
  <c r="AS359" i="25" s="1"/>
  <c r="AD18" i="29" s="1"/>
  <c r="AF3" i="25"/>
  <c r="Q36" i="29"/>
  <c r="Q37" i="29" s="1"/>
  <c r="CC275" i="25"/>
  <c r="CC232" i="25"/>
  <c r="AF106" i="25"/>
  <c r="AF104" i="25" s="1"/>
  <c r="AR353" i="25"/>
  <c r="AC12" i="29" s="1"/>
  <c r="AR363" i="25"/>
  <c r="AR381" i="25"/>
  <c r="AC35" i="29" s="1"/>
  <c r="CC307" i="25"/>
  <c r="CC295" i="25"/>
  <c r="CC238" i="25"/>
  <c r="AR354" i="25"/>
  <c r="AC13" i="29" s="1"/>
  <c r="CC286" i="25"/>
  <c r="CC231" i="25"/>
  <c r="CD19" i="25"/>
  <c r="CD21" i="25"/>
  <c r="CD20" i="25"/>
  <c r="CD96" i="25"/>
  <c r="CD26" i="25"/>
  <c r="CD84" i="25"/>
  <c r="CD74" i="25"/>
  <c r="CD41" i="25"/>
  <c r="CD100" i="25"/>
  <c r="CD40" i="25"/>
  <c r="CD27" i="25"/>
  <c r="CD64" i="25"/>
  <c r="CD85" i="25"/>
  <c r="CD83" i="25"/>
  <c r="CD65" i="25"/>
  <c r="CD93" i="25"/>
  <c r="CD94" i="25"/>
  <c r="CD95" i="25"/>
  <c r="CD63" i="25"/>
  <c r="CD43" i="25"/>
  <c r="CC312" i="25"/>
  <c r="AR357" i="25"/>
  <c r="AC16" i="29" s="1"/>
  <c r="AR374" i="25"/>
  <c r="AC28" i="29" s="1"/>
  <c r="CC255" i="25"/>
  <c r="CC233" i="25"/>
  <c r="CC296" i="25"/>
  <c r="AR380" i="25"/>
  <c r="AC34" i="29" s="1"/>
  <c r="AR361" i="25"/>
  <c r="AC20" i="29" s="1"/>
  <c r="AR362" i="25"/>
  <c r="CC221" i="25"/>
  <c r="CC223" i="25"/>
  <c r="CC309" i="25"/>
  <c r="CC311" i="25"/>
  <c r="CC235" i="25"/>
  <c r="CC222" i="25"/>
  <c r="Y12" i="1"/>
  <c r="CD124" i="25"/>
  <c r="CD125" i="25"/>
  <c r="CD126" i="25"/>
  <c r="CD127" i="25"/>
  <c r="CD128" i="25"/>
  <c r="CD129" i="25"/>
  <c r="CD130" i="25"/>
  <c r="CD131" i="25"/>
  <c r="CD132" i="25"/>
  <c r="CD133" i="25"/>
  <c r="CD134" i="25"/>
  <c r="CD135" i="25"/>
  <c r="CD136" i="25"/>
  <c r="CD138" i="25"/>
  <c r="CD139" i="25"/>
  <c r="CD140" i="25"/>
  <c r="CD141" i="25"/>
  <c r="CD142" i="25"/>
  <c r="CD143" i="25"/>
  <c r="CD144" i="25"/>
  <c r="CD145" i="25"/>
  <c r="CD146" i="25"/>
  <c r="CD147" i="25"/>
  <c r="CD148" i="25"/>
  <c r="CD149" i="25"/>
  <c r="CD150" i="25"/>
  <c r="CD151" i="25"/>
  <c r="CD248" i="25" s="1"/>
  <c r="CD152" i="25"/>
  <c r="CD153" i="25"/>
  <c r="CD154" i="25"/>
  <c r="CD251" i="25" s="1"/>
  <c r="CD155" i="25"/>
  <c r="CD183" i="25"/>
  <c r="CD184" i="25"/>
  <c r="CD185" i="25"/>
  <c r="CD186" i="25"/>
  <c r="CD187" i="25"/>
  <c r="CD188" i="25"/>
  <c r="CD189" i="25"/>
  <c r="CD190" i="25"/>
  <c r="CD191" i="25"/>
  <c r="CD192" i="25"/>
  <c r="CD193" i="25"/>
  <c r="CD194" i="25"/>
  <c r="CD195" i="25"/>
  <c r="CD196" i="25"/>
  <c r="CD197" i="25"/>
  <c r="CD198" i="25"/>
  <c r="CD199" i="25"/>
  <c r="CD200" i="25"/>
  <c r="CD201" i="25"/>
  <c r="CD202" i="25"/>
  <c r="CD203" i="25"/>
  <c r="CD156" i="25"/>
  <c r="CD157" i="25"/>
  <c r="CD158" i="25"/>
  <c r="CD159" i="25"/>
  <c r="CD160" i="25"/>
  <c r="CD161" i="25"/>
  <c r="CD162" i="25"/>
  <c r="CD163" i="25"/>
  <c r="CD164" i="25"/>
  <c r="CD165" i="25"/>
  <c r="CD166" i="25"/>
  <c r="CD167" i="25"/>
  <c r="CD168" i="25"/>
  <c r="CD169" i="25"/>
  <c r="CD170" i="25"/>
  <c r="CD267" i="25" s="1"/>
  <c r="CD171" i="25"/>
  <c r="CD268" i="25" s="1"/>
  <c r="AT367" i="25" s="1"/>
  <c r="AE24" i="29" s="1"/>
  <c r="CD172" i="25"/>
  <c r="CD269" i="25" s="1"/>
  <c r="AT369" i="25" s="1"/>
  <c r="AE25" i="29" s="1"/>
  <c r="CD174" i="25"/>
  <c r="CD175" i="25"/>
  <c r="CD176" i="25"/>
  <c r="CD177" i="25"/>
  <c r="CD178" i="25"/>
  <c r="CD179" i="25"/>
  <c r="CD180" i="25"/>
  <c r="CD181" i="25"/>
  <c r="CD278" i="25" s="1"/>
  <c r="CD182" i="25"/>
  <c r="CD279" i="25" s="1"/>
  <c r="CD213" i="25"/>
  <c r="CD211" i="25"/>
  <c r="CD214" i="25"/>
  <c r="CD205" i="25"/>
  <c r="CD206" i="25"/>
  <c r="CD207" i="25"/>
  <c r="CD208" i="25"/>
  <c r="CD204" i="25"/>
  <c r="CD210" i="25"/>
  <c r="CD123" i="25"/>
  <c r="CD209" i="25"/>
  <c r="CD212" i="25"/>
  <c r="CD215" i="25"/>
  <c r="CC244" i="25"/>
  <c r="AS358" i="25" s="1"/>
  <c r="AD17" i="29" s="1"/>
  <c r="CC271" i="25"/>
  <c r="AS373" i="25" s="1"/>
  <c r="AD27" i="29" s="1"/>
  <c r="V373" i="25"/>
  <c r="AQ347" i="25"/>
  <c r="CC220" i="25"/>
  <c r="CC52" i="25"/>
  <c r="CC264" i="25" s="1"/>
  <c r="CC51" i="25"/>
  <c r="CC263" i="25" s="1"/>
  <c r="CC77" i="25"/>
  <c r="CC289" i="25" s="1"/>
  <c r="CC78" i="25"/>
  <c r="CC290" i="25" s="1"/>
  <c r="CC80" i="25"/>
  <c r="CC292" i="25" s="1"/>
  <c r="CC81" i="25"/>
  <c r="CC293" i="25" s="1"/>
  <c r="CC73" i="25"/>
  <c r="CC285" i="25" s="1"/>
  <c r="CC224" i="25"/>
  <c r="CC45" i="25"/>
  <c r="CC257" i="25" s="1"/>
  <c r="CC46" i="25"/>
  <c r="CC258" i="25" s="1"/>
  <c r="CC44" i="25"/>
  <c r="CC256" i="25" s="1"/>
  <c r="CC37" i="25"/>
  <c r="CC249" i="25" s="1"/>
  <c r="CC30" i="25"/>
  <c r="CC242" i="25" s="1"/>
  <c r="CC31" i="25"/>
  <c r="CC243" i="25" s="1"/>
  <c r="CC38" i="25"/>
  <c r="CC250" i="25" s="1"/>
  <c r="CC17" i="25"/>
  <c r="CC229" i="25" s="1"/>
  <c r="CC18" i="25"/>
  <c r="CC230" i="25" s="1"/>
  <c r="CC24" i="25"/>
  <c r="CC236" i="25" s="1"/>
  <c r="CC25" i="25"/>
  <c r="CC237" i="25" s="1"/>
  <c r="CC88" i="25"/>
  <c r="CC300" i="25" s="1"/>
  <c r="CC86" i="25"/>
  <c r="CC298" i="25" s="1"/>
  <c r="CC87" i="25"/>
  <c r="CC299" i="25" s="1"/>
  <c r="CC82" i="25"/>
  <c r="CC294" i="25" s="1"/>
  <c r="CC48" i="25"/>
  <c r="CC260" i="25" s="1"/>
  <c r="CC98" i="25"/>
  <c r="CC310" i="25" s="1"/>
  <c r="AC114" i="21"/>
  <c r="CE58" i="25" s="1"/>
  <c r="CE270" i="25" s="1"/>
  <c r="AU371" i="25" s="1"/>
  <c r="AB136" i="21"/>
  <c r="CD11" i="25" s="1"/>
  <c r="AB135" i="21"/>
  <c r="CD10" i="25" s="1"/>
  <c r="AB168" i="21"/>
  <c r="AB153" i="21"/>
  <c r="AB152" i="21"/>
  <c r="AB127" i="21"/>
  <c r="AB169" i="21"/>
  <c r="AB170" i="21"/>
  <c r="AB154" i="21"/>
  <c r="AB149" i="21"/>
  <c r="AB147" i="21"/>
  <c r="AB142" i="21"/>
  <c r="AB129" i="21"/>
  <c r="AB120" i="21"/>
  <c r="AB140" i="21"/>
  <c r="AB164" i="21"/>
  <c r="AB158" i="21"/>
  <c r="CD8" i="25" s="1"/>
  <c r="AB165" i="21"/>
  <c r="CD99" i="25" s="1"/>
  <c r="AB162" i="21"/>
  <c r="CD59" i="25" s="1"/>
  <c r="AB150" i="21"/>
  <c r="AB137" i="21"/>
  <c r="AB124" i="21"/>
  <c r="AB126" i="21"/>
  <c r="AB132" i="21"/>
  <c r="AB145" i="21"/>
  <c r="AB151" i="21"/>
  <c r="AB128" i="21"/>
  <c r="AB160" i="21"/>
  <c r="CD32" i="25" s="1"/>
  <c r="AB144" i="21"/>
  <c r="AB121" i="21"/>
  <c r="AB134" i="21"/>
  <c r="AB131" i="21"/>
  <c r="AB157" i="21"/>
  <c r="AB161" i="21"/>
  <c r="CD33" i="25" s="1"/>
  <c r="AB146" i="21"/>
  <c r="AB148" i="21"/>
  <c r="AB119" i="21"/>
  <c r="AB139" i="21"/>
  <c r="AB163" i="21"/>
  <c r="CD97" i="25" s="1"/>
  <c r="AB141" i="21"/>
  <c r="AB133" i="21"/>
  <c r="AB143" i="21"/>
  <c r="CD23" i="25" s="1"/>
  <c r="AB156" i="21"/>
  <c r="AB130" i="21"/>
  <c r="CD12" i="25" s="1"/>
  <c r="AB138" i="21"/>
  <c r="AB123" i="21"/>
  <c r="AB125" i="21"/>
  <c r="CD42" i="25" s="1"/>
  <c r="AB155" i="21"/>
  <c r="AB159" i="21"/>
  <c r="CD9" i="25" s="1"/>
  <c r="AB122" i="21"/>
  <c r="CC13" i="25"/>
  <c r="CC225" i="25" s="1"/>
  <c r="CC281" i="25"/>
  <c r="CC280" i="25"/>
  <c r="CC16" i="25"/>
  <c r="CC228" i="25" s="1"/>
  <c r="CC47" i="25"/>
  <c r="CC259" i="25" s="1"/>
  <c r="CC29" i="25"/>
  <c r="CC241" i="25" s="1"/>
  <c r="CC28" i="25"/>
  <c r="CC240" i="25" s="1"/>
  <c r="CC53" i="25"/>
  <c r="CC265" i="25" s="1"/>
  <c r="CC254" i="25"/>
  <c r="CC266" i="25"/>
  <c r="CC49" i="25"/>
  <c r="CC261" i="25" s="1"/>
  <c r="CC50" i="25"/>
  <c r="CC262" i="25" s="1"/>
  <c r="CC34" i="25"/>
  <c r="CC246" i="25" s="1"/>
  <c r="CC35" i="25"/>
  <c r="CC247" i="25" s="1"/>
  <c r="CC91" i="25"/>
  <c r="CC303" i="25" s="1"/>
  <c r="CC92" i="25"/>
  <c r="CC304" i="25" s="1"/>
  <c r="CC72" i="25"/>
  <c r="CC284" i="25" s="1"/>
  <c r="CC71" i="25"/>
  <c r="CC283" i="25" s="1"/>
  <c r="CC70" i="25"/>
  <c r="CC282" i="25" s="1"/>
  <c r="CC89" i="25"/>
  <c r="CC301" i="25" s="1"/>
  <c r="CC90" i="25"/>
  <c r="CC302" i="25" s="1"/>
  <c r="CC62" i="25"/>
  <c r="CC274" i="25" s="1"/>
  <c r="AS375" i="25" s="1"/>
  <c r="AD29" i="29" s="1"/>
  <c r="CC61" i="25"/>
  <c r="CC273" i="25" s="1"/>
  <c r="CC60" i="25"/>
  <c r="CC272" i="25" s="1"/>
  <c r="CC75" i="25"/>
  <c r="CC287" i="25" s="1"/>
  <c r="CC76" i="25"/>
  <c r="CC288" i="25" s="1"/>
  <c r="CC14" i="25"/>
  <c r="CC226" i="25" s="1"/>
  <c r="CC15" i="25"/>
  <c r="CC227" i="25" s="1"/>
  <c r="AF26" i="29" l="1"/>
  <c r="I26" i="29" s="1"/>
  <c r="Z371" i="25"/>
  <c r="CD221" i="25"/>
  <c r="AF4" i="30"/>
  <c r="CE22" i="25"/>
  <c r="CE234" i="25" s="1"/>
  <c r="CD222" i="25"/>
  <c r="CD305" i="25"/>
  <c r="AS376" i="25"/>
  <c r="AD30" i="29" s="1"/>
  <c r="CD277" i="25"/>
  <c r="CD255" i="25"/>
  <c r="AS364" i="25"/>
  <c r="AD22" i="29" s="1"/>
  <c r="CD312" i="25"/>
  <c r="AS356" i="25"/>
  <c r="AD15" i="29" s="1"/>
  <c r="CD306" i="25"/>
  <c r="CD231" i="25"/>
  <c r="CD276" i="25"/>
  <c r="CD297" i="25"/>
  <c r="CD238" i="25"/>
  <c r="CD308" i="25"/>
  <c r="AC21" i="29"/>
  <c r="AS378" i="25"/>
  <c r="AD32" i="29" s="1"/>
  <c r="AS379" i="25"/>
  <c r="AD33" i="29" s="1"/>
  <c r="CD286" i="25"/>
  <c r="AS355" i="25"/>
  <c r="AD14" i="29" s="1"/>
  <c r="AS381" i="25"/>
  <c r="AD35" i="29" s="1"/>
  <c r="AS362" i="25"/>
  <c r="CD295" i="25"/>
  <c r="CD296" i="25"/>
  <c r="AS380" i="25"/>
  <c r="AD34" i="29" s="1"/>
  <c r="CD232" i="25"/>
  <c r="AS365" i="25"/>
  <c r="AD23" i="29" s="1"/>
  <c r="AS361" i="25"/>
  <c r="AD20" i="29" s="1"/>
  <c r="CE20" i="25"/>
  <c r="CE19" i="25"/>
  <c r="CE21" i="25"/>
  <c r="CE96" i="25"/>
  <c r="CE27" i="25"/>
  <c r="CE83" i="25"/>
  <c r="CE84" i="25"/>
  <c r="CE65" i="25"/>
  <c r="CE85" i="25"/>
  <c r="CE26" i="25"/>
  <c r="CE93" i="25"/>
  <c r="CE64" i="25"/>
  <c r="CE40" i="25"/>
  <c r="CE100" i="25"/>
  <c r="CE41" i="25"/>
  <c r="CE74" i="25"/>
  <c r="CE95" i="25"/>
  <c r="CE94" i="25"/>
  <c r="CE63" i="25"/>
  <c r="CE43" i="25"/>
  <c r="CD275" i="25"/>
  <c r="CD252" i="25"/>
  <c r="AS354" i="25"/>
  <c r="AD13" i="29" s="1"/>
  <c r="CD239" i="25"/>
  <c r="AS374" i="25"/>
  <c r="AD28" i="29" s="1"/>
  <c r="AS353" i="25"/>
  <c r="AD12" i="29" s="1"/>
  <c r="AS357" i="25"/>
  <c r="AD16" i="29" s="1"/>
  <c r="AS363" i="25"/>
  <c r="CD307" i="25"/>
  <c r="CD253" i="25"/>
  <c r="CD233" i="25"/>
  <c r="CD235" i="25"/>
  <c r="CD245" i="25"/>
  <c r="AT359" i="25" s="1"/>
  <c r="AE18" i="29" s="1"/>
  <c r="CD309" i="25"/>
  <c r="CD223" i="25"/>
  <c r="CD271" i="25"/>
  <c r="AT373" i="25" s="1"/>
  <c r="AE27" i="29" s="1"/>
  <c r="CD216" i="25"/>
  <c r="CD244" i="25"/>
  <c r="AT358" i="25" s="1"/>
  <c r="AE17" i="29" s="1"/>
  <c r="CD311" i="25"/>
  <c r="Z12" i="1"/>
  <c r="CE130" i="25"/>
  <c r="CE132" i="25"/>
  <c r="CE156" i="25"/>
  <c r="CE157" i="25"/>
  <c r="CE158" i="25"/>
  <c r="CE159" i="25"/>
  <c r="CE160" i="25"/>
  <c r="CE161" i="25"/>
  <c r="CE162" i="25"/>
  <c r="CE163" i="25"/>
  <c r="CE164" i="25"/>
  <c r="CE165" i="25"/>
  <c r="CE166" i="25"/>
  <c r="CE167" i="25"/>
  <c r="CE168" i="25"/>
  <c r="CE169" i="25"/>
  <c r="CE170" i="25"/>
  <c r="CE267" i="25" s="1"/>
  <c r="CE171" i="25"/>
  <c r="CE268" i="25" s="1"/>
  <c r="AU367" i="25" s="1"/>
  <c r="AF24" i="29" s="1"/>
  <c r="CE172" i="25"/>
  <c r="CE269" i="25" s="1"/>
  <c r="AU369" i="25" s="1"/>
  <c r="AF25" i="29" s="1"/>
  <c r="CE174" i="25"/>
  <c r="CE175" i="25"/>
  <c r="CE176" i="25"/>
  <c r="CE177" i="25"/>
  <c r="CE178" i="25"/>
  <c r="CE179" i="25"/>
  <c r="CE180" i="25"/>
  <c r="CE181" i="25"/>
  <c r="CE278" i="25" s="1"/>
  <c r="CE182" i="25"/>
  <c r="CE279" i="25" s="1"/>
  <c r="CE133" i="25"/>
  <c r="CE134" i="25"/>
  <c r="CE135" i="25"/>
  <c r="CE136" i="25"/>
  <c r="CE138" i="25"/>
  <c r="CE139" i="25"/>
  <c r="CE140" i="25"/>
  <c r="CE141" i="25"/>
  <c r="CE142" i="25"/>
  <c r="CE153" i="25"/>
  <c r="CE155" i="25"/>
  <c r="CE125" i="25"/>
  <c r="CE127" i="25"/>
  <c r="CE129" i="25"/>
  <c r="CE124" i="25"/>
  <c r="CE128" i="25"/>
  <c r="CE183" i="25"/>
  <c r="CE184" i="25"/>
  <c r="CE185" i="25"/>
  <c r="CE186" i="25"/>
  <c r="CE187" i="25"/>
  <c r="CE188" i="25"/>
  <c r="CE189" i="25"/>
  <c r="CE190" i="25"/>
  <c r="CE191" i="25"/>
  <c r="CE192" i="25"/>
  <c r="CE193" i="25"/>
  <c r="CE194" i="25"/>
  <c r="CE195" i="25"/>
  <c r="CE196" i="25"/>
  <c r="CE197" i="25"/>
  <c r="CE198" i="25"/>
  <c r="CE199" i="25"/>
  <c r="CE200" i="25"/>
  <c r="CE143" i="25"/>
  <c r="CE144" i="25"/>
  <c r="CE145" i="25"/>
  <c r="CE146" i="25"/>
  <c r="CE147" i="25"/>
  <c r="CE148" i="25"/>
  <c r="CE149" i="25"/>
  <c r="CE150" i="25"/>
  <c r="CE151" i="25"/>
  <c r="CE248" i="25" s="1"/>
  <c r="CE126" i="25"/>
  <c r="CE154" i="25"/>
  <c r="CE251" i="25" s="1"/>
  <c r="CE209" i="25"/>
  <c r="CE152" i="25"/>
  <c r="CE123" i="25"/>
  <c r="CE204" i="25"/>
  <c r="CE208" i="25"/>
  <c r="CE212" i="25"/>
  <c r="CE213" i="25"/>
  <c r="CE201" i="25"/>
  <c r="CE202" i="25"/>
  <c r="CE203" i="25"/>
  <c r="CE206" i="25"/>
  <c r="CE210" i="25"/>
  <c r="CE131" i="25"/>
  <c r="CE205" i="25"/>
  <c r="CE214" i="25"/>
  <c r="CE207" i="25"/>
  <c r="CE211" i="25"/>
  <c r="CE215" i="25"/>
  <c r="Y59" i="25"/>
  <c r="S373" i="25"/>
  <c r="T373" i="25"/>
  <c r="AR347" i="25"/>
  <c r="CD220" i="25"/>
  <c r="AT353" i="25" s="1"/>
  <c r="AE12" i="29" s="1"/>
  <c r="CD50" i="25"/>
  <c r="CD262" i="25" s="1"/>
  <c r="CD49" i="25"/>
  <c r="CD261" i="25" s="1"/>
  <c r="CD16" i="25"/>
  <c r="CD228" i="25" s="1"/>
  <c r="CD92" i="25"/>
  <c r="CD304" i="25" s="1"/>
  <c r="CD91" i="25"/>
  <c r="CD303" i="25" s="1"/>
  <c r="CD62" i="25"/>
  <c r="CD274" i="25" s="1"/>
  <c r="AT375" i="25" s="1"/>
  <c r="AE29" i="29" s="1"/>
  <c r="CD60" i="25"/>
  <c r="CD272" i="25" s="1"/>
  <c r="CD61" i="25"/>
  <c r="CD273" i="25" s="1"/>
  <c r="CD82" i="25"/>
  <c r="CD294" i="25" s="1"/>
  <c r="CD72" i="25"/>
  <c r="CD284" i="25" s="1"/>
  <c r="CD70" i="25"/>
  <c r="CD282" i="25" s="1"/>
  <c r="CD71" i="25"/>
  <c r="CD283" i="25" s="1"/>
  <c r="CD78" i="25"/>
  <c r="CD290" i="25" s="1"/>
  <c r="CD77" i="25"/>
  <c r="CD289" i="25" s="1"/>
  <c r="CD90" i="25"/>
  <c r="CD302" i="25" s="1"/>
  <c r="CD89" i="25"/>
  <c r="CD301" i="25" s="1"/>
  <c r="CD31" i="25"/>
  <c r="CD243" i="25" s="1"/>
  <c r="CD30" i="25"/>
  <c r="CD242" i="25" s="1"/>
  <c r="CD13" i="25"/>
  <c r="CD225" i="25" s="1"/>
  <c r="CD15" i="25"/>
  <c r="CD227" i="25" s="1"/>
  <c r="CD14" i="25"/>
  <c r="CD226" i="25" s="1"/>
  <c r="CD98" i="25"/>
  <c r="CD310" i="25" s="1"/>
  <c r="AD114" i="21"/>
  <c r="CF58" i="25" s="1"/>
  <c r="CF270" i="25" s="1"/>
  <c r="AV371" i="25" s="1"/>
  <c r="AC136" i="21"/>
  <c r="CE11" i="25" s="1"/>
  <c r="AC135" i="21"/>
  <c r="CE10" i="25" s="1"/>
  <c r="AC127" i="21"/>
  <c r="AC168" i="21"/>
  <c r="AC170" i="21"/>
  <c r="AC154" i="21"/>
  <c r="AC153" i="21"/>
  <c r="AC169" i="21"/>
  <c r="AC152" i="21"/>
  <c r="AC128" i="21"/>
  <c r="AC120" i="21"/>
  <c r="AC125" i="21"/>
  <c r="CE42" i="25" s="1"/>
  <c r="AC137" i="21"/>
  <c r="AC146" i="21"/>
  <c r="AC130" i="21"/>
  <c r="CE12" i="25" s="1"/>
  <c r="AC140" i="21"/>
  <c r="AC151" i="21"/>
  <c r="AC134" i="21"/>
  <c r="AC143" i="21"/>
  <c r="CE23" i="25" s="1"/>
  <c r="AC132" i="21"/>
  <c r="AC149" i="21"/>
  <c r="AC124" i="21"/>
  <c r="AC160" i="21"/>
  <c r="CE32" i="25" s="1"/>
  <c r="AC155" i="21"/>
  <c r="AC133" i="21"/>
  <c r="AC157" i="21"/>
  <c r="AC121" i="21"/>
  <c r="AC119" i="21"/>
  <c r="AC129" i="21"/>
  <c r="AC144" i="21"/>
  <c r="AC161" i="21"/>
  <c r="CE33" i="25" s="1"/>
  <c r="AC162" i="21"/>
  <c r="CE59" i="25" s="1"/>
  <c r="AC141" i="21"/>
  <c r="AC156" i="21"/>
  <c r="AC126" i="21"/>
  <c r="AC158" i="21"/>
  <c r="CE8" i="25" s="1"/>
  <c r="AC123" i="21"/>
  <c r="AC139" i="21"/>
  <c r="AC147" i="21"/>
  <c r="AC150" i="21"/>
  <c r="AC164" i="21"/>
  <c r="AC131" i="21"/>
  <c r="AC145" i="21"/>
  <c r="AC163" i="21"/>
  <c r="CE97" i="25" s="1"/>
  <c r="AC165" i="21"/>
  <c r="CE99" i="25" s="1"/>
  <c r="AC159" i="21"/>
  <c r="CE9" i="25" s="1"/>
  <c r="AC142" i="21"/>
  <c r="AC148" i="21"/>
  <c r="AC138" i="21"/>
  <c r="AC122" i="21"/>
  <c r="CD73" i="25"/>
  <c r="CD285" i="25" s="1"/>
  <c r="CD53" i="25"/>
  <c r="CD265" i="25" s="1"/>
  <c r="CD254" i="25"/>
  <c r="CD266" i="25"/>
  <c r="CD17" i="25"/>
  <c r="CD229" i="25" s="1"/>
  <c r="CD38" i="25"/>
  <c r="CD250" i="25" s="1"/>
  <c r="CD18" i="25"/>
  <c r="CD230" i="25" s="1"/>
  <c r="CD28" i="25"/>
  <c r="CD240" i="25" s="1"/>
  <c r="CD29" i="25"/>
  <c r="CD241" i="25" s="1"/>
  <c r="CD52" i="25"/>
  <c r="CD264" i="25" s="1"/>
  <c r="CD51" i="25"/>
  <c r="CD263" i="25" s="1"/>
  <c r="CD48" i="25"/>
  <c r="CD260" i="25" s="1"/>
  <c r="CD47" i="25"/>
  <c r="CD259" i="25" s="1"/>
  <c r="CD46" i="25"/>
  <c r="CD258" i="25" s="1"/>
  <c r="CD44" i="25"/>
  <c r="CD256" i="25" s="1"/>
  <c r="CD37" i="25"/>
  <c r="CD249" i="25" s="1"/>
  <c r="CD45" i="25"/>
  <c r="CD257" i="25" s="1"/>
  <c r="CD88" i="25"/>
  <c r="CD300" i="25" s="1"/>
  <c r="CD87" i="25"/>
  <c r="CD299" i="25" s="1"/>
  <c r="CD86" i="25"/>
  <c r="CD298" i="25" s="1"/>
  <c r="CD280" i="25"/>
  <c r="CD281" i="25"/>
  <c r="CD34" i="25"/>
  <c r="CD246" i="25" s="1"/>
  <c r="CD35" i="25"/>
  <c r="CD247" i="25" s="1"/>
  <c r="CD224" i="25"/>
  <c r="CD75" i="25"/>
  <c r="CD287" i="25" s="1"/>
  <c r="CD76" i="25"/>
  <c r="CD288" i="25" s="1"/>
  <c r="CD80" i="25"/>
  <c r="CD292" i="25" s="1"/>
  <c r="CD81" i="25"/>
  <c r="CD293" i="25" s="1"/>
  <c r="CD24" i="25"/>
  <c r="CD236" i="25" s="1"/>
  <c r="CD25" i="25"/>
  <c r="CD237" i="25" s="1"/>
  <c r="AG26" i="29" l="1"/>
  <c r="CE252" i="25"/>
  <c r="AG4" i="30"/>
  <c r="CF22" i="25"/>
  <c r="CF234" i="25" s="1"/>
  <c r="AT376" i="25"/>
  <c r="AE30" i="29" s="1"/>
  <c r="AT356" i="25"/>
  <c r="AE15" i="29" s="1"/>
  <c r="CE233" i="25"/>
  <c r="CE275" i="25"/>
  <c r="CE232" i="25"/>
  <c r="CE305" i="25"/>
  <c r="CE231" i="25"/>
  <c r="CE297" i="25"/>
  <c r="CE307" i="25"/>
  <c r="AT381" i="25"/>
  <c r="AE35" i="29" s="1"/>
  <c r="AT378" i="25"/>
  <c r="AE32" i="29" s="1"/>
  <c r="AD21" i="29"/>
  <c r="AT379" i="25"/>
  <c r="AE33" i="29" s="1"/>
  <c r="CE308" i="25"/>
  <c r="CE276" i="25"/>
  <c r="AT364" i="25"/>
  <c r="AE22" i="29" s="1"/>
  <c r="CE255" i="25"/>
  <c r="I25" i="29"/>
  <c r="Z369" i="25"/>
  <c r="I24" i="29"/>
  <c r="Z367" i="25"/>
  <c r="AT380" i="25"/>
  <c r="AE34" i="29" s="1"/>
  <c r="AT355" i="25"/>
  <c r="AE14" i="29" s="1"/>
  <c r="AT361" i="25"/>
  <c r="AE20" i="29" s="1"/>
  <c r="AT365" i="25"/>
  <c r="AE23" i="29" s="1"/>
  <c r="CE296" i="25"/>
  <c r="CE239" i="25"/>
  <c r="CE253" i="25"/>
  <c r="AU364" i="25" s="1"/>
  <c r="AF22" i="29" s="1"/>
  <c r="AT354" i="25"/>
  <c r="AE13" i="29" s="1"/>
  <c r="CE295" i="25"/>
  <c r="CE312" i="25"/>
  <c r="CE238" i="25"/>
  <c r="CE286" i="25"/>
  <c r="CF20" i="25"/>
  <c r="CF19" i="25"/>
  <c r="CF21" i="25"/>
  <c r="CF93" i="25"/>
  <c r="CF100" i="25"/>
  <c r="CF83" i="25"/>
  <c r="CF85" i="25"/>
  <c r="CF41" i="25"/>
  <c r="CF74" i="25"/>
  <c r="CF27" i="25"/>
  <c r="CF65" i="25"/>
  <c r="CF96" i="25"/>
  <c r="CF26" i="25"/>
  <c r="CF84" i="25"/>
  <c r="CF64" i="25"/>
  <c r="CF40" i="25"/>
  <c r="CF94" i="25"/>
  <c r="CF95" i="25"/>
  <c r="CF63" i="25"/>
  <c r="CF43" i="25"/>
  <c r="AT363" i="25"/>
  <c r="CE306" i="25"/>
  <c r="CE277" i="25"/>
  <c r="AT357" i="25"/>
  <c r="AE16" i="29" s="1"/>
  <c r="AT362" i="25"/>
  <c r="AT374" i="25"/>
  <c r="AE28" i="29" s="1"/>
  <c r="CE235" i="25"/>
  <c r="CE222" i="25"/>
  <c r="CE223" i="25"/>
  <c r="CE311" i="25"/>
  <c r="CE245" i="25"/>
  <c r="AU359" i="25" s="1"/>
  <c r="AF18" i="29" s="1"/>
  <c r="CE244" i="25"/>
  <c r="AU358" i="25" s="1"/>
  <c r="AF17" i="29" s="1"/>
  <c r="CE221" i="25"/>
  <c r="CE271" i="25"/>
  <c r="AU373" i="25" s="1"/>
  <c r="AF27" i="29" s="1"/>
  <c r="CE216" i="25"/>
  <c r="CE309" i="25"/>
  <c r="AA12" i="1"/>
  <c r="CF124" i="25"/>
  <c r="CF125" i="25"/>
  <c r="CF126" i="25"/>
  <c r="CF127" i="25"/>
  <c r="CF128" i="25"/>
  <c r="CF129" i="25"/>
  <c r="CF130" i="25"/>
  <c r="CF131" i="25"/>
  <c r="CF132" i="25"/>
  <c r="CF133" i="25"/>
  <c r="CF134" i="25"/>
  <c r="CF135" i="25"/>
  <c r="CF136" i="25"/>
  <c r="CF138" i="25"/>
  <c r="CF139" i="25"/>
  <c r="CF140" i="25"/>
  <c r="CF141" i="25"/>
  <c r="CF142" i="25"/>
  <c r="CF156" i="25"/>
  <c r="CF157" i="25"/>
  <c r="CF158" i="25"/>
  <c r="CF159" i="25"/>
  <c r="CF160" i="25"/>
  <c r="CF161" i="25"/>
  <c r="CF162" i="25"/>
  <c r="CF163" i="25"/>
  <c r="CF164" i="25"/>
  <c r="CF165" i="25"/>
  <c r="CF166" i="25"/>
  <c r="CF167" i="25"/>
  <c r="CF168" i="25"/>
  <c r="CF169" i="25"/>
  <c r="CF170" i="25"/>
  <c r="CF267" i="25" s="1"/>
  <c r="CF171" i="25"/>
  <c r="CF268" i="25" s="1"/>
  <c r="AV367" i="25" s="1"/>
  <c r="AG24" i="29" s="1"/>
  <c r="CF172" i="25"/>
  <c r="CF269" i="25" s="1"/>
  <c r="AV369" i="25" s="1"/>
  <c r="AG25" i="29" s="1"/>
  <c r="CF174" i="25"/>
  <c r="CF175" i="25"/>
  <c r="CF176" i="25"/>
  <c r="CF177" i="25"/>
  <c r="CF178" i="25"/>
  <c r="CF179" i="25"/>
  <c r="CF180" i="25"/>
  <c r="CF181" i="25"/>
  <c r="CF278" i="25" s="1"/>
  <c r="CF182" i="25"/>
  <c r="CF279" i="25" s="1"/>
  <c r="CF153" i="25"/>
  <c r="CF155" i="25"/>
  <c r="CF154" i="25"/>
  <c r="CF251" i="25" s="1"/>
  <c r="CF183" i="25"/>
  <c r="CF184" i="25"/>
  <c r="CF185" i="25"/>
  <c r="CF186" i="25"/>
  <c r="CF187" i="25"/>
  <c r="CF188" i="25"/>
  <c r="CF189" i="25"/>
  <c r="CF190" i="25"/>
  <c r="CF191" i="25"/>
  <c r="CF192" i="25"/>
  <c r="CF193" i="25"/>
  <c r="CF194" i="25"/>
  <c r="CF195" i="25"/>
  <c r="CF196" i="25"/>
  <c r="CF152" i="25"/>
  <c r="CF150" i="25"/>
  <c r="CF206" i="25"/>
  <c r="CF213" i="25"/>
  <c r="CF143" i="25"/>
  <c r="CF145" i="25"/>
  <c r="CF147" i="25"/>
  <c r="CF149" i="25"/>
  <c r="CF151" i="25"/>
  <c r="CF248" i="25" s="1"/>
  <c r="CF144" i="25"/>
  <c r="CF205" i="25"/>
  <c r="CF212" i="25"/>
  <c r="CF197" i="25"/>
  <c r="CF199" i="25"/>
  <c r="CF148" i="25"/>
  <c r="CF198" i="25"/>
  <c r="CF200" i="25"/>
  <c r="CF123" i="25"/>
  <c r="CF209" i="25"/>
  <c r="CF215" i="25"/>
  <c r="CF201" i="25"/>
  <c r="CF202" i="25"/>
  <c r="CF203" i="25"/>
  <c r="CF204" i="25"/>
  <c r="CF207" i="25"/>
  <c r="CF210" i="25"/>
  <c r="CF146" i="25"/>
  <c r="CF208" i="25"/>
  <c r="CF211" i="25"/>
  <c r="CF214" i="25"/>
  <c r="AS347" i="25"/>
  <c r="CE220" i="25"/>
  <c r="CE37" i="25"/>
  <c r="CE249" i="25" s="1"/>
  <c r="CE44" i="25"/>
  <c r="CE256" i="25" s="1"/>
  <c r="CE46" i="25"/>
  <c r="CE258" i="25" s="1"/>
  <c r="CE45" i="25"/>
  <c r="CE257" i="25" s="1"/>
  <c r="CE254" i="25"/>
  <c r="CE266" i="25"/>
  <c r="CE53" i="25"/>
  <c r="CE265" i="25" s="1"/>
  <c r="CE62" i="25"/>
  <c r="CE274" i="25" s="1"/>
  <c r="AU375" i="25" s="1"/>
  <c r="AF29" i="29" s="1"/>
  <c r="CE60" i="25"/>
  <c r="CE272" i="25" s="1"/>
  <c r="CE61" i="25"/>
  <c r="CE273" i="25" s="1"/>
  <c r="CE48" i="25"/>
  <c r="CE260" i="25" s="1"/>
  <c r="CE47" i="25"/>
  <c r="CE259" i="25" s="1"/>
  <c r="CE98" i="25"/>
  <c r="CE310" i="25" s="1"/>
  <c r="CE16" i="25"/>
  <c r="CE228" i="25" s="1"/>
  <c r="CE75" i="25"/>
  <c r="CE287" i="25" s="1"/>
  <c r="CE76" i="25"/>
  <c r="CE288" i="25" s="1"/>
  <c r="CE80" i="25"/>
  <c r="CE292" i="25" s="1"/>
  <c r="CE81" i="25"/>
  <c r="CE293" i="25" s="1"/>
  <c r="CE90" i="25"/>
  <c r="CE302" i="25" s="1"/>
  <c r="CE89" i="25"/>
  <c r="CE301" i="25" s="1"/>
  <c r="CE29" i="25"/>
  <c r="CE241" i="25" s="1"/>
  <c r="CE28" i="25"/>
  <c r="CE240" i="25" s="1"/>
  <c r="AE114" i="21"/>
  <c r="AD135" i="21"/>
  <c r="CF10" i="25" s="1"/>
  <c r="AD136" i="21"/>
  <c r="CF11" i="25" s="1"/>
  <c r="AD168" i="21"/>
  <c r="AD170" i="21"/>
  <c r="AD169" i="21"/>
  <c r="AD152" i="21"/>
  <c r="AD153" i="21"/>
  <c r="AD127" i="21"/>
  <c r="AD154" i="21"/>
  <c r="AD123" i="21"/>
  <c r="AD130" i="21"/>
  <c r="CF12" i="25" s="1"/>
  <c r="AD137" i="21"/>
  <c r="AD126" i="21"/>
  <c r="AD131" i="21"/>
  <c r="AD148" i="21"/>
  <c r="AD149" i="21"/>
  <c r="AD164" i="21"/>
  <c r="AD155" i="21"/>
  <c r="AD125" i="21"/>
  <c r="CF42" i="25" s="1"/>
  <c r="AD145" i="21"/>
  <c r="AD163" i="21"/>
  <c r="CF97" i="25" s="1"/>
  <c r="AD156" i="21"/>
  <c r="AD144" i="21"/>
  <c r="AD133" i="21"/>
  <c r="AD138" i="21"/>
  <c r="AD165" i="21"/>
  <c r="CF99" i="25" s="1"/>
  <c r="AD141" i="21"/>
  <c r="AD142" i="21"/>
  <c r="AD120" i="21"/>
  <c r="AD146" i="21"/>
  <c r="AD128" i="21"/>
  <c r="AD157" i="21"/>
  <c r="AD124" i="21"/>
  <c r="AD147" i="21"/>
  <c r="AD129" i="21"/>
  <c r="AD159" i="21"/>
  <c r="CF9" i="25" s="1"/>
  <c r="CF221" i="25" s="1"/>
  <c r="AD143" i="21"/>
  <c r="CF23" i="25" s="1"/>
  <c r="AD161" i="21"/>
  <c r="CF33" i="25" s="1"/>
  <c r="AD162" i="21"/>
  <c r="CF59" i="25" s="1"/>
  <c r="AD119" i="21"/>
  <c r="AD132" i="21"/>
  <c r="AD151" i="21"/>
  <c r="AD121" i="21"/>
  <c r="AD160" i="21"/>
  <c r="CF32" i="25" s="1"/>
  <c r="AD139" i="21"/>
  <c r="AD158" i="21"/>
  <c r="CF8" i="25" s="1"/>
  <c r="AD140" i="21"/>
  <c r="AD150" i="21"/>
  <c r="AD134" i="21"/>
  <c r="AD122" i="21"/>
  <c r="CE14" i="25"/>
  <c r="CE226" i="25" s="1"/>
  <c r="CE15" i="25"/>
  <c r="CE227" i="25" s="1"/>
  <c r="CE24" i="25"/>
  <c r="CE236" i="25" s="1"/>
  <c r="CE25" i="25"/>
  <c r="CE237" i="25" s="1"/>
  <c r="CE73" i="25"/>
  <c r="CE285" i="25" s="1"/>
  <c r="CE224" i="25"/>
  <c r="CE72" i="25"/>
  <c r="CE284" i="25" s="1"/>
  <c r="CE70" i="25"/>
  <c r="CE282" i="25" s="1"/>
  <c r="CE71" i="25"/>
  <c r="CE283" i="25" s="1"/>
  <c r="CE280" i="25"/>
  <c r="CE281" i="25"/>
  <c r="CE82" i="25"/>
  <c r="CE294" i="25" s="1"/>
  <c r="AU378" i="25" s="1"/>
  <c r="AF32" i="29" s="1"/>
  <c r="CE50" i="25"/>
  <c r="CE262" i="25" s="1"/>
  <c r="CE49" i="25"/>
  <c r="CE261" i="25" s="1"/>
  <c r="CE13" i="25"/>
  <c r="CE225" i="25" s="1"/>
  <c r="CE86" i="25"/>
  <c r="CE298" i="25" s="1"/>
  <c r="CE87" i="25"/>
  <c r="CE299" i="25" s="1"/>
  <c r="CE88" i="25"/>
  <c r="CE300" i="25" s="1"/>
  <c r="CE91" i="25"/>
  <c r="CE303" i="25" s="1"/>
  <c r="CE92" i="25"/>
  <c r="CE304" i="25" s="1"/>
  <c r="CE17" i="25"/>
  <c r="CE229" i="25" s="1"/>
  <c r="CE18" i="25"/>
  <c r="CE230" i="25" s="1"/>
  <c r="CE38" i="25"/>
  <c r="CE250" i="25" s="1"/>
  <c r="CE35" i="25"/>
  <c r="CE247" i="25" s="1"/>
  <c r="CE34" i="25"/>
  <c r="CE246" i="25" s="1"/>
  <c r="CE31" i="25"/>
  <c r="CE243" i="25" s="1"/>
  <c r="CE30" i="25"/>
  <c r="CE242" i="25" s="1"/>
  <c r="CE52" i="25"/>
  <c r="CE264" i="25" s="1"/>
  <c r="CE51" i="25"/>
  <c r="CE263" i="25" s="1"/>
  <c r="CE77" i="25"/>
  <c r="CE289" i="25" s="1"/>
  <c r="CE78" i="25"/>
  <c r="CE290" i="25" s="1"/>
  <c r="CF232" i="25" l="1"/>
  <c r="CF253" i="25"/>
  <c r="CG22" i="25"/>
  <c r="CG234" i="25" s="1"/>
  <c r="CG58" i="25"/>
  <c r="CG270" i="25" s="1"/>
  <c r="AW371" i="25" s="1"/>
  <c r="CF286" i="25"/>
  <c r="CF275" i="25"/>
  <c r="CF307" i="25"/>
  <c r="CF296" i="25"/>
  <c r="AU355" i="25"/>
  <c r="AF14" i="29" s="1"/>
  <c r="I14" i="29" s="1"/>
  <c r="CF233" i="25"/>
  <c r="CF252" i="25"/>
  <c r="AV364" i="25" s="1"/>
  <c r="AG22" i="29" s="1"/>
  <c r="CF305" i="25"/>
  <c r="CF277" i="25"/>
  <c r="CF239" i="25"/>
  <c r="AU376" i="25"/>
  <c r="AF30" i="29" s="1"/>
  <c r="AE21" i="29"/>
  <c r="CF245" i="25"/>
  <c r="AV359" i="25" s="1"/>
  <c r="AG18" i="29" s="1"/>
  <c r="AU356" i="25"/>
  <c r="AF15" i="29" s="1"/>
  <c r="AU379" i="25"/>
  <c r="AF33" i="29" s="1"/>
  <c r="CF306" i="25"/>
  <c r="AU361" i="25"/>
  <c r="CF255" i="25"/>
  <c r="CF231" i="25"/>
  <c r="CF308" i="25"/>
  <c r="Z375" i="25"/>
  <c r="I29" i="29"/>
  <c r="Z373" i="25"/>
  <c r="I27" i="29"/>
  <c r="Z364" i="25"/>
  <c r="I22" i="29"/>
  <c r="Z358" i="25"/>
  <c r="I17" i="29"/>
  <c r="Z378" i="25"/>
  <c r="I32" i="29"/>
  <c r="Z359" i="25"/>
  <c r="I18" i="29"/>
  <c r="AU353" i="25"/>
  <c r="AF12" i="29" s="1"/>
  <c r="CF238" i="25"/>
  <c r="AU380" i="25"/>
  <c r="AF34" i="29" s="1"/>
  <c r="CF276" i="25"/>
  <c r="AU365" i="25"/>
  <c r="AF23" i="29" s="1"/>
  <c r="CF297" i="25"/>
  <c r="CF312" i="25"/>
  <c r="AU354" i="25"/>
  <c r="AF13" i="29" s="1"/>
  <c r="AU363" i="25"/>
  <c r="AU374" i="25"/>
  <c r="AF28" i="29" s="1"/>
  <c r="AU357" i="25"/>
  <c r="AF16" i="29" s="1"/>
  <c r="CG20" i="25"/>
  <c r="CG21" i="25"/>
  <c r="CG19" i="25"/>
  <c r="CG65" i="25"/>
  <c r="CG40" i="25"/>
  <c r="CG84" i="25"/>
  <c r="CG27" i="25"/>
  <c r="CG26" i="25"/>
  <c r="CG74" i="25"/>
  <c r="CG64" i="25"/>
  <c r="CG83" i="25"/>
  <c r="CG96" i="25"/>
  <c r="CG93" i="25"/>
  <c r="CG85" i="25"/>
  <c r="CG41" i="25"/>
  <c r="CG100" i="25"/>
  <c r="CG95" i="25"/>
  <c r="CG94" i="25"/>
  <c r="CG63" i="25"/>
  <c r="CG43" i="25"/>
  <c r="AU381" i="25"/>
  <c r="AF35" i="29" s="1"/>
  <c r="CF295" i="25"/>
  <c r="AU362" i="25"/>
  <c r="CF271" i="25"/>
  <c r="AV373" i="25" s="1"/>
  <c r="AG27" i="29" s="1"/>
  <c r="CF244" i="25"/>
  <c r="AV358" i="25" s="1"/>
  <c r="AG17" i="29" s="1"/>
  <c r="CF223" i="25"/>
  <c r="CF222" i="25"/>
  <c r="CF309" i="25"/>
  <c r="CF216" i="25"/>
  <c r="CF235" i="25"/>
  <c r="AB12" i="1"/>
  <c r="CG124" i="25"/>
  <c r="CG125" i="25"/>
  <c r="CG126" i="25"/>
  <c r="CG127" i="25"/>
  <c r="CG128" i="25"/>
  <c r="CG129" i="25"/>
  <c r="CG130" i="25"/>
  <c r="CG131" i="25"/>
  <c r="CG132" i="25"/>
  <c r="CG133" i="25"/>
  <c r="CG134" i="25"/>
  <c r="CG135" i="25"/>
  <c r="CG136" i="25"/>
  <c r="CG138" i="25"/>
  <c r="CG139" i="25"/>
  <c r="CG140" i="25"/>
  <c r="CG141" i="25"/>
  <c r="CG142" i="25"/>
  <c r="CG152" i="25"/>
  <c r="CG154" i="25"/>
  <c r="CG251" i="25" s="1"/>
  <c r="CG156" i="25"/>
  <c r="CG157" i="25"/>
  <c r="CG158" i="25"/>
  <c r="CG159" i="25"/>
  <c r="CG160" i="25"/>
  <c r="CG161" i="25"/>
  <c r="CG162" i="25"/>
  <c r="CG163" i="25"/>
  <c r="CG164" i="25"/>
  <c r="CG165" i="25"/>
  <c r="CG166" i="25"/>
  <c r="CG167" i="25"/>
  <c r="CG168" i="25"/>
  <c r="CG169" i="25"/>
  <c r="CG170" i="25"/>
  <c r="CG267" i="25" s="1"/>
  <c r="CG171" i="25"/>
  <c r="CG268" i="25" s="1"/>
  <c r="AW367" i="25" s="1"/>
  <c r="AH24" i="29" s="1"/>
  <c r="CG172" i="25"/>
  <c r="CG269" i="25" s="1"/>
  <c r="AW369" i="25" s="1"/>
  <c r="AH25" i="29" s="1"/>
  <c r="CG174" i="25"/>
  <c r="CG175" i="25"/>
  <c r="CG176" i="25"/>
  <c r="CG177" i="25"/>
  <c r="CG178" i="25"/>
  <c r="CG179" i="25"/>
  <c r="CG180" i="25"/>
  <c r="CG181" i="25"/>
  <c r="CG278" i="25" s="1"/>
  <c r="CG182" i="25"/>
  <c r="CG279" i="25" s="1"/>
  <c r="CG155" i="25"/>
  <c r="CG143" i="25"/>
  <c r="CG144" i="25"/>
  <c r="CG145" i="25"/>
  <c r="CG146" i="25"/>
  <c r="CG147" i="25"/>
  <c r="CG148" i="25"/>
  <c r="CG149" i="25"/>
  <c r="CG150" i="25"/>
  <c r="CG151" i="25"/>
  <c r="CG248" i="25" s="1"/>
  <c r="CG204" i="25"/>
  <c r="CG205" i="25"/>
  <c r="CG206" i="25"/>
  <c r="CG207" i="25"/>
  <c r="CG208" i="25"/>
  <c r="CG209" i="25"/>
  <c r="CG210" i="25"/>
  <c r="CG211" i="25"/>
  <c r="CG212" i="25"/>
  <c r="CG213" i="25"/>
  <c r="CG214" i="25"/>
  <c r="CG215" i="25"/>
  <c r="CG183" i="25"/>
  <c r="CG184" i="25"/>
  <c r="CG185" i="25"/>
  <c r="CG186" i="25"/>
  <c r="CG187" i="25"/>
  <c r="CG188" i="25"/>
  <c r="CG189" i="25"/>
  <c r="CG190" i="25"/>
  <c r="CG191" i="25"/>
  <c r="CG192" i="25"/>
  <c r="CG193" i="25"/>
  <c r="CG194" i="25"/>
  <c r="CG195" i="25"/>
  <c r="CG196" i="25"/>
  <c r="CG198" i="25"/>
  <c r="CG200" i="25"/>
  <c r="CG123" i="25"/>
  <c r="CG153" i="25"/>
  <c r="CG197" i="25"/>
  <c r="CG199" i="25"/>
  <c r="CG201" i="25"/>
  <c r="CG202" i="25"/>
  <c r="CG203" i="25"/>
  <c r="CF311" i="25"/>
  <c r="AT347" i="25"/>
  <c r="CF220" i="25"/>
  <c r="AV353" i="25" s="1"/>
  <c r="AG12" i="29" s="1"/>
  <c r="CF24" i="25"/>
  <c r="CF236" i="25" s="1"/>
  <c r="CF25" i="25"/>
  <c r="CF237" i="25" s="1"/>
  <c r="CF254" i="25"/>
  <c r="CF53" i="25"/>
  <c r="CF265" i="25" s="1"/>
  <c r="CF266" i="25"/>
  <c r="CF18" i="25"/>
  <c r="CF230" i="25" s="1"/>
  <c r="CF38" i="25"/>
  <c r="CF250" i="25" s="1"/>
  <c r="CF17" i="25"/>
  <c r="CF229" i="25" s="1"/>
  <c r="CF14" i="25"/>
  <c r="CF226" i="25" s="1"/>
  <c r="CF15" i="25"/>
  <c r="CF227" i="25" s="1"/>
  <c r="CF98" i="25"/>
  <c r="CF310" i="25" s="1"/>
  <c r="CF82" i="25"/>
  <c r="CF294" i="25" s="1"/>
  <c r="CF48" i="25"/>
  <c r="CF260" i="25" s="1"/>
  <c r="CF89" i="25"/>
  <c r="CF301" i="25" s="1"/>
  <c r="CF90" i="25"/>
  <c r="CF302" i="25" s="1"/>
  <c r="CF81" i="25"/>
  <c r="CF293" i="25" s="1"/>
  <c r="CF80" i="25"/>
  <c r="CF292" i="25" s="1"/>
  <c r="CF46" i="25"/>
  <c r="CF258" i="25" s="1"/>
  <c r="CF44" i="25"/>
  <c r="CF256" i="25" s="1"/>
  <c r="CF37" i="25"/>
  <c r="CF249" i="25" s="1"/>
  <c r="CF45" i="25"/>
  <c r="CF257" i="25" s="1"/>
  <c r="CF92" i="25"/>
  <c r="CF304" i="25" s="1"/>
  <c r="CF91" i="25"/>
  <c r="CF303" i="25" s="1"/>
  <c r="CF16" i="25"/>
  <c r="CF228" i="25" s="1"/>
  <c r="CF79" i="25"/>
  <c r="CF291" i="25" s="1"/>
  <c r="CF78" i="25"/>
  <c r="CF290" i="25" s="1"/>
  <c r="CF77" i="25"/>
  <c r="CF289" i="25" s="1"/>
  <c r="AF114" i="21"/>
  <c r="AE135" i="21"/>
  <c r="CG10" i="25" s="1"/>
  <c r="AE136" i="21"/>
  <c r="CG11" i="25" s="1"/>
  <c r="AE152" i="21"/>
  <c r="AE153" i="21"/>
  <c r="AE154" i="21"/>
  <c r="AE127" i="21"/>
  <c r="AE169" i="21"/>
  <c r="AE170" i="21"/>
  <c r="AE168" i="21"/>
  <c r="AE123" i="21"/>
  <c r="AE156" i="21"/>
  <c r="AE129" i="21"/>
  <c r="AE141" i="21"/>
  <c r="AE140" i="21"/>
  <c r="AE146" i="21"/>
  <c r="AE151" i="21"/>
  <c r="AE124" i="21"/>
  <c r="AE142" i="21"/>
  <c r="AE165" i="21"/>
  <c r="CG99" i="25" s="1"/>
  <c r="CG311" i="25" s="1"/>
  <c r="AE145" i="21"/>
  <c r="AE128" i="21"/>
  <c r="AE147" i="21"/>
  <c r="AE125" i="21"/>
  <c r="CG42" i="25" s="1"/>
  <c r="AE149" i="21"/>
  <c r="AE158" i="21"/>
  <c r="CG8" i="25" s="1"/>
  <c r="AE120" i="21"/>
  <c r="AE126" i="21"/>
  <c r="AE144" i="21"/>
  <c r="AE138" i="21"/>
  <c r="AE148" i="21"/>
  <c r="AE131" i="21"/>
  <c r="AE164" i="21"/>
  <c r="AE157" i="21"/>
  <c r="AE161" i="21"/>
  <c r="CG33" i="25" s="1"/>
  <c r="AE130" i="21"/>
  <c r="AE143" i="21"/>
  <c r="AE132" i="21"/>
  <c r="AE137" i="21"/>
  <c r="AE160" i="21"/>
  <c r="CG32" i="25" s="1"/>
  <c r="AE159" i="21"/>
  <c r="CG9" i="25" s="1"/>
  <c r="AE162" i="21"/>
  <c r="CG59" i="25" s="1"/>
  <c r="AE155" i="21"/>
  <c r="AE133" i="21"/>
  <c r="AE163" i="21"/>
  <c r="CG97" i="25" s="1"/>
  <c r="AE121" i="21"/>
  <c r="AE150" i="21"/>
  <c r="AE139" i="21"/>
  <c r="AE134" i="21"/>
  <c r="AE119" i="21"/>
  <c r="AE122" i="21"/>
  <c r="CF62" i="25"/>
  <c r="CF274" i="25" s="1"/>
  <c r="AV375" i="25" s="1"/>
  <c r="AG29" i="29" s="1"/>
  <c r="CF61" i="25"/>
  <c r="CF273" i="25" s="1"/>
  <c r="CF60" i="25"/>
  <c r="CF272" i="25" s="1"/>
  <c r="CF224" i="25"/>
  <c r="CF49" i="25"/>
  <c r="CF261" i="25" s="1"/>
  <c r="CF50" i="25"/>
  <c r="CF262" i="25" s="1"/>
  <c r="CF73" i="25"/>
  <c r="CF285" i="25" s="1"/>
  <c r="CF51" i="25"/>
  <c r="CF263" i="25" s="1"/>
  <c r="CF52" i="25"/>
  <c r="CF264" i="25" s="1"/>
  <c r="CF28" i="25"/>
  <c r="CF240" i="25" s="1"/>
  <c r="CF29" i="25"/>
  <c r="CF241" i="25" s="1"/>
  <c r="CF35" i="25"/>
  <c r="CF247" i="25" s="1"/>
  <c r="CF34" i="25"/>
  <c r="CF246" i="25" s="1"/>
  <c r="CF76" i="25"/>
  <c r="CF288" i="25" s="1"/>
  <c r="CF75" i="25"/>
  <c r="CF287" i="25" s="1"/>
  <c r="CF30" i="25"/>
  <c r="CF242" i="25" s="1"/>
  <c r="CF31" i="25"/>
  <c r="CF243" i="25" s="1"/>
  <c r="CF280" i="25"/>
  <c r="CF281" i="25"/>
  <c r="CF87" i="25"/>
  <c r="CF299" i="25" s="1"/>
  <c r="CF88" i="25"/>
  <c r="CF300" i="25" s="1"/>
  <c r="CF86" i="25"/>
  <c r="CF298" i="25" s="1"/>
  <c r="CF13" i="25"/>
  <c r="CF225" i="25" s="1"/>
  <c r="CF72" i="25"/>
  <c r="CF284" i="25" s="1"/>
  <c r="CF70" i="25"/>
  <c r="CF282" i="25" s="1"/>
  <c r="CF71" i="25"/>
  <c r="CF283" i="25" s="1"/>
  <c r="CF47" i="25"/>
  <c r="CF259" i="25" s="1"/>
  <c r="CH22" i="25" l="1"/>
  <c r="CH234" i="25" s="1"/>
  <c r="CH58" i="25"/>
  <c r="CH270" i="25" s="1"/>
  <c r="AX371" i="25" s="1"/>
  <c r="AI26" i="29" s="1"/>
  <c r="AH26" i="29"/>
  <c r="CG286" i="25"/>
  <c r="AV355" i="25"/>
  <c r="AG14" i="29" s="1"/>
  <c r="CG231" i="25"/>
  <c r="CG296" i="25"/>
  <c r="Z355" i="25"/>
  <c r="AV376" i="25"/>
  <c r="AG30" i="29" s="1"/>
  <c r="AV356" i="25"/>
  <c r="AG15" i="29" s="1"/>
  <c r="CG297" i="25"/>
  <c r="CG307" i="25"/>
  <c r="CG253" i="25"/>
  <c r="CG306" i="25"/>
  <c r="CG232" i="25"/>
  <c r="CG312" i="25"/>
  <c r="AV378" i="25"/>
  <c r="AG32" i="29" s="1"/>
  <c r="AF20" i="29"/>
  <c r="I20" i="29" s="1"/>
  <c r="AF21" i="29"/>
  <c r="AV374" i="25"/>
  <c r="AG28" i="29" s="1"/>
  <c r="CG305" i="25"/>
  <c r="AV379" i="25"/>
  <c r="AG33" i="29" s="1"/>
  <c r="Z361" i="25"/>
  <c r="Z357" i="25"/>
  <c r="I16" i="29"/>
  <c r="Z353" i="25"/>
  <c r="Z374" i="25"/>
  <c r="I28" i="29"/>
  <c r="Z381" i="25"/>
  <c r="I35" i="29"/>
  <c r="Z363" i="25"/>
  <c r="AV365" i="25"/>
  <c r="AG23" i="29" s="1"/>
  <c r="AV362" i="25"/>
  <c r="AV381" i="25"/>
  <c r="AG35" i="29" s="1"/>
  <c r="AV361" i="25"/>
  <c r="AG20" i="29" s="1"/>
  <c r="CG295" i="25"/>
  <c r="CG276" i="25"/>
  <c r="CG238" i="25"/>
  <c r="CG275" i="25"/>
  <c r="CG277" i="25"/>
  <c r="CG255" i="25"/>
  <c r="CG308" i="25"/>
  <c r="CG233" i="25"/>
  <c r="AV380" i="25"/>
  <c r="AG34" i="29" s="1"/>
  <c r="CG252" i="25"/>
  <c r="AV354" i="25"/>
  <c r="AG13" i="29" s="1"/>
  <c r="AV377" i="25"/>
  <c r="AG31" i="29" s="1"/>
  <c r="CG239" i="25"/>
  <c r="AV357" i="25"/>
  <c r="AG16" i="29" s="1"/>
  <c r="AV363" i="25"/>
  <c r="CH21" i="25"/>
  <c r="CH20" i="25"/>
  <c r="CH19" i="25"/>
  <c r="CH100" i="25"/>
  <c r="CH65" i="25"/>
  <c r="CH64" i="25"/>
  <c r="CH40" i="25"/>
  <c r="CH27" i="25"/>
  <c r="CH93" i="25"/>
  <c r="CH85" i="25"/>
  <c r="CH84" i="25"/>
  <c r="CH41" i="25"/>
  <c r="CH96" i="25"/>
  <c r="CH26" i="25"/>
  <c r="CH83" i="25"/>
  <c r="CH74" i="25"/>
  <c r="CH95" i="25"/>
  <c r="CH94" i="25"/>
  <c r="CH63" i="25"/>
  <c r="CH43" i="25"/>
  <c r="CG309" i="25"/>
  <c r="CG221" i="25"/>
  <c r="CG223" i="25"/>
  <c r="CG245" i="25"/>
  <c r="AW359" i="25" s="1"/>
  <c r="AH18" i="29" s="1"/>
  <c r="CG271" i="25"/>
  <c r="AW373" i="25" s="1"/>
  <c r="AH27" i="29" s="1"/>
  <c r="CG222" i="25"/>
  <c r="CG244" i="25"/>
  <c r="AW358" i="25" s="1"/>
  <c r="AH17" i="29" s="1"/>
  <c r="CG216" i="25"/>
  <c r="AC12" i="1"/>
  <c r="CH124" i="25"/>
  <c r="CH125" i="25"/>
  <c r="CH126" i="25"/>
  <c r="CH127" i="25"/>
  <c r="CH128" i="25"/>
  <c r="CH129" i="25"/>
  <c r="CH130" i="25"/>
  <c r="CH132" i="25"/>
  <c r="CH143" i="25"/>
  <c r="CH144" i="25"/>
  <c r="CH145" i="25"/>
  <c r="CH146" i="25"/>
  <c r="CH147" i="25"/>
  <c r="CH148" i="25"/>
  <c r="CH149" i="25"/>
  <c r="CH150" i="25"/>
  <c r="CH151" i="25"/>
  <c r="CH248" i="25" s="1"/>
  <c r="CH152" i="25"/>
  <c r="CH154" i="25"/>
  <c r="CH251" i="25" s="1"/>
  <c r="CH133" i="25"/>
  <c r="CH134" i="25"/>
  <c r="CH135" i="25"/>
  <c r="CH136" i="25"/>
  <c r="CH138" i="25"/>
  <c r="CH139" i="25"/>
  <c r="CH140" i="25"/>
  <c r="CH141" i="25"/>
  <c r="CH142" i="25"/>
  <c r="CH156" i="25"/>
  <c r="CH157" i="25"/>
  <c r="CH158" i="25"/>
  <c r="CH255" i="25" s="1"/>
  <c r="CH159" i="25"/>
  <c r="CH160" i="25"/>
  <c r="CH161" i="25"/>
  <c r="CH162" i="25"/>
  <c r="CH163" i="25"/>
  <c r="CH164" i="25"/>
  <c r="CH165" i="25"/>
  <c r="CH166" i="25"/>
  <c r="CH167" i="25"/>
  <c r="CH168" i="25"/>
  <c r="CH169" i="25"/>
  <c r="CH170" i="25"/>
  <c r="CH267" i="25" s="1"/>
  <c r="CH171" i="25"/>
  <c r="CH268" i="25" s="1"/>
  <c r="AX367" i="25" s="1"/>
  <c r="AI24" i="29" s="1"/>
  <c r="CH172" i="25"/>
  <c r="CH269" i="25" s="1"/>
  <c r="AX369" i="25" s="1"/>
  <c r="AI25" i="29" s="1"/>
  <c r="CH174" i="25"/>
  <c r="CH175" i="25"/>
  <c r="CH176" i="25"/>
  <c r="CH177" i="25"/>
  <c r="CH178" i="25"/>
  <c r="CH179" i="25"/>
  <c r="CH180" i="25"/>
  <c r="CH181" i="25"/>
  <c r="CH278" i="25" s="1"/>
  <c r="CH182" i="25"/>
  <c r="CH279" i="25" s="1"/>
  <c r="CH155" i="25"/>
  <c r="CH183" i="25"/>
  <c r="CH184" i="25"/>
  <c r="CH185" i="25"/>
  <c r="CH186" i="25"/>
  <c r="CH187" i="25"/>
  <c r="CH188" i="25"/>
  <c r="CH189" i="25"/>
  <c r="CH190" i="25"/>
  <c r="CH191" i="25"/>
  <c r="CH192" i="25"/>
  <c r="CH193" i="25"/>
  <c r="CH194" i="25"/>
  <c r="CH195" i="25"/>
  <c r="CH196" i="25"/>
  <c r="CH197" i="25"/>
  <c r="CH198" i="25"/>
  <c r="CH199" i="25"/>
  <c r="CH200" i="25"/>
  <c r="CH201" i="25"/>
  <c r="CH202" i="25"/>
  <c r="CH203" i="25"/>
  <c r="CH123" i="25"/>
  <c r="CH204" i="25"/>
  <c r="CH205" i="25"/>
  <c r="CH206" i="25"/>
  <c r="CH207" i="25"/>
  <c r="CH208" i="25"/>
  <c r="CH209" i="25"/>
  <c r="CH210" i="25"/>
  <c r="CH211" i="25"/>
  <c r="CH212" i="25"/>
  <c r="CH213" i="25"/>
  <c r="CH214" i="25"/>
  <c r="CH215" i="25"/>
  <c r="CH153" i="25"/>
  <c r="CH131" i="25"/>
  <c r="CF5" i="25"/>
  <c r="AU347" i="25"/>
  <c r="CG220" i="25"/>
  <c r="CF313" i="25"/>
  <c r="CF103" i="25"/>
  <c r="CG62" i="25"/>
  <c r="CG274" i="25" s="1"/>
  <c r="AW375" i="25" s="1"/>
  <c r="AH29" i="29" s="1"/>
  <c r="CG60" i="25"/>
  <c r="CG272" i="25" s="1"/>
  <c r="CG61" i="25"/>
  <c r="CG273" i="25" s="1"/>
  <c r="CG16" i="25"/>
  <c r="CG228" i="25" s="1"/>
  <c r="CG12" i="25"/>
  <c r="CG224" i="25" s="1"/>
  <c r="CG86" i="25"/>
  <c r="CG298" i="25" s="1"/>
  <c r="CG87" i="25"/>
  <c r="CG299" i="25" s="1"/>
  <c r="CG88" i="25"/>
  <c r="CG300" i="25" s="1"/>
  <c r="CG46" i="25"/>
  <c r="CG258" i="25" s="1"/>
  <c r="CG44" i="25"/>
  <c r="CG256" i="25" s="1"/>
  <c r="CG37" i="25"/>
  <c r="CG249" i="25" s="1"/>
  <c r="CG45" i="25"/>
  <c r="CG257" i="25" s="1"/>
  <c r="CG91" i="25"/>
  <c r="CG303" i="25" s="1"/>
  <c r="CG92" i="25"/>
  <c r="CG304" i="25" s="1"/>
  <c r="CG90" i="25"/>
  <c r="CG302" i="25" s="1"/>
  <c r="CG89" i="25"/>
  <c r="CG301" i="25" s="1"/>
  <c r="CG38" i="25"/>
  <c r="CG250" i="25" s="1"/>
  <c r="CG17" i="25"/>
  <c r="CG229" i="25" s="1"/>
  <c r="CG18" i="25"/>
  <c r="CG230" i="25" s="1"/>
  <c r="CG98" i="25"/>
  <c r="CG310" i="25" s="1"/>
  <c r="CG77" i="25"/>
  <c r="CG289" i="25" s="1"/>
  <c r="CG78" i="25"/>
  <c r="CG290" i="25" s="1"/>
  <c r="CG79" i="25"/>
  <c r="CG291" i="25" s="1"/>
  <c r="CG70" i="25"/>
  <c r="CG282" i="25" s="1"/>
  <c r="CG71" i="25"/>
  <c r="CG283" i="25" s="1"/>
  <c r="CG72" i="25"/>
  <c r="CG284" i="25" s="1"/>
  <c r="AG114" i="21"/>
  <c r="AF136" i="21"/>
  <c r="CH11" i="25" s="1"/>
  <c r="AF135" i="21"/>
  <c r="CH10" i="25" s="1"/>
  <c r="AF154" i="21"/>
  <c r="AF153" i="21"/>
  <c r="AF170" i="21"/>
  <c r="AF169" i="21"/>
  <c r="AF168" i="21"/>
  <c r="AF152" i="21"/>
  <c r="AF127" i="21"/>
  <c r="AF126" i="21"/>
  <c r="AF145" i="21"/>
  <c r="AF141" i="21"/>
  <c r="AF137" i="21"/>
  <c r="AF148" i="21"/>
  <c r="AF146" i="21"/>
  <c r="AF151" i="21"/>
  <c r="AF120" i="21"/>
  <c r="AF125" i="21"/>
  <c r="CH42" i="25" s="1"/>
  <c r="AF160" i="21"/>
  <c r="CH32" i="25" s="1"/>
  <c r="AF156" i="21"/>
  <c r="AF128" i="21"/>
  <c r="AF130" i="21"/>
  <c r="AF134" i="21"/>
  <c r="AF138" i="21"/>
  <c r="AF123" i="21"/>
  <c r="AF149" i="21"/>
  <c r="AF144" i="21"/>
  <c r="AF162" i="21"/>
  <c r="CH59" i="25" s="1"/>
  <c r="AF158" i="21"/>
  <c r="CH8" i="25" s="1"/>
  <c r="AF139" i="21"/>
  <c r="AF161" i="21"/>
  <c r="CH33" i="25" s="1"/>
  <c r="AF119" i="21"/>
  <c r="AF140" i="21"/>
  <c r="AF121" i="21"/>
  <c r="AF155" i="21"/>
  <c r="AF163" i="21"/>
  <c r="CH97" i="25" s="1"/>
  <c r="AF147" i="21"/>
  <c r="AF159" i="21"/>
  <c r="CH9" i="25" s="1"/>
  <c r="AF165" i="21"/>
  <c r="CH99" i="25" s="1"/>
  <c r="AF142" i="21"/>
  <c r="AF131" i="21"/>
  <c r="AF124" i="21"/>
  <c r="AF164" i="21"/>
  <c r="AF133" i="21"/>
  <c r="AF157" i="21"/>
  <c r="AF143" i="21"/>
  <c r="AF150" i="21"/>
  <c r="AF132" i="21"/>
  <c r="AF129" i="21"/>
  <c r="AF122" i="21"/>
  <c r="CG13" i="25"/>
  <c r="CG225" i="25" s="1"/>
  <c r="CG266" i="25"/>
  <c r="CG53" i="25"/>
  <c r="CG265" i="25" s="1"/>
  <c r="CG254" i="25"/>
  <c r="CG281" i="25"/>
  <c r="CG280" i="25"/>
  <c r="CG47" i="25"/>
  <c r="CG259" i="25" s="1"/>
  <c r="CG24" i="25"/>
  <c r="CG236" i="25" s="1"/>
  <c r="CG25" i="25"/>
  <c r="CG237" i="25" s="1"/>
  <c r="CG51" i="25"/>
  <c r="CG263" i="25" s="1"/>
  <c r="CG52" i="25"/>
  <c r="CG264" i="25" s="1"/>
  <c r="CG80" i="25"/>
  <c r="CG292" i="25" s="1"/>
  <c r="CG81" i="25"/>
  <c r="CG293" i="25" s="1"/>
  <c r="CG75" i="25"/>
  <c r="CG287" i="25" s="1"/>
  <c r="CG76" i="25"/>
  <c r="CG288" i="25" s="1"/>
  <c r="CG73" i="25"/>
  <c r="CG285" i="25" s="1"/>
  <c r="CG28" i="25"/>
  <c r="CG240" i="25" s="1"/>
  <c r="CG29" i="25"/>
  <c r="CG241" i="25" s="1"/>
  <c r="CG23" i="25"/>
  <c r="CG235" i="25" s="1"/>
  <c r="CG49" i="25"/>
  <c r="CG261" i="25" s="1"/>
  <c r="CG50" i="25"/>
  <c r="CG262" i="25" s="1"/>
  <c r="CG48" i="25"/>
  <c r="CG260" i="25" s="1"/>
  <c r="CG14" i="25"/>
  <c r="CG226" i="25" s="1"/>
  <c r="CG15" i="25"/>
  <c r="CG227" i="25" s="1"/>
  <c r="CG34" i="25"/>
  <c r="CG246" i="25" s="1"/>
  <c r="CG35" i="25"/>
  <c r="CG247" i="25" s="1"/>
  <c r="CG30" i="25"/>
  <c r="CG242" i="25" s="1"/>
  <c r="CG31" i="25"/>
  <c r="CG243" i="25" s="1"/>
  <c r="CG82" i="25"/>
  <c r="CG294" i="25" s="1"/>
  <c r="CH276" i="25" l="1"/>
  <c r="CH222" i="25"/>
  <c r="CI22" i="25"/>
  <c r="CI234" i="25" s="1"/>
  <c r="CI58" i="25"/>
  <c r="CI270" i="25" s="1"/>
  <c r="AY371" i="25" s="1"/>
  <c r="AJ26" i="29" s="1"/>
  <c r="CH309" i="25"/>
  <c r="CH271" i="25"/>
  <c r="AX373" i="25" s="1"/>
  <c r="AI27" i="29" s="1"/>
  <c r="CH312" i="25"/>
  <c r="CH296" i="25"/>
  <c r="CH308" i="25"/>
  <c r="CH277" i="25"/>
  <c r="CH295" i="25"/>
  <c r="CH252" i="25"/>
  <c r="AW364" i="25"/>
  <c r="AH22" i="29" s="1"/>
  <c r="AW378" i="25"/>
  <c r="AH32" i="29" s="1"/>
  <c r="CH253" i="25"/>
  <c r="AW355" i="25"/>
  <c r="AH14" i="29" s="1"/>
  <c r="CH307" i="25"/>
  <c r="CH305" i="25"/>
  <c r="CH233" i="25"/>
  <c r="AG21" i="29"/>
  <c r="AG36" i="29" s="1"/>
  <c r="AW356" i="25"/>
  <c r="AH15" i="29" s="1"/>
  <c r="AW379" i="25"/>
  <c r="AH33" i="29" s="1"/>
  <c r="CH238" i="25"/>
  <c r="AW374" i="25"/>
  <c r="AH28" i="29" s="1"/>
  <c r="AW376" i="25"/>
  <c r="AH30" i="29" s="1"/>
  <c r="I12" i="29"/>
  <c r="AW380" i="25"/>
  <c r="AH34" i="29" s="1"/>
  <c r="AW353" i="25"/>
  <c r="AH12" i="29" s="1"/>
  <c r="AW365" i="25"/>
  <c r="AH23" i="29" s="1"/>
  <c r="CH286" i="25"/>
  <c r="CH239" i="25"/>
  <c r="CH232" i="25"/>
  <c r="AW381" i="25"/>
  <c r="AH35" i="29" s="1"/>
  <c r="AW354" i="25"/>
  <c r="AH13" i="29" s="1"/>
  <c r="AW377" i="25"/>
  <c r="AH31" i="29" s="1"/>
  <c r="AW361" i="25"/>
  <c r="AH20" i="29" s="1"/>
  <c r="AW357" i="25"/>
  <c r="AH16" i="29" s="1"/>
  <c r="CH306" i="25"/>
  <c r="AV382" i="25"/>
  <c r="CH231" i="25"/>
  <c r="AW363" i="25"/>
  <c r="AW362" i="25"/>
  <c r="CI19" i="25"/>
  <c r="CI21" i="25"/>
  <c r="CI20" i="25"/>
  <c r="CI41" i="25"/>
  <c r="CI26" i="25"/>
  <c r="CI65" i="25"/>
  <c r="CI85" i="25"/>
  <c r="CI96" i="25"/>
  <c r="CI84" i="25"/>
  <c r="CI40" i="25"/>
  <c r="CI93" i="25"/>
  <c r="CI100" i="25"/>
  <c r="CI83" i="25"/>
  <c r="CI74" i="25"/>
  <c r="CI27" i="25"/>
  <c r="CI64" i="25"/>
  <c r="CI95" i="25"/>
  <c r="CI94" i="25"/>
  <c r="CI63" i="25"/>
  <c r="CI43" i="25"/>
  <c r="CH275" i="25"/>
  <c r="CH297" i="25"/>
  <c r="CH244" i="25"/>
  <c r="AX358" i="25" s="1"/>
  <c r="AI17" i="29" s="1"/>
  <c r="CH311" i="25"/>
  <c r="CH245" i="25"/>
  <c r="AX359" i="25" s="1"/>
  <c r="AI18" i="29" s="1"/>
  <c r="CH221" i="25"/>
  <c r="CH223" i="25"/>
  <c r="CH216" i="25"/>
  <c r="AD12" i="1"/>
  <c r="CI143" i="25"/>
  <c r="CI144" i="25"/>
  <c r="CI145" i="25"/>
  <c r="CI146" i="25"/>
  <c r="CI147" i="25"/>
  <c r="CI148" i="25"/>
  <c r="CI149" i="25"/>
  <c r="CI150" i="25"/>
  <c r="CI151" i="25"/>
  <c r="CI248" i="25" s="1"/>
  <c r="CI152" i="25"/>
  <c r="CI153" i="25"/>
  <c r="CI154" i="25"/>
  <c r="CI251" i="25" s="1"/>
  <c r="CI155" i="25"/>
  <c r="CI130" i="25"/>
  <c r="CI132" i="25"/>
  <c r="CI124" i="25"/>
  <c r="CI126" i="25"/>
  <c r="CI128" i="25"/>
  <c r="CI131" i="25"/>
  <c r="CI125" i="25"/>
  <c r="CI129" i="25"/>
  <c r="CI134" i="25"/>
  <c r="CI136" i="25"/>
  <c r="CI139" i="25"/>
  <c r="CI141" i="25"/>
  <c r="CI198" i="25"/>
  <c r="CI200" i="25"/>
  <c r="CI202" i="25"/>
  <c r="CI142" i="25"/>
  <c r="CI123" i="25"/>
  <c r="CI203" i="25"/>
  <c r="CI133" i="25"/>
  <c r="CI135" i="25"/>
  <c r="CI140" i="25"/>
  <c r="CI156" i="25"/>
  <c r="CI157" i="25"/>
  <c r="CI158" i="25"/>
  <c r="CI159" i="25"/>
  <c r="CI160" i="25"/>
  <c r="CI161" i="25"/>
  <c r="CI162" i="25"/>
  <c r="CI163" i="25"/>
  <c r="CI164" i="25"/>
  <c r="CI165" i="25"/>
  <c r="CI166" i="25"/>
  <c r="CI167" i="25"/>
  <c r="CI168" i="25"/>
  <c r="CI169" i="25"/>
  <c r="CI170" i="25"/>
  <c r="CI267" i="25" s="1"/>
  <c r="CI171" i="25"/>
  <c r="CI268" i="25" s="1"/>
  <c r="AY367" i="25" s="1"/>
  <c r="AJ24" i="29" s="1"/>
  <c r="CI172" i="25"/>
  <c r="CI269" i="25" s="1"/>
  <c r="AY369" i="25" s="1"/>
  <c r="AJ25" i="29" s="1"/>
  <c r="CI174" i="25"/>
  <c r="CI175" i="25"/>
  <c r="CI176" i="25"/>
  <c r="CI177" i="25"/>
  <c r="CI178" i="25"/>
  <c r="CI179" i="25"/>
  <c r="CI180" i="25"/>
  <c r="CI181" i="25"/>
  <c r="CI278" i="25" s="1"/>
  <c r="CI182" i="25"/>
  <c r="CI279" i="25" s="1"/>
  <c r="CI183" i="25"/>
  <c r="CI184" i="25"/>
  <c r="CI185" i="25"/>
  <c r="CI186" i="25"/>
  <c r="CI187" i="25"/>
  <c r="CI188" i="25"/>
  <c r="CI189" i="25"/>
  <c r="CI190" i="25"/>
  <c r="CI191" i="25"/>
  <c r="CI192" i="25"/>
  <c r="CI193" i="25"/>
  <c r="CI194" i="25"/>
  <c r="CI195" i="25"/>
  <c r="CI196" i="25"/>
  <c r="CI204" i="25"/>
  <c r="CI205" i="25"/>
  <c r="CI206" i="25"/>
  <c r="CI207" i="25"/>
  <c r="CI208" i="25"/>
  <c r="CI209" i="25"/>
  <c r="CI210" i="25"/>
  <c r="CI211" i="25"/>
  <c r="CI212" i="25"/>
  <c r="CI213" i="25"/>
  <c r="CI214" i="25"/>
  <c r="CI215" i="25"/>
  <c r="CI201" i="25"/>
  <c r="CI127" i="25"/>
  <c r="CI197" i="25"/>
  <c r="CI199" i="25"/>
  <c r="CI138" i="25"/>
  <c r="CG5" i="25"/>
  <c r="AV347" i="25"/>
  <c r="CH220" i="25"/>
  <c r="CG313" i="25"/>
  <c r="CG103" i="25"/>
  <c r="CH31" i="25"/>
  <c r="CH243" i="25" s="1"/>
  <c r="CH30" i="25"/>
  <c r="CH242" i="25" s="1"/>
  <c r="CH89" i="25"/>
  <c r="CH301" i="25" s="1"/>
  <c r="CH90" i="25"/>
  <c r="CH302" i="25" s="1"/>
  <c r="CH49" i="25"/>
  <c r="CH261" i="25" s="1"/>
  <c r="CH50" i="25"/>
  <c r="CH262" i="25" s="1"/>
  <c r="CH48" i="25"/>
  <c r="CH260" i="25" s="1"/>
  <c r="CH78" i="25"/>
  <c r="CH290" i="25" s="1"/>
  <c r="CH77" i="25"/>
  <c r="CH289" i="25" s="1"/>
  <c r="CH79" i="25"/>
  <c r="CH291" i="25" s="1"/>
  <c r="CH254" i="25"/>
  <c r="CH53" i="25"/>
  <c r="CH265" i="25" s="1"/>
  <c r="CH266" i="25"/>
  <c r="CH16" i="25"/>
  <c r="CH228" i="25" s="1"/>
  <c r="CH98" i="25"/>
  <c r="CH310" i="25" s="1"/>
  <c r="CH82" i="25"/>
  <c r="CH294" i="25" s="1"/>
  <c r="CH13" i="25"/>
  <c r="CH225" i="25" s="1"/>
  <c r="CH28" i="25"/>
  <c r="CH240" i="25" s="1"/>
  <c r="CH29" i="25"/>
  <c r="CH241" i="25" s="1"/>
  <c r="CH52" i="25"/>
  <c r="CH264" i="25" s="1"/>
  <c r="CH51" i="25"/>
  <c r="CH263" i="25" s="1"/>
  <c r="CH47" i="25"/>
  <c r="CH259" i="25" s="1"/>
  <c r="CH14" i="25"/>
  <c r="CH226" i="25" s="1"/>
  <c r="CH15" i="25"/>
  <c r="CH227" i="25" s="1"/>
  <c r="CH24" i="25"/>
  <c r="CH236" i="25" s="1"/>
  <c r="CH25" i="25"/>
  <c r="CH237" i="25" s="1"/>
  <c r="CH46" i="25"/>
  <c r="CH258" i="25" s="1"/>
  <c r="CH44" i="25"/>
  <c r="CH256" i="25" s="1"/>
  <c r="CH37" i="25"/>
  <c r="CH249" i="25" s="1"/>
  <c r="CH45" i="25"/>
  <c r="CH257" i="25" s="1"/>
  <c r="CH72" i="25"/>
  <c r="CH284" i="25" s="1"/>
  <c r="CH70" i="25"/>
  <c r="CH282" i="25" s="1"/>
  <c r="CH71" i="25"/>
  <c r="CH283" i="25" s="1"/>
  <c r="AH114" i="21"/>
  <c r="AG135" i="21"/>
  <c r="CI10" i="25" s="1"/>
  <c r="AG136" i="21"/>
  <c r="CI11" i="25" s="1"/>
  <c r="AG168" i="21"/>
  <c r="AG169" i="21"/>
  <c r="AG153" i="21"/>
  <c r="AG154" i="21"/>
  <c r="AG170" i="21"/>
  <c r="AG152" i="21"/>
  <c r="AG127" i="21"/>
  <c r="AG146" i="21"/>
  <c r="AG125" i="21"/>
  <c r="CI42" i="25" s="1"/>
  <c r="AG165" i="21"/>
  <c r="CI99" i="25" s="1"/>
  <c r="AG145" i="21"/>
  <c r="AG129" i="21"/>
  <c r="AG142" i="21"/>
  <c r="AG124" i="21"/>
  <c r="AG131" i="21"/>
  <c r="AG151" i="21"/>
  <c r="AG160" i="21"/>
  <c r="CI32" i="25" s="1"/>
  <c r="AG141" i="21"/>
  <c r="AG149" i="21"/>
  <c r="AG128" i="21"/>
  <c r="AG156" i="21"/>
  <c r="AG147" i="21"/>
  <c r="AG137" i="21"/>
  <c r="AG148" i="21"/>
  <c r="AG138" i="21"/>
  <c r="AG130" i="21"/>
  <c r="AG161" i="21"/>
  <c r="CI33" i="25" s="1"/>
  <c r="AG162" i="21"/>
  <c r="CI59" i="25" s="1"/>
  <c r="CI271" i="25" s="1"/>
  <c r="AY373" i="25" s="1"/>
  <c r="AJ27" i="29" s="1"/>
  <c r="AG155" i="21"/>
  <c r="AG120" i="21"/>
  <c r="AG163" i="21"/>
  <c r="CI97" i="25" s="1"/>
  <c r="AG139" i="21"/>
  <c r="AG159" i="21"/>
  <c r="CI9" i="25" s="1"/>
  <c r="AG126" i="21"/>
  <c r="AG133" i="21"/>
  <c r="AG134" i="21"/>
  <c r="AG119" i="21"/>
  <c r="AG123" i="21"/>
  <c r="AG157" i="21"/>
  <c r="AG121" i="21"/>
  <c r="AG164" i="21"/>
  <c r="AG143" i="21"/>
  <c r="AG132" i="21"/>
  <c r="AG144" i="21"/>
  <c r="AG150" i="21"/>
  <c r="AG158" i="21"/>
  <c r="CI8" i="25" s="1"/>
  <c r="AG140" i="21"/>
  <c r="AG122" i="21"/>
  <c r="CH81" i="25"/>
  <c r="CH293" i="25" s="1"/>
  <c r="CH80" i="25"/>
  <c r="CH292" i="25" s="1"/>
  <c r="CH38" i="25"/>
  <c r="CH250" i="25" s="1"/>
  <c r="CH18" i="25"/>
  <c r="CH230" i="25" s="1"/>
  <c r="CH17" i="25"/>
  <c r="CH229" i="25" s="1"/>
  <c r="CH280" i="25"/>
  <c r="CH281" i="25"/>
  <c r="CH62" i="25"/>
  <c r="CH274" i="25" s="1"/>
  <c r="AX375" i="25" s="1"/>
  <c r="AI29" i="29" s="1"/>
  <c r="CH60" i="25"/>
  <c r="CH272" i="25" s="1"/>
  <c r="CH61" i="25"/>
  <c r="CH273" i="25" s="1"/>
  <c r="CH23" i="25"/>
  <c r="CH235" i="25" s="1"/>
  <c r="CH12" i="25"/>
  <c r="CH224" i="25" s="1"/>
  <c r="CH75" i="25"/>
  <c r="CH287" i="25" s="1"/>
  <c r="CH76" i="25"/>
  <c r="CH288" i="25" s="1"/>
  <c r="CH86" i="25"/>
  <c r="CH298" i="25" s="1"/>
  <c r="CH87" i="25"/>
  <c r="CH299" i="25" s="1"/>
  <c r="CH88" i="25"/>
  <c r="CH300" i="25" s="1"/>
  <c r="CH92" i="25"/>
  <c r="CH304" i="25" s="1"/>
  <c r="CH91" i="25"/>
  <c r="CH303" i="25" s="1"/>
  <c r="CH73" i="25"/>
  <c r="CH285" i="25" s="1"/>
  <c r="CH34" i="25"/>
  <c r="CH246" i="25" s="1"/>
  <c r="CH35" i="25"/>
  <c r="CH247" i="25" s="1"/>
  <c r="CJ22" i="25" l="1"/>
  <c r="CJ234" i="25" s="1"/>
  <c r="CJ58" i="25"/>
  <c r="CJ270" i="25" s="1"/>
  <c r="AZ371" i="25" s="1"/>
  <c r="AX376" i="25"/>
  <c r="AI30" i="29" s="1"/>
  <c r="CI286" i="25"/>
  <c r="AX364" i="25"/>
  <c r="AI22" i="29" s="1"/>
  <c r="AX355" i="25"/>
  <c r="AI14" i="29" s="1"/>
  <c r="CI295" i="25"/>
  <c r="CI238" i="25"/>
  <c r="AX378" i="25"/>
  <c r="AI32" i="29" s="1"/>
  <c r="CI255" i="25"/>
  <c r="CI312" i="25"/>
  <c r="CI253" i="25"/>
  <c r="AX374" i="25"/>
  <c r="AI28" i="29" s="1"/>
  <c r="AX379" i="25"/>
  <c r="AI33" i="29" s="1"/>
  <c r="AX380" i="25"/>
  <c r="AI34" i="29" s="1"/>
  <c r="AX356" i="25"/>
  <c r="AI15" i="29" s="1"/>
  <c r="AV3" i="25"/>
  <c r="AV1" i="25" s="1"/>
  <c r="AG37" i="29"/>
  <c r="AH21" i="29"/>
  <c r="AH36" i="29" s="1"/>
  <c r="CI233" i="25"/>
  <c r="CI306" i="25"/>
  <c r="CI277" i="25"/>
  <c r="AX353" i="25"/>
  <c r="AI12" i="29" s="1"/>
  <c r="AX365" i="25"/>
  <c r="AI23" i="29" s="1"/>
  <c r="AX363" i="25"/>
  <c r="AX354" i="25"/>
  <c r="AI13" i="29" s="1"/>
  <c r="CI308" i="25"/>
  <c r="CI276" i="25"/>
  <c r="AW382" i="25"/>
  <c r="AX361" i="25"/>
  <c r="AI20" i="29" s="1"/>
  <c r="CI297" i="25"/>
  <c r="CI232" i="25"/>
  <c r="CJ19" i="25"/>
  <c r="CJ20" i="25"/>
  <c r="CJ21" i="25"/>
  <c r="CJ74" i="25"/>
  <c r="CJ83" i="25"/>
  <c r="CJ93" i="25"/>
  <c r="CJ85" i="25"/>
  <c r="CJ27" i="25"/>
  <c r="CJ40" i="25"/>
  <c r="CJ41" i="25"/>
  <c r="CJ96" i="25"/>
  <c r="CJ64" i="25"/>
  <c r="CJ26" i="25"/>
  <c r="CJ100" i="25"/>
  <c r="CJ65" i="25"/>
  <c r="CJ84" i="25"/>
  <c r="CJ95" i="25"/>
  <c r="CJ94" i="25"/>
  <c r="CJ63" i="25"/>
  <c r="CJ43" i="25"/>
  <c r="CI296" i="25"/>
  <c r="AX357" i="25"/>
  <c r="AI16" i="29" s="1"/>
  <c r="AX377" i="25"/>
  <c r="AI31" i="29" s="1"/>
  <c r="CI307" i="25"/>
  <c r="CI275" i="25"/>
  <c r="CI231" i="25"/>
  <c r="AX381" i="25"/>
  <c r="AI35" i="29" s="1"/>
  <c r="AX362" i="25"/>
  <c r="CI305" i="25"/>
  <c r="CI239" i="25"/>
  <c r="CI252" i="25"/>
  <c r="CI221" i="25"/>
  <c r="CI223" i="25"/>
  <c r="CI309" i="25"/>
  <c r="CI222" i="25"/>
  <c r="CI311" i="25"/>
  <c r="CI244" i="25"/>
  <c r="AY358" i="25" s="1"/>
  <c r="AJ17" i="29" s="1"/>
  <c r="CI216" i="25"/>
  <c r="CI245" i="25"/>
  <c r="AY359" i="25" s="1"/>
  <c r="AJ18" i="29" s="1"/>
  <c r="AE12" i="1"/>
  <c r="CJ124" i="25"/>
  <c r="CJ125" i="25"/>
  <c r="CJ126" i="25"/>
  <c r="CJ127" i="25"/>
  <c r="CJ128" i="25"/>
  <c r="CJ129" i="25"/>
  <c r="CJ130" i="25"/>
  <c r="CJ131" i="25"/>
  <c r="CJ132" i="25"/>
  <c r="CJ133" i="25"/>
  <c r="CJ134" i="25"/>
  <c r="CJ135" i="25"/>
  <c r="CJ136" i="25"/>
  <c r="CJ138" i="25"/>
  <c r="CJ139" i="25"/>
  <c r="CJ140" i="25"/>
  <c r="CJ141" i="25"/>
  <c r="CJ142" i="25"/>
  <c r="CJ143" i="25"/>
  <c r="CJ144" i="25"/>
  <c r="CJ145" i="25"/>
  <c r="CJ146" i="25"/>
  <c r="CJ147" i="25"/>
  <c r="CJ148" i="25"/>
  <c r="CJ149" i="25"/>
  <c r="CJ150" i="25"/>
  <c r="CJ151" i="25"/>
  <c r="CJ248" i="25" s="1"/>
  <c r="CJ152" i="25"/>
  <c r="CJ153" i="25"/>
  <c r="CJ154" i="25"/>
  <c r="CJ251" i="25" s="1"/>
  <c r="CJ155" i="25"/>
  <c r="CJ212" i="25"/>
  <c r="CJ201" i="25"/>
  <c r="CJ203" i="25"/>
  <c r="CJ198" i="25"/>
  <c r="CJ200" i="25"/>
  <c r="CJ211" i="25"/>
  <c r="CJ213" i="25"/>
  <c r="CJ214" i="25"/>
  <c r="CJ199" i="25"/>
  <c r="CJ123" i="25"/>
  <c r="CJ215" i="25"/>
  <c r="CJ156" i="25"/>
  <c r="CJ157" i="25"/>
  <c r="CJ158" i="25"/>
  <c r="CJ159" i="25"/>
  <c r="CJ160" i="25"/>
  <c r="CJ161" i="25"/>
  <c r="CJ162" i="25"/>
  <c r="CJ163" i="25"/>
  <c r="CJ164" i="25"/>
  <c r="CJ165" i="25"/>
  <c r="CJ166" i="25"/>
  <c r="CJ167" i="25"/>
  <c r="CJ168" i="25"/>
  <c r="CJ169" i="25"/>
  <c r="CJ170" i="25"/>
  <c r="CJ267" i="25" s="1"/>
  <c r="CJ171" i="25"/>
  <c r="CJ268" i="25" s="1"/>
  <c r="AZ367" i="25" s="1"/>
  <c r="AK24" i="29" s="1"/>
  <c r="CJ172" i="25"/>
  <c r="CJ269" i="25" s="1"/>
  <c r="AZ369" i="25" s="1"/>
  <c r="AK25" i="29" s="1"/>
  <c r="CJ174" i="25"/>
  <c r="CJ175" i="25"/>
  <c r="CJ176" i="25"/>
  <c r="CJ177" i="25"/>
  <c r="CJ178" i="25"/>
  <c r="CJ179" i="25"/>
  <c r="CJ180" i="25"/>
  <c r="CJ181" i="25"/>
  <c r="CJ278" i="25" s="1"/>
  <c r="CJ182" i="25"/>
  <c r="CJ279" i="25" s="1"/>
  <c r="CJ183" i="25"/>
  <c r="CJ184" i="25"/>
  <c r="CJ185" i="25"/>
  <c r="CJ186" i="25"/>
  <c r="CJ187" i="25"/>
  <c r="CJ188" i="25"/>
  <c r="CJ189" i="25"/>
  <c r="CJ190" i="25"/>
  <c r="CJ191" i="25"/>
  <c r="CJ192" i="25"/>
  <c r="CJ193" i="25"/>
  <c r="CJ194" i="25"/>
  <c r="CJ195" i="25"/>
  <c r="CJ196" i="25"/>
  <c r="CJ204" i="25"/>
  <c r="CJ205" i="25"/>
  <c r="CJ206" i="25"/>
  <c r="CJ207" i="25"/>
  <c r="CJ208" i="25"/>
  <c r="CJ209" i="25"/>
  <c r="CJ210" i="25"/>
  <c r="CJ197" i="25"/>
  <c r="CJ202" i="25"/>
  <c r="CH5" i="25"/>
  <c r="AW347" i="25"/>
  <c r="CI220" i="25"/>
  <c r="CH313" i="25"/>
  <c r="CH103" i="25"/>
  <c r="CI24" i="25"/>
  <c r="CI236" i="25" s="1"/>
  <c r="CI25" i="25"/>
  <c r="CI237" i="25" s="1"/>
  <c r="CI47" i="25"/>
  <c r="CI259" i="25" s="1"/>
  <c r="CI82" i="25"/>
  <c r="CI294" i="25" s="1"/>
  <c r="CI15" i="25"/>
  <c r="CI227" i="25" s="1"/>
  <c r="CI14" i="25"/>
  <c r="CI226" i="25" s="1"/>
  <c r="CI16" i="25"/>
  <c r="CI228" i="25" s="1"/>
  <c r="CI77" i="25"/>
  <c r="CI289" i="25" s="1"/>
  <c r="CI78" i="25"/>
  <c r="CI290" i="25" s="1"/>
  <c r="CI79" i="25"/>
  <c r="CI291" i="25" s="1"/>
  <c r="CI62" i="25"/>
  <c r="CI274" i="25" s="1"/>
  <c r="AY375" i="25" s="1"/>
  <c r="AJ29" i="29" s="1"/>
  <c r="CI60" i="25"/>
  <c r="CI272" i="25" s="1"/>
  <c r="CI61" i="25"/>
  <c r="CI273" i="25" s="1"/>
  <c r="AI114" i="21"/>
  <c r="AH136" i="21"/>
  <c r="CJ11" i="25" s="1"/>
  <c r="AH135" i="21"/>
  <c r="CJ10" i="25" s="1"/>
  <c r="AH170" i="21"/>
  <c r="AH168" i="21"/>
  <c r="AH153" i="21"/>
  <c r="AH152" i="21"/>
  <c r="AH169" i="21"/>
  <c r="AH154" i="21"/>
  <c r="AH127" i="21"/>
  <c r="AH134" i="21"/>
  <c r="AH163" i="21"/>
  <c r="CJ97" i="25" s="1"/>
  <c r="AH146" i="21"/>
  <c r="AH141" i="21"/>
  <c r="AH156" i="21"/>
  <c r="AH126" i="21"/>
  <c r="AH130" i="21"/>
  <c r="AH129" i="21"/>
  <c r="AH165" i="21"/>
  <c r="CJ99" i="25" s="1"/>
  <c r="AH132" i="21"/>
  <c r="AH147" i="21"/>
  <c r="AH137" i="21"/>
  <c r="AH149" i="21"/>
  <c r="AH119" i="21"/>
  <c r="AH125" i="21"/>
  <c r="CJ42" i="25" s="1"/>
  <c r="AH150" i="21"/>
  <c r="AH144" i="21"/>
  <c r="AH151" i="21"/>
  <c r="AH139" i="21"/>
  <c r="AH133" i="21"/>
  <c r="AH158" i="21"/>
  <c r="CJ8" i="25" s="1"/>
  <c r="AH131" i="21"/>
  <c r="AH121" i="21"/>
  <c r="AH155" i="21"/>
  <c r="AH159" i="21"/>
  <c r="CJ9" i="25" s="1"/>
  <c r="AH120" i="21"/>
  <c r="AH142" i="21"/>
  <c r="AH157" i="21"/>
  <c r="AH162" i="21"/>
  <c r="CJ59" i="25" s="1"/>
  <c r="AH164" i="21"/>
  <c r="AH160" i="21"/>
  <c r="CJ32" i="25" s="1"/>
  <c r="AH138" i="21"/>
  <c r="AH145" i="21"/>
  <c r="AH123" i="21"/>
  <c r="AH161" i="21"/>
  <c r="CJ33" i="25" s="1"/>
  <c r="AH143" i="21"/>
  <c r="AH140" i="21"/>
  <c r="AH124" i="21"/>
  <c r="AH128" i="21"/>
  <c r="AH148" i="21"/>
  <c r="AH122" i="21"/>
  <c r="CI45" i="25"/>
  <c r="CI257" i="25" s="1"/>
  <c r="CI44" i="25"/>
  <c r="CI256" i="25" s="1"/>
  <c r="CI37" i="25"/>
  <c r="CI249" i="25" s="1"/>
  <c r="CI46" i="25"/>
  <c r="CI258" i="25" s="1"/>
  <c r="CI18" i="25"/>
  <c r="CI230" i="25" s="1"/>
  <c r="CI17" i="25"/>
  <c r="CI229" i="25" s="1"/>
  <c r="CI38" i="25"/>
  <c r="CI250" i="25" s="1"/>
  <c r="CI34" i="25"/>
  <c r="CI246" i="25" s="1"/>
  <c r="CI35" i="25"/>
  <c r="CI247" i="25" s="1"/>
  <c r="CI23" i="25"/>
  <c r="CI235" i="25" s="1"/>
  <c r="CI12" i="25"/>
  <c r="CI224" i="25" s="1"/>
  <c r="CI30" i="25"/>
  <c r="CI242" i="25" s="1"/>
  <c r="CI31" i="25"/>
  <c r="CI243" i="25" s="1"/>
  <c r="CI73" i="25"/>
  <c r="CI285" i="25" s="1"/>
  <c r="CI81" i="25"/>
  <c r="CI293" i="25" s="1"/>
  <c r="CI80" i="25"/>
  <c r="CI292" i="25" s="1"/>
  <c r="CI89" i="25"/>
  <c r="CI301" i="25" s="1"/>
  <c r="CI90" i="25"/>
  <c r="CI302" i="25" s="1"/>
  <c r="CI53" i="25"/>
  <c r="CI265" i="25" s="1"/>
  <c r="CI254" i="25"/>
  <c r="CI266" i="25"/>
  <c r="CI51" i="25"/>
  <c r="CI263" i="25" s="1"/>
  <c r="CI52" i="25"/>
  <c r="CI264" i="25" s="1"/>
  <c r="CI98" i="25"/>
  <c r="CI310" i="25" s="1"/>
  <c r="CI50" i="25"/>
  <c r="CI262" i="25" s="1"/>
  <c r="CI49" i="25"/>
  <c r="CI261" i="25" s="1"/>
  <c r="CI48" i="25"/>
  <c r="CI260" i="25" s="1"/>
  <c r="CI76" i="25"/>
  <c r="CI288" i="25" s="1"/>
  <c r="CI75" i="25"/>
  <c r="CI287" i="25" s="1"/>
  <c r="CI72" i="25"/>
  <c r="CI284" i="25" s="1"/>
  <c r="CI71" i="25"/>
  <c r="CI283" i="25" s="1"/>
  <c r="CI70" i="25"/>
  <c r="CI282" i="25" s="1"/>
  <c r="CI280" i="25"/>
  <c r="CI281" i="25"/>
  <c r="CI86" i="25"/>
  <c r="CI298" i="25" s="1"/>
  <c r="CI87" i="25"/>
  <c r="CI299" i="25" s="1"/>
  <c r="CI88" i="25"/>
  <c r="CI300" i="25" s="1"/>
  <c r="CI28" i="25"/>
  <c r="CI240" i="25" s="1"/>
  <c r="CI29" i="25"/>
  <c r="CI241" i="25" s="1"/>
  <c r="CI92" i="25"/>
  <c r="CI304" i="25" s="1"/>
  <c r="CI91" i="25"/>
  <c r="CI303" i="25" s="1"/>
  <c r="CI13" i="25"/>
  <c r="CI225" i="25" s="1"/>
  <c r="CK22" i="25" l="1"/>
  <c r="CK234" i="25" s="1"/>
  <c r="CK58" i="25"/>
  <c r="CK270" i="25" s="1"/>
  <c r="BA371" i="25" s="1"/>
  <c r="AL26" i="29" s="1"/>
  <c r="AK26" i="29"/>
  <c r="AY356" i="25"/>
  <c r="AJ15" i="29" s="1"/>
  <c r="CJ223" i="25"/>
  <c r="CJ277" i="25"/>
  <c r="CJ306" i="25"/>
  <c r="CJ276" i="25"/>
  <c r="CJ255" i="25"/>
  <c r="CJ286" i="25"/>
  <c r="CJ296" i="25"/>
  <c r="AY364" i="25"/>
  <c r="AJ22" i="29" s="1"/>
  <c r="CJ253" i="25"/>
  <c r="AY378" i="25"/>
  <c r="AJ32" i="29" s="1"/>
  <c r="CJ297" i="25"/>
  <c r="CJ232" i="25"/>
  <c r="AI21" i="29"/>
  <c r="AI36" i="29" s="1"/>
  <c r="AY379" i="25"/>
  <c r="AJ33" i="29" s="1"/>
  <c r="AY376" i="25"/>
  <c r="AJ30" i="29" s="1"/>
  <c r="AW3" i="25"/>
  <c r="AH37" i="29"/>
  <c r="CJ307" i="25"/>
  <c r="CJ252" i="25"/>
  <c r="AY362" i="25"/>
  <c r="AX382" i="25"/>
  <c r="AY361" i="25"/>
  <c r="AJ20" i="29" s="1"/>
  <c r="AY365" i="25"/>
  <c r="AJ23" i="29" s="1"/>
  <c r="CJ295" i="25"/>
  <c r="AY353" i="25"/>
  <c r="AJ12" i="29" s="1"/>
  <c r="CJ312" i="25"/>
  <c r="CJ239" i="25"/>
  <c r="AY355" i="25"/>
  <c r="AJ14" i="29" s="1"/>
  <c r="CJ305" i="25"/>
  <c r="AY363" i="25"/>
  <c r="CJ238" i="25"/>
  <c r="AY381" i="25"/>
  <c r="AJ35" i="29" s="1"/>
  <c r="AY374" i="25"/>
  <c r="AJ28" i="29" s="1"/>
  <c r="CJ275" i="25"/>
  <c r="CJ308" i="25"/>
  <c r="CJ233" i="25"/>
  <c r="AY377" i="25"/>
  <c r="AJ31" i="29" s="1"/>
  <c r="AY380" i="25"/>
  <c r="AJ34" i="29" s="1"/>
  <c r="CJ231" i="25"/>
  <c r="AY354" i="25"/>
  <c r="AJ13" i="29" s="1"/>
  <c r="AY357" i="25"/>
  <c r="AJ16" i="29" s="1"/>
  <c r="CK19" i="25"/>
  <c r="CK21" i="25"/>
  <c r="CK20" i="25"/>
  <c r="CK84" i="25"/>
  <c r="CK26" i="25"/>
  <c r="CK100" i="25"/>
  <c r="CK85" i="25"/>
  <c r="CK40" i="25"/>
  <c r="CK93" i="25"/>
  <c r="CK83" i="25"/>
  <c r="CK74" i="25"/>
  <c r="CK27" i="25"/>
  <c r="CK65" i="25"/>
  <c r="CK64" i="25"/>
  <c r="CK41" i="25"/>
  <c r="CK96" i="25"/>
  <c r="CK95" i="25"/>
  <c r="CK94" i="25"/>
  <c r="CK63" i="25"/>
  <c r="CK43" i="25"/>
  <c r="CJ245" i="25"/>
  <c r="AZ359" i="25" s="1"/>
  <c r="AK18" i="29" s="1"/>
  <c r="CJ309" i="25"/>
  <c r="CJ244" i="25"/>
  <c r="AZ358" i="25" s="1"/>
  <c r="AK17" i="29" s="1"/>
  <c r="CJ311" i="25"/>
  <c r="CJ271" i="25"/>
  <c r="AZ373" i="25" s="1"/>
  <c r="AK27" i="29" s="1"/>
  <c r="CJ222" i="25"/>
  <c r="CJ221" i="25"/>
  <c r="AF12" i="1"/>
  <c r="CK124" i="25"/>
  <c r="CK125" i="25"/>
  <c r="CK126" i="25"/>
  <c r="CK127" i="25"/>
  <c r="CK128" i="25"/>
  <c r="CK129" i="25"/>
  <c r="CK130" i="25"/>
  <c r="CK131" i="25"/>
  <c r="CK132" i="25"/>
  <c r="CK133" i="25"/>
  <c r="CK134" i="25"/>
  <c r="CK135" i="25"/>
  <c r="CK136" i="25"/>
  <c r="CK138" i="25"/>
  <c r="CK139" i="25"/>
  <c r="CK140" i="25"/>
  <c r="CK141" i="25"/>
  <c r="CK142" i="25"/>
  <c r="CK143" i="25"/>
  <c r="CK144" i="25"/>
  <c r="CK145" i="25"/>
  <c r="CK146" i="25"/>
  <c r="CK147" i="25"/>
  <c r="CK148" i="25"/>
  <c r="CK149" i="25"/>
  <c r="CK150" i="25"/>
  <c r="CK151" i="25"/>
  <c r="CK248" i="25" s="1"/>
  <c r="CK152" i="25"/>
  <c r="CK154" i="25"/>
  <c r="CK251" i="25" s="1"/>
  <c r="CK201" i="25"/>
  <c r="CK203" i="25"/>
  <c r="CK198" i="25"/>
  <c r="CK200" i="25"/>
  <c r="CK123" i="25"/>
  <c r="CK155" i="25"/>
  <c r="CK153" i="25"/>
  <c r="CK156" i="25"/>
  <c r="CK157" i="25"/>
  <c r="CK158" i="25"/>
  <c r="CK159" i="25"/>
  <c r="CK160" i="25"/>
  <c r="CK161" i="25"/>
  <c r="CK162" i="25"/>
  <c r="CK163" i="25"/>
  <c r="CK164" i="25"/>
  <c r="CK165" i="25"/>
  <c r="CK166" i="25"/>
  <c r="CK167" i="25"/>
  <c r="CK168" i="25"/>
  <c r="CK169" i="25"/>
  <c r="CK170" i="25"/>
  <c r="CK267" i="25" s="1"/>
  <c r="CK171" i="25"/>
  <c r="CK268" i="25" s="1"/>
  <c r="BA367" i="25" s="1"/>
  <c r="AL24" i="29" s="1"/>
  <c r="CK172" i="25"/>
  <c r="CK269" i="25" s="1"/>
  <c r="BA369" i="25" s="1"/>
  <c r="AL25" i="29" s="1"/>
  <c r="CK174" i="25"/>
  <c r="CK175" i="25"/>
  <c r="CK176" i="25"/>
  <c r="CK177" i="25"/>
  <c r="CK178" i="25"/>
  <c r="CK179" i="25"/>
  <c r="CK180" i="25"/>
  <c r="CK181" i="25"/>
  <c r="CK278" i="25" s="1"/>
  <c r="CK182" i="25"/>
  <c r="CK279" i="25" s="1"/>
  <c r="CK183" i="25"/>
  <c r="CK184" i="25"/>
  <c r="CK185" i="25"/>
  <c r="CK186" i="25"/>
  <c r="CK187" i="25"/>
  <c r="CK188" i="25"/>
  <c r="CK189" i="25"/>
  <c r="CK190" i="25"/>
  <c r="CK191" i="25"/>
  <c r="CK192" i="25"/>
  <c r="CK193" i="25"/>
  <c r="CK194" i="25"/>
  <c r="CK195" i="25"/>
  <c r="CK196" i="25"/>
  <c r="CK204" i="25"/>
  <c r="CK205" i="25"/>
  <c r="CK206" i="25"/>
  <c r="CK207" i="25"/>
  <c r="CK208" i="25"/>
  <c r="CK209" i="25"/>
  <c r="CK210" i="25"/>
  <c r="CK211" i="25"/>
  <c r="CK212" i="25"/>
  <c r="CK213" i="25"/>
  <c r="CK214" i="25"/>
  <c r="CK215" i="25"/>
  <c r="CK197" i="25"/>
  <c r="CK199" i="25"/>
  <c r="CK202" i="25"/>
  <c r="CJ216" i="25"/>
  <c r="CI5" i="25"/>
  <c r="AX347" i="25"/>
  <c r="CJ220" i="25"/>
  <c r="CI313" i="25"/>
  <c r="CI103" i="25"/>
  <c r="CJ24" i="25"/>
  <c r="CJ236" i="25" s="1"/>
  <c r="CJ25" i="25"/>
  <c r="CJ237" i="25" s="1"/>
  <c r="CJ281" i="25"/>
  <c r="CJ280" i="25"/>
  <c r="CJ49" i="25"/>
  <c r="CJ261" i="25" s="1"/>
  <c r="CJ50" i="25"/>
  <c r="CJ262" i="25" s="1"/>
  <c r="CJ62" i="25"/>
  <c r="CJ274" i="25" s="1"/>
  <c r="AZ375" i="25" s="1"/>
  <c r="AK29" i="29" s="1"/>
  <c r="CJ60" i="25"/>
  <c r="CJ272" i="25" s="1"/>
  <c r="CJ61" i="25"/>
  <c r="CJ273" i="25" s="1"/>
  <c r="CJ38" i="25"/>
  <c r="CJ250" i="25" s="1"/>
  <c r="CJ17" i="25"/>
  <c r="CJ229" i="25" s="1"/>
  <c r="CJ18" i="25"/>
  <c r="CJ230" i="25" s="1"/>
  <c r="CJ23" i="25"/>
  <c r="CJ235" i="25" s="1"/>
  <c r="CJ15" i="25"/>
  <c r="CJ227" i="25" s="1"/>
  <c r="CJ14" i="25"/>
  <c r="CJ226" i="25" s="1"/>
  <c r="CJ75" i="25"/>
  <c r="CJ287" i="25" s="1"/>
  <c r="CJ76" i="25"/>
  <c r="CJ288" i="25" s="1"/>
  <c r="CJ89" i="25"/>
  <c r="CJ301" i="25" s="1"/>
  <c r="CJ90" i="25"/>
  <c r="CJ302" i="25" s="1"/>
  <c r="CJ80" i="25"/>
  <c r="CJ292" i="25" s="1"/>
  <c r="CJ81" i="25"/>
  <c r="CJ293" i="25" s="1"/>
  <c r="CJ31" i="25"/>
  <c r="CJ243" i="25" s="1"/>
  <c r="CJ30" i="25"/>
  <c r="CJ242" i="25" s="1"/>
  <c r="CJ34" i="25"/>
  <c r="CJ246" i="25" s="1"/>
  <c r="CJ35" i="25"/>
  <c r="CJ247" i="25" s="1"/>
  <c r="CJ48" i="25"/>
  <c r="CJ260" i="25" s="1"/>
  <c r="CJ53" i="25"/>
  <c r="CJ265" i="25" s="1"/>
  <c r="CJ254" i="25"/>
  <c r="CJ266" i="25"/>
  <c r="CJ12" i="25"/>
  <c r="CJ224" i="25" s="1"/>
  <c r="CJ82" i="25"/>
  <c r="CJ294" i="25" s="1"/>
  <c r="AJ114" i="21"/>
  <c r="AI136" i="21"/>
  <c r="CK11" i="25" s="1"/>
  <c r="AI135" i="21"/>
  <c r="CK10" i="25" s="1"/>
  <c r="AI169" i="21"/>
  <c r="AI127" i="21"/>
  <c r="AI152" i="21"/>
  <c r="AI170" i="21"/>
  <c r="AI168" i="21"/>
  <c r="AI154" i="21"/>
  <c r="AI153" i="21"/>
  <c r="AI132" i="21"/>
  <c r="AI150" i="21"/>
  <c r="AI146" i="21"/>
  <c r="AI142" i="21"/>
  <c r="AI157" i="21"/>
  <c r="AI145" i="21"/>
  <c r="AI125" i="21"/>
  <c r="CK42" i="25" s="1"/>
  <c r="AI126" i="21"/>
  <c r="AI139" i="21"/>
  <c r="AI130" i="21"/>
  <c r="AI137" i="21"/>
  <c r="AI156" i="21"/>
  <c r="AI151" i="21"/>
  <c r="AI123" i="21"/>
  <c r="AI120" i="21"/>
  <c r="AI119" i="21"/>
  <c r="AI131" i="21"/>
  <c r="AI155" i="21"/>
  <c r="AI144" i="21"/>
  <c r="AI148" i="21"/>
  <c r="AI124" i="21"/>
  <c r="AI164" i="21"/>
  <c r="AI140" i="21"/>
  <c r="AI134" i="21"/>
  <c r="AI160" i="21"/>
  <c r="CK32" i="25" s="1"/>
  <c r="AI163" i="21"/>
  <c r="CK97" i="25" s="1"/>
  <c r="AI141" i="21"/>
  <c r="AI158" i="21"/>
  <c r="CK8" i="25" s="1"/>
  <c r="AI128" i="21"/>
  <c r="AI147" i="21"/>
  <c r="AI149" i="21"/>
  <c r="AI129" i="21"/>
  <c r="AI159" i="21"/>
  <c r="CK9" i="25" s="1"/>
  <c r="CK221" i="25" s="1"/>
  <c r="AI161" i="21"/>
  <c r="CK33" i="25" s="1"/>
  <c r="AI162" i="21"/>
  <c r="CK59" i="25" s="1"/>
  <c r="AI165" i="21"/>
  <c r="CK99" i="25" s="1"/>
  <c r="AI121" i="21"/>
  <c r="AI143" i="21"/>
  <c r="AI133" i="21"/>
  <c r="AI138" i="21"/>
  <c r="AI122" i="21"/>
  <c r="CJ91" i="25"/>
  <c r="CJ303" i="25" s="1"/>
  <c r="CJ92" i="25"/>
  <c r="CJ304" i="25" s="1"/>
  <c r="CJ73" i="25"/>
  <c r="CJ285" i="25" s="1"/>
  <c r="CJ98" i="25"/>
  <c r="CJ310" i="25" s="1"/>
  <c r="CJ13" i="25"/>
  <c r="CJ225" i="25" s="1"/>
  <c r="CJ44" i="25"/>
  <c r="CJ256" i="25" s="1"/>
  <c r="CJ46" i="25"/>
  <c r="CJ258" i="25" s="1"/>
  <c r="CJ45" i="25"/>
  <c r="CJ257" i="25" s="1"/>
  <c r="CJ37" i="25"/>
  <c r="CJ249" i="25" s="1"/>
  <c r="CJ16" i="25"/>
  <c r="CJ228" i="25" s="1"/>
  <c r="CJ51" i="25"/>
  <c r="CJ263" i="25" s="1"/>
  <c r="CJ52" i="25"/>
  <c r="CJ264" i="25" s="1"/>
  <c r="CJ47" i="25"/>
  <c r="CJ259" i="25" s="1"/>
  <c r="CJ70" i="25"/>
  <c r="CJ282" i="25" s="1"/>
  <c r="CJ72" i="25"/>
  <c r="CJ284" i="25" s="1"/>
  <c r="CJ71" i="25"/>
  <c r="CJ283" i="25" s="1"/>
  <c r="CJ28" i="25"/>
  <c r="CJ240" i="25" s="1"/>
  <c r="CJ29" i="25"/>
  <c r="CJ241" i="25" s="1"/>
  <c r="CJ78" i="25"/>
  <c r="CJ290" i="25" s="1"/>
  <c r="CJ77" i="25"/>
  <c r="CJ289" i="25" s="1"/>
  <c r="CJ79" i="25"/>
  <c r="CJ291" i="25" s="1"/>
  <c r="CJ87" i="25"/>
  <c r="CJ299" i="25" s="1"/>
  <c r="CJ86" i="25"/>
  <c r="CJ298" i="25" s="1"/>
  <c r="CJ88" i="25"/>
  <c r="CJ300" i="25" s="1"/>
  <c r="CL22" i="25" l="1"/>
  <c r="CL234" i="25" s="1"/>
  <c r="CL58" i="25"/>
  <c r="CL270" i="25" s="1"/>
  <c r="BB371" i="25" s="1"/>
  <c r="CK296" i="25"/>
  <c r="AZ376" i="25"/>
  <c r="AK30" i="29" s="1"/>
  <c r="AZ364" i="25"/>
  <c r="AK22" i="29" s="1"/>
  <c r="CK238" i="25"/>
  <c r="CK255" i="25"/>
  <c r="AZ378" i="25"/>
  <c r="AK32" i="29" s="1"/>
  <c r="AJ21" i="29"/>
  <c r="AJ36" i="29" s="1"/>
  <c r="AX3" i="25"/>
  <c r="AI37" i="29"/>
  <c r="CK276" i="25"/>
  <c r="CK297" i="25"/>
  <c r="AZ379" i="25"/>
  <c r="AK33" i="29" s="1"/>
  <c r="CK312" i="25"/>
  <c r="CK253" i="25"/>
  <c r="AZ380" i="25"/>
  <c r="AK34" i="29" s="1"/>
  <c r="AZ365" i="25"/>
  <c r="AK23" i="29" s="1"/>
  <c r="CK232" i="25"/>
  <c r="AZ353" i="25"/>
  <c r="AK12" i="29" s="1"/>
  <c r="AZ361" i="25"/>
  <c r="AK20" i="29" s="1"/>
  <c r="CK286" i="25"/>
  <c r="CK252" i="25"/>
  <c r="AY382" i="25"/>
  <c r="AZ356" i="25"/>
  <c r="AK15" i="29" s="1"/>
  <c r="AZ381" i="25"/>
  <c r="AK35" i="29" s="1"/>
  <c r="CK275" i="25"/>
  <c r="AZ374" i="25"/>
  <c r="AK28" i="29" s="1"/>
  <c r="AZ377" i="25"/>
  <c r="AK31" i="29" s="1"/>
  <c r="AZ357" i="25"/>
  <c r="AK16" i="29" s="1"/>
  <c r="CK231" i="25"/>
  <c r="CK308" i="25"/>
  <c r="CK277" i="25"/>
  <c r="CK239" i="25"/>
  <c r="AZ355" i="25"/>
  <c r="AK14" i="29" s="1"/>
  <c r="CK233" i="25"/>
  <c r="AZ362" i="25"/>
  <c r="AZ363" i="25"/>
  <c r="CK307" i="25"/>
  <c r="CK306" i="25"/>
  <c r="CK295" i="25"/>
  <c r="AZ354" i="25"/>
  <c r="AK13" i="29" s="1"/>
  <c r="CL19" i="25"/>
  <c r="CL21" i="25"/>
  <c r="CL20" i="25"/>
  <c r="CL93" i="25"/>
  <c r="CL64" i="25"/>
  <c r="CL74" i="25"/>
  <c r="CL65" i="25"/>
  <c r="CL26" i="25"/>
  <c r="CL96" i="25"/>
  <c r="CL41" i="25"/>
  <c r="CL100" i="25"/>
  <c r="CL40" i="25"/>
  <c r="CL85" i="25"/>
  <c r="CL27" i="25"/>
  <c r="CL83" i="25"/>
  <c r="CL84" i="25"/>
  <c r="CL94" i="25"/>
  <c r="CL95" i="25"/>
  <c r="CL63" i="25"/>
  <c r="CL43" i="25"/>
  <c r="CK305" i="25"/>
  <c r="CK245" i="25"/>
  <c r="BA359" i="25" s="1"/>
  <c r="AL18" i="29" s="1"/>
  <c r="CK309" i="25"/>
  <c r="CK311" i="25"/>
  <c r="CK223" i="25"/>
  <c r="CK271" i="25"/>
  <c r="BA373" i="25" s="1"/>
  <c r="AL27" i="29" s="1"/>
  <c r="CK216" i="25"/>
  <c r="CK244" i="25"/>
  <c r="BA358" i="25" s="1"/>
  <c r="AL17" i="29" s="1"/>
  <c r="CK222" i="25"/>
  <c r="AG12" i="1"/>
  <c r="CL124" i="25"/>
  <c r="CL125" i="25"/>
  <c r="CL126" i="25"/>
  <c r="CL127" i="25"/>
  <c r="CL128" i="25"/>
  <c r="CL129" i="25"/>
  <c r="CL130" i="25"/>
  <c r="CL131" i="25"/>
  <c r="CL132" i="25"/>
  <c r="CL133" i="25"/>
  <c r="CL134" i="25"/>
  <c r="CL135" i="25"/>
  <c r="CL136" i="25"/>
  <c r="CL138" i="25"/>
  <c r="CL139" i="25"/>
  <c r="CL140" i="25"/>
  <c r="CL141" i="25"/>
  <c r="CL142" i="25"/>
  <c r="CL143" i="25"/>
  <c r="CL144" i="25"/>
  <c r="CL145" i="25"/>
  <c r="CL146" i="25"/>
  <c r="CL147" i="25"/>
  <c r="CL148" i="25"/>
  <c r="CL149" i="25"/>
  <c r="CL150" i="25"/>
  <c r="CL151" i="25"/>
  <c r="CL248" i="25" s="1"/>
  <c r="CL152" i="25"/>
  <c r="CL153" i="25"/>
  <c r="CL154" i="25"/>
  <c r="CL251" i="25" s="1"/>
  <c r="CL155" i="25"/>
  <c r="CL156" i="25"/>
  <c r="CL157" i="25"/>
  <c r="CL158" i="25"/>
  <c r="CL159" i="25"/>
  <c r="CL160" i="25"/>
  <c r="CL161" i="25"/>
  <c r="CL162" i="25"/>
  <c r="CL163" i="25"/>
  <c r="CL164" i="25"/>
  <c r="CL165" i="25"/>
  <c r="CL166" i="25"/>
  <c r="CL167" i="25"/>
  <c r="CL168" i="25"/>
  <c r="CL169" i="25"/>
  <c r="CL170" i="25"/>
  <c r="CL267" i="25" s="1"/>
  <c r="CL171" i="25"/>
  <c r="CL268" i="25" s="1"/>
  <c r="BB367" i="25" s="1"/>
  <c r="AM24" i="29" s="1"/>
  <c r="CL172" i="25"/>
  <c r="CL269" i="25" s="1"/>
  <c r="BB369" i="25" s="1"/>
  <c r="AM25" i="29" s="1"/>
  <c r="CL174" i="25"/>
  <c r="CL175" i="25"/>
  <c r="CL176" i="25"/>
  <c r="CL177" i="25"/>
  <c r="CL178" i="25"/>
  <c r="CL179" i="25"/>
  <c r="CL180" i="25"/>
  <c r="CL181" i="25"/>
  <c r="CL278" i="25" s="1"/>
  <c r="CL182" i="25"/>
  <c r="CL279" i="25" s="1"/>
  <c r="CL183" i="25"/>
  <c r="CL184" i="25"/>
  <c r="CL185" i="25"/>
  <c r="CL186" i="25"/>
  <c r="CL187" i="25"/>
  <c r="CL188" i="25"/>
  <c r="CL189" i="25"/>
  <c r="CL190" i="25"/>
  <c r="CL191" i="25"/>
  <c r="CL192" i="25"/>
  <c r="CL193" i="25"/>
  <c r="CL194" i="25"/>
  <c r="CL195" i="25"/>
  <c r="CL196" i="25"/>
  <c r="CL197" i="25"/>
  <c r="CL198" i="25"/>
  <c r="CL199" i="25"/>
  <c r="CL200" i="25"/>
  <c r="CL201" i="25"/>
  <c r="CL202" i="25"/>
  <c r="CL203" i="25"/>
  <c r="CL207" i="25"/>
  <c r="CL214" i="25"/>
  <c r="CL204" i="25"/>
  <c r="CL208" i="25"/>
  <c r="CL212" i="25"/>
  <c r="CL209" i="25"/>
  <c r="CL210" i="25"/>
  <c r="CL215" i="25"/>
  <c r="CL205" i="25"/>
  <c r="CL211" i="25"/>
  <c r="CL213" i="25"/>
  <c r="CL123" i="25"/>
  <c r="CL206" i="25"/>
  <c r="CJ5" i="25"/>
  <c r="AY347" i="25"/>
  <c r="CK220" i="25"/>
  <c r="BA353" i="25" s="1"/>
  <c r="AL12" i="29" s="1"/>
  <c r="CJ313" i="25"/>
  <c r="CJ103" i="25"/>
  <c r="CK18" i="25"/>
  <c r="CK230" i="25" s="1"/>
  <c r="CK38" i="25"/>
  <c r="CK250" i="25" s="1"/>
  <c r="CK17" i="25"/>
  <c r="CK229" i="25" s="1"/>
  <c r="CK16" i="25"/>
  <c r="CK228" i="25" s="1"/>
  <c r="CK77" i="25"/>
  <c r="CK289" i="25" s="1"/>
  <c r="CK78" i="25"/>
  <c r="CK290" i="25" s="1"/>
  <c r="CK79" i="25"/>
  <c r="CK291" i="25" s="1"/>
  <c r="CK29" i="25"/>
  <c r="CK241" i="25" s="1"/>
  <c r="CK28" i="25"/>
  <c r="CK240" i="25" s="1"/>
  <c r="CK47" i="25"/>
  <c r="CK259" i="25" s="1"/>
  <c r="CK266" i="25"/>
  <c r="CK254" i="25"/>
  <c r="CK53" i="25"/>
  <c r="CK265" i="25" s="1"/>
  <c r="CK82" i="25"/>
  <c r="CK294" i="25" s="1"/>
  <c r="AK114" i="21"/>
  <c r="AJ135" i="21"/>
  <c r="CL10" i="25" s="1"/>
  <c r="AJ136" i="21"/>
  <c r="CL11" i="25" s="1"/>
  <c r="AJ169" i="21"/>
  <c r="AJ154" i="21"/>
  <c r="AJ127" i="21"/>
  <c r="AJ170" i="21"/>
  <c r="AJ153" i="21"/>
  <c r="AJ168" i="21"/>
  <c r="AJ152" i="21"/>
  <c r="AJ126" i="21"/>
  <c r="AJ141" i="21"/>
  <c r="AJ146" i="21"/>
  <c r="AJ143" i="21"/>
  <c r="AJ129" i="21"/>
  <c r="AJ128" i="21"/>
  <c r="AJ156" i="21"/>
  <c r="AJ130" i="21"/>
  <c r="AJ137" i="21"/>
  <c r="AJ160" i="21"/>
  <c r="CL32" i="25" s="1"/>
  <c r="CL244" i="25" s="1"/>
  <c r="BB358" i="25" s="1"/>
  <c r="AM17" i="29" s="1"/>
  <c r="AJ165" i="21"/>
  <c r="CL99" i="25" s="1"/>
  <c r="AJ164" i="21"/>
  <c r="AJ124" i="21"/>
  <c r="AJ140" i="21"/>
  <c r="AJ123" i="21"/>
  <c r="AJ147" i="21"/>
  <c r="AJ142" i="21"/>
  <c r="AJ163" i="21"/>
  <c r="CL97" i="25" s="1"/>
  <c r="AJ158" i="21"/>
  <c r="CL8" i="25" s="1"/>
  <c r="AJ121" i="21"/>
  <c r="AJ119" i="21"/>
  <c r="AJ145" i="21"/>
  <c r="AJ120" i="21"/>
  <c r="AJ144" i="21"/>
  <c r="AJ138" i="21"/>
  <c r="AJ157" i="21"/>
  <c r="AJ148" i="21"/>
  <c r="AJ133" i="21"/>
  <c r="AJ139" i="21"/>
  <c r="AJ131" i="21"/>
  <c r="AJ125" i="21"/>
  <c r="CL42" i="25" s="1"/>
  <c r="AJ155" i="21"/>
  <c r="AJ161" i="21"/>
  <c r="CL33" i="25" s="1"/>
  <c r="AJ151" i="21"/>
  <c r="AJ134" i="21"/>
  <c r="AJ149" i="21"/>
  <c r="AJ132" i="21"/>
  <c r="AJ162" i="21"/>
  <c r="CL59" i="25" s="1"/>
  <c r="AJ159" i="21"/>
  <c r="CL9" i="25" s="1"/>
  <c r="AJ150" i="21"/>
  <c r="AJ122" i="21"/>
  <c r="CK73" i="25"/>
  <c r="CK285" i="25" s="1"/>
  <c r="CK48" i="25"/>
  <c r="CK260" i="25" s="1"/>
  <c r="CK35" i="25"/>
  <c r="CK247" i="25" s="1"/>
  <c r="CK34" i="25"/>
  <c r="CK246" i="25" s="1"/>
  <c r="CK70" i="25"/>
  <c r="CK282" i="25" s="1"/>
  <c r="CK72" i="25"/>
  <c r="CK284" i="25" s="1"/>
  <c r="CK71" i="25"/>
  <c r="CK283" i="25" s="1"/>
  <c r="CK91" i="25"/>
  <c r="CK303" i="25" s="1"/>
  <c r="CK92" i="25"/>
  <c r="CK304" i="25" s="1"/>
  <c r="CK23" i="25"/>
  <c r="CK235" i="25" s="1"/>
  <c r="CK51" i="25"/>
  <c r="CK263" i="25" s="1"/>
  <c r="CK52" i="25"/>
  <c r="CK264" i="25" s="1"/>
  <c r="CK61" i="25"/>
  <c r="CK273" i="25" s="1"/>
  <c r="CK60" i="25"/>
  <c r="CK272" i="25" s="1"/>
  <c r="CK62" i="25"/>
  <c r="CK274" i="25" s="1"/>
  <c r="BA375" i="25" s="1"/>
  <c r="AL29" i="29" s="1"/>
  <c r="CK75" i="25"/>
  <c r="CK287" i="25" s="1"/>
  <c r="CK76" i="25"/>
  <c r="CK288" i="25" s="1"/>
  <c r="CK87" i="25"/>
  <c r="CK299" i="25" s="1"/>
  <c r="CK88" i="25"/>
  <c r="CK300" i="25" s="1"/>
  <c r="CK86" i="25"/>
  <c r="CK298" i="25" s="1"/>
  <c r="CK24" i="25"/>
  <c r="CK236" i="25" s="1"/>
  <c r="CK25" i="25"/>
  <c r="CK237" i="25" s="1"/>
  <c r="CK31" i="25"/>
  <c r="CK243" i="25" s="1"/>
  <c r="CK30" i="25"/>
  <c r="CK242" i="25" s="1"/>
  <c r="CK281" i="25"/>
  <c r="CK280" i="25"/>
  <c r="CK37" i="25"/>
  <c r="CK249" i="25" s="1"/>
  <c r="CK45" i="25"/>
  <c r="CK257" i="25" s="1"/>
  <c r="CK46" i="25"/>
  <c r="CK258" i="25" s="1"/>
  <c r="CK44" i="25"/>
  <c r="CK256" i="25" s="1"/>
  <c r="CK98" i="25"/>
  <c r="CK310" i="25" s="1"/>
  <c r="CK89" i="25"/>
  <c r="CK301" i="25" s="1"/>
  <c r="CK90" i="25"/>
  <c r="CK302" i="25" s="1"/>
  <c r="CK12" i="25"/>
  <c r="CK224" i="25" s="1"/>
  <c r="CK80" i="25"/>
  <c r="CK292" i="25" s="1"/>
  <c r="CK81" i="25"/>
  <c r="CK293" i="25" s="1"/>
  <c r="CK50" i="25"/>
  <c r="CK262" i="25" s="1"/>
  <c r="CK49" i="25"/>
  <c r="CK261" i="25" s="1"/>
  <c r="CK13" i="25"/>
  <c r="CK225" i="25" s="1"/>
  <c r="CK15" i="25"/>
  <c r="CK227" i="25" s="1"/>
  <c r="CK14" i="25"/>
  <c r="CK226" i="25" s="1"/>
  <c r="CM22" i="25" l="1"/>
  <c r="CM234" i="25" s="1"/>
  <c r="CM58" i="25"/>
  <c r="CM270" i="25" s="1"/>
  <c r="BC371" i="25" s="1"/>
  <c r="AN26" i="29" s="1"/>
  <c r="AM26" i="29"/>
  <c r="CL308" i="25"/>
  <c r="BA356" i="25"/>
  <c r="AL15" i="29" s="1"/>
  <c r="BA364" i="25"/>
  <c r="AL22" i="29" s="1"/>
  <c r="BA374" i="25"/>
  <c r="AL28" i="29" s="1"/>
  <c r="BA378" i="25"/>
  <c r="AL32" i="29" s="1"/>
  <c r="BA376" i="25"/>
  <c r="AL30" i="29" s="1"/>
  <c r="BA379" i="25"/>
  <c r="AL33" i="29" s="1"/>
  <c r="AK21" i="29"/>
  <c r="AK36" i="29" s="1"/>
  <c r="AY3" i="25"/>
  <c r="AJ37" i="29"/>
  <c r="CL309" i="25"/>
  <c r="CL295" i="25"/>
  <c r="CL286" i="25"/>
  <c r="CL277" i="25"/>
  <c r="CL221" i="25"/>
  <c r="CL239" i="25"/>
  <c r="BA355" i="25"/>
  <c r="AL14" i="29" s="1"/>
  <c r="BA361" i="25"/>
  <c r="AL20" i="29" s="1"/>
  <c r="CL233" i="25"/>
  <c r="BA365" i="25"/>
  <c r="AL23" i="29" s="1"/>
  <c r="BA381" i="25"/>
  <c r="AL35" i="29" s="1"/>
  <c r="BA377" i="25"/>
  <c r="AL31" i="29" s="1"/>
  <c r="AZ382" i="25"/>
  <c r="CL307" i="25"/>
  <c r="CL275" i="25"/>
  <c r="CL312" i="25"/>
  <c r="CL306" i="25"/>
  <c r="CL232" i="25"/>
  <c r="CL238" i="25"/>
  <c r="CL253" i="25"/>
  <c r="BA380" i="25"/>
  <c r="AL34" i="29" s="1"/>
  <c r="BA363" i="25"/>
  <c r="CM20" i="25"/>
  <c r="CM21" i="25"/>
  <c r="CM19" i="25"/>
  <c r="CM74" i="25"/>
  <c r="CM85" i="25"/>
  <c r="CM96" i="25"/>
  <c r="CM27" i="25"/>
  <c r="CM84" i="25"/>
  <c r="CM65" i="25"/>
  <c r="CM40" i="25"/>
  <c r="CM26" i="25"/>
  <c r="CM93" i="25"/>
  <c r="CM100" i="25"/>
  <c r="CM64" i="25"/>
  <c r="CM41" i="25"/>
  <c r="CM83" i="25"/>
  <c r="CM95" i="25"/>
  <c r="CM94" i="25"/>
  <c r="CM63" i="25"/>
  <c r="CM43" i="25"/>
  <c r="CL276" i="25"/>
  <c r="CL231" i="25"/>
  <c r="CL255" i="25"/>
  <c r="BA357" i="25"/>
  <c r="AL16" i="29" s="1"/>
  <c r="CL297" i="25"/>
  <c r="BA362" i="25"/>
  <c r="CL305" i="25"/>
  <c r="CL296" i="25"/>
  <c r="CL252" i="25"/>
  <c r="BA354" i="25"/>
  <c r="AL13" i="29" s="1"/>
  <c r="CL311" i="25"/>
  <c r="CL245" i="25"/>
  <c r="BB359" i="25" s="1"/>
  <c r="AM18" i="29" s="1"/>
  <c r="CL271" i="25"/>
  <c r="BB373" i="25" s="1"/>
  <c r="AM27" i="29" s="1"/>
  <c r="CL223" i="25"/>
  <c r="CL222" i="25"/>
  <c r="CL216" i="25"/>
  <c r="AH12" i="1"/>
  <c r="CM124" i="25"/>
  <c r="CM125" i="25"/>
  <c r="CM126" i="25"/>
  <c r="CM127" i="25"/>
  <c r="CM128" i="25"/>
  <c r="CM129" i="25"/>
  <c r="CM133" i="25"/>
  <c r="CM134" i="25"/>
  <c r="CM135" i="25"/>
  <c r="CM136" i="25"/>
  <c r="CM138" i="25"/>
  <c r="CM139" i="25"/>
  <c r="CM140" i="25"/>
  <c r="CM141" i="25"/>
  <c r="CM142" i="25"/>
  <c r="CM130" i="25"/>
  <c r="CM132" i="25"/>
  <c r="CM131" i="25"/>
  <c r="CM156" i="25"/>
  <c r="CM157" i="25"/>
  <c r="CM158" i="25"/>
  <c r="CM159" i="25"/>
  <c r="CM160" i="25"/>
  <c r="CM161" i="25"/>
  <c r="CM162" i="25"/>
  <c r="CM163" i="25"/>
  <c r="CM164" i="25"/>
  <c r="CM165" i="25"/>
  <c r="CM166" i="25"/>
  <c r="CM167" i="25"/>
  <c r="CM168" i="25"/>
  <c r="CM169" i="25"/>
  <c r="CM170" i="25"/>
  <c r="CM267" i="25" s="1"/>
  <c r="CM171" i="25"/>
  <c r="CM268" i="25" s="1"/>
  <c r="BC367" i="25" s="1"/>
  <c r="AN24" i="29" s="1"/>
  <c r="CM172" i="25"/>
  <c r="CM269" i="25" s="1"/>
  <c r="BC369" i="25" s="1"/>
  <c r="AN25" i="29" s="1"/>
  <c r="CM174" i="25"/>
  <c r="CM175" i="25"/>
  <c r="CM176" i="25"/>
  <c r="CM177" i="25"/>
  <c r="CM178" i="25"/>
  <c r="CM179" i="25"/>
  <c r="CM180" i="25"/>
  <c r="CM181" i="25"/>
  <c r="CM278" i="25" s="1"/>
  <c r="CM143" i="25"/>
  <c r="CM144" i="25"/>
  <c r="CM145" i="25"/>
  <c r="CM146" i="25"/>
  <c r="CM147" i="25"/>
  <c r="CM148" i="25"/>
  <c r="CM149" i="25"/>
  <c r="CM150" i="25"/>
  <c r="CM151" i="25"/>
  <c r="CM248" i="25" s="1"/>
  <c r="CM152" i="25"/>
  <c r="CM154" i="25"/>
  <c r="CM251" i="25" s="1"/>
  <c r="CM153" i="25"/>
  <c r="CM182" i="25"/>
  <c r="CM279" i="25" s="1"/>
  <c r="CM183" i="25"/>
  <c r="CM184" i="25"/>
  <c r="CM185" i="25"/>
  <c r="CM186" i="25"/>
  <c r="CM187" i="25"/>
  <c r="CM188" i="25"/>
  <c r="CM189" i="25"/>
  <c r="CM190" i="25"/>
  <c r="CM191" i="25"/>
  <c r="CM192" i="25"/>
  <c r="CM193" i="25"/>
  <c r="CM194" i="25"/>
  <c r="CM195" i="25"/>
  <c r="CM196" i="25"/>
  <c r="CM197" i="25"/>
  <c r="CM198" i="25"/>
  <c r="CM199" i="25"/>
  <c r="CM200" i="25"/>
  <c r="CM155" i="25"/>
  <c r="CM201" i="25"/>
  <c r="CM202" i="25"/>
  <c r="CM203" i="25"/>
  <c r="CM206" i="25"/>
  <c r="CM207" i="25"/>
  <c r="CM210" i="25"/>
  <c r="CM213" i="25"/>
  <c r="CM205" i="25"/>
  <c r="CM209" i="25"/>
  <c r="CM214" i="25"/>
  <c r="CM211" i="25"/>
  <c r="CM215" i="25"/>
  <c r="CM123" i="25"/>
  <c r="CM204" i="25"/>
  <c r="CM208" i="25"/>
  <c r="CM212" i="25"/>
  <c r="CK5" i="25"/>
  <c r="AZ347" i="25"/>
  <c r="CK313" i="25"/>
  <c r="CL220" i="25"/>
  <c r="CK103" i="25"/>
  <c r="CL92" i="25"/>
  <c r="CL304" i="25" s="1"/>
  <c r="CL91" i="25"/>
  <c r="CL303" i="25" s="1"/>
  <c r="CL50" i="25"/>
  <c r="CL262" i="25" s="1"/>
  <c r="CL49" i="25"/>
  <c r="CL261" i="25" s="1"/>
  <c r="CL25" i="25"/>
  <c r="CL237" i="25" s="1"/>
  <c r="CL24" i="25"/>
  <c r="CL236" i="25" s="1"/>
  <c r="CL80" i="25"/>
  <c r="CL292" i="25" s="1"/>
  <c r="CL81" i="25"/>
  <c r="CL293" i="25" s="1"/>
  <c r="CL254" i="25"/>
  <c r="CL266" i="25"/>
  <c r="CL53" i="25"/>
  <c r="CL265" i="25" s="1"/>
  <c r="CL47" i="25"/>
  <c r="CL259" i="25" s="1"/>
  <c r="CL51" i="25"/>
  <c r="CL263" i="25" s="1"/>
  <c r="CL52" i="25"/>
  <c r="CL264" i="25" s="1"/>
  <c r="CL87" i="25"/>
  <c r="CL299" i="25" s="1"/>
  <c r="CL86" i="25"/>
  <c r="CL298" i="25" s="1"/>
  <c r="CL88" i="25"/>
  <c r="CL300" i="25" s="1"/>
  <c r="AL114" i="21"/>
  <c r="AK135" i="21"/>
  <c r="CM10" i="25" s="1"/>
  <c r="AK136" i="21"/>
  <c r="CM11" i="25" s="1"/>
  <c r="AK153" i="21"/>
  <c r="AK169" i="21"/>
  <c r="AK170" i="21"/>
  <c r="AK152" i="21"/>
  <c r="AK127" i="21"/>
  <c r="AK154" i="21"/>
  <c r="AK168" i="21"/>
  <c r="AK142" i="21"/>
  <c r="AK145" i="21"/>
  <c r="AK128" i="21"/>
  <c r="AK141" i="21"/>
  <c r="AK160" i="21"/>
  <c r="CM32" i="25" s="1"/>
  <c r="AK123" i="21"/>
  <c r="AK146" i="21"/>
  <c r="AK137" i="21"/>
  <c r="AK132" i="21"/>
  <c r="AK163" i="21"/>
  <c r="CM97" i="25" s="1"/>
  <c r="AK158" i="21"/>
  <c r="CM8" i="25" s="1"/>
  <c r="AK120" i="21"/>
  <c r="AK126" i="21"/>
  <c r="AK124" i="21"/>
  <c r="AK138" i="21"/>
  <c r="AK159" i="21"/>
  <c r="CM9" i="25" s="1"/>
  <c r="AK144" i="21"/>
  <c r="AK130" i="21"/>
  <c r="AK148" i="21"/>
  <c r="AK161" i="21"/>
  <c r="CM33" i="25" s="1"/>
  <c r="AK129" i="21"/>
  <c r="AK156" i="21"/>
  <c r="AK134" i="21"/>
  <c r="AK147" i="21"/>
  <c r="AK151" i="21"/>
  <c r="AK149" i="21"/>
  <c r="AK121" i="21"/>
  <c r="AK139" i="21"/>
  <c r="AK133" i="21"/>
  <c r="AK131" i="21"/>
  <c r="AK150" i="21"/>
  <c r="AK155" i="21"/>
  <c r="AK125" i="21"/>
  <c r="CM42" i="25" s="1"/>
  <c r="AK165" i="21"/>
  <c r="CM99" i="25" s="1"/>
  <c r="AK157" i="21"/>
  <c r="AK140" i="21"/>
  <c r="AK119" i="21"/>
  <c r="AK162" i="21"/>
  <c r="CM59" i="25" s="1"/>
  <c r="AK143" i="21"/>
  <c r="CM23" i="25" s="1"/>
  <c r="AK164" i="21"/>
  <c r="AK122" i="21"/>
  <c r="CL90" i="25"/>
  <c r="CL302" i="25" s="1"/>
  <c r="CL89" i="25"/>
  <c r="CL301" i="25" s="1"/>
  <c r="CL12" i="25"/>
  <c r="CL224" i="25" s="1"/>
  <c r="CL13" i="25"/>
  <c r="CL225" i="25" s="1"/>
  <c r="CL60" i="25"/>
  <c r="CL272" i="25" s="1"/>
  <c r="CL61" i="25"/>
  <c r="CL273" i="25" s="1"/>
  <c r="CL62" i="25"/>
  <c r="CL274" i="25" s="1"/>
  <c r="BB375" i="25" s="1"/>
  <c r="AM29" i="29" s="1"/>
  <c r="CL28" i="25"/>
  <c r="CL240" i="25" s="1"/>
  <c r="CL29" i="25"/>
  <c r="CL241" i="25" s="1"/>
  <c r="CL34" i="25"/>
  <c r="CL246" i="25" s="1"/>
  <c r="CL35" i="25"/>
  <c r="CL247" i="25" s="1"/>
  <c r="CL15" i="25"/>
  <c r="CL227" i="25" s="1"/>
  <c r="CL14" i="25"/>
  <c r="CL226" i="25" s="1"/>
  <c r="CL44" i="25"/>
  <c r="CL256" i="25" s="1"/>
  <c r="CL37" i="25"/>
  <c r="CL249" i="25" s="1"/>
  <c r="CL45" i="25"/>
  <c r="CL257" i="25" s="1"/>
  <c r="CL46" i="25"/>
  <c r="CL258" i="25" s="1"/>
  <c r="CL70" i="25"/>
  <c r="CL282" i="25" s="1"/>
  <c r="CL71" i="25"/>
  <c r="CL283" i="25" s="1"/>
  <c r="CL72" i="25"/>
  <c r="CL284" i="25" s="1"/>
  <c r="CL73" i="25"/>
  <c r="CL285" i="25" s="1"/>
  <c r="CL78" i="25"/>
  <c r="CL290" i="25" s="1"/>
  <c r="CL77" i="25"/>
  <c r="CL289" i="25" s="1"/>
  <c r="CL79" i="25"/>
  <c r="CL291" i="25" s="1"/>
  <c r="CL16" i="25"/>
  <c r="CL228" i="25" s="1"/>
  <c r="CL48" i="25"/>
  <c r="CL260" i="25" s="1"/>
  <c r="CL98" i="25"/>
  <c r="CL310" i="25" s="1"/>
  <c r="CL23" i="25"/>
  <c r="CL235" i="25" s="1"/>
  <c r="CL31" i="25"/>
  <c r="CL243" i="25" s="1"/>
  <c r="CL30" i="25"/>
  <c r="CL242" i="25" s="1"/>
  <c r="CL18" i="25"/>
  <c r="CL230" i="25" s="1"/>
  <c r="CL17" i="25"/>
  <c r="CL229" i="25" s="1"/>
  <c r="CL38" i="25"/>
  <c r="CL250" i="25" s="1"/>
  <c r="CL75" i="25"/>
  <c r="CL287" i="25" s="1"/>
  <c r="CL76" i="25"/>
  <c r="CL288" i="25" s="1"/>
  <c r="CL280" i="25"/>
  <c r="CL281" i="25"/>
  <c r="CL82" i="25"/>
  <c r="CL294" i="25" s="1"/>
  <c r="CM238" i="25" l="1"/>
  <c r="CN22" i="25"/>
  <c r="CN234" i="25" s="1"/>
  <c r="CN58" i="25"/>
  <c r="CN270" i="25" s="1"/>
  <c r="BD371" i="25" s="1"/>
  <c r="AO26" i="29" s="1"/>
  <c r="CM275" i="25"/>
  <c r="CM231" i="25"/>
  <c r="CM252" i="25"/>
  <c r="BB378" i="25"/>
  <c r="AM32" i="29" s="1"/>
  <c r="CM305" i="25"/>
  <c r="BB353" i="25"/>
  <c r="AM12" i="29" s="1"/>
  <c r="CM276" i="25"/>
  <c r="CM286" i="25"/>
  <c r="CM306" i="25"/>
  <c r="CM233" i="25"/>
  <c r="BB355" i="25"/>
  <c r="AM14" i="29" s="1"/>
  <c r="BB364" i="25"/>
  <c r="AM22" i="29" s="1"/>
  <c r="AL21" i="29"/>
  <c r="AL36" i="29" s="1"/>
  <c r="AZ3" i="25"/>
  <c r="AK37" i="29"/>
  <c r="CM232" i="25"/>
  <c r="CM277" i="25"/>
  <c r="BB376" i="25"/>
  <c r="AM30" i="29" s="1"/>
  <c r="BB356" i="25"/>
  <c r="AM15" i="29" s="1"/>
  <c r="CM307" i="25"/>
  <c r="CM296" i="25"/>
  <c r="CM295" i="25"/>
  <c r="BB379" i="25"/>
  <c r="AM33" i="29" s="1"/>
  <c r="BB374" i="25"/>
  <c r="AM28" i="29" s="1"/>
  <c r="CM255" i="25"/>
  <c r="BB363" i="25"/>
  <c r="BA382" i="25"/>
  <c r="CM312" i="25"/>
  <c r="CM239" i="25"/>
  <c r="CM308" i="25"/>
  <c r="BB361" i="25"/>
  <c r="AM20" i="29" s="1"/>
  <c r="BB362" i="25"/>
  <c r="BB354" i="25"/>
  <c r="AM13" i="29" s="1"/>
  <c r="BB381" i="25"/>
  <c r="AM35" i="29" s="1"/>
  <c r="BB380" i="25"/>
  <c r="AM34" i="29" s="1"/>
  <c r="CN20" i="25"/>
  <c r="CN19" i="25"/>
  <c r="CN21" i="25"/>
  <c r="CN64" i="25"/>
  <c r="CN93" i="25"/>
  <c r="CN74" i="25"/>
  <c r="CN84" i="25"/>
  <c r="CN96" i="25"/>
  <c r="CN83" i="25"/>
  <c r="CN85" i="25"/>
  <c r="CN41" i="25"/>
  <c r="CN27" i="25"/>
  <c r="CN26" i="25"/>
  <c r="CN40" i="25"/>
  <c r="CN100" i="25"/>
  <c r="CN65" i="25"/>
  <c r="CN94" i="25"/>
  <c r="CN95" i="25"/>
  <c r="CN63" i="25"/>
  <c r="CN43" i="25"/>
  <c r="BB357" i="25"/>
  <c r="AM16" i="29" s="1"/>
  <c r="CM253" i="25"/>
  <c r="BB377" i="25"/>
  <c r="AM31" i="29" s="1"/>
  <c r="CM297" i="25"/>
  <c r="BB365" i="25"/>
  <c r="AM23" i="29" s="1"/>
  <c r="CM245" i="25"/>
  <c r="BC359" i="25" s="1"/>
  <c r="AN18" i="29" s="1"/>
  <c r="CM221" i="25"/>
  <c r="CM222" i="25"/>
  <c r="CM271" i="25"/>
  <c r="BC373" i="25" s="1"/>
  <c r="AN27" i="29" s="1"/>
  <c r="CM311" i="25"/>
  <c r="CM223" i="25"/>
  <c r="CM216" i="25"/>
  <c r="CM235" i="25"/>
  <c r="CM244" i="25"/>
  <c r="BC358" i="25" s="1"/>
  <c r="AN17" i="29" s="1"/>
  <c r="CM309" i="25"/>
  <c r="AI12" i="1"/>
  <c r="CN124" i="25"/>
  <c r="CN125" i="25"/>
  <c r="CN126" i="25"/>
  <c r="CN127" i="25"/>
  <c r="CN128" i="25"/>
  <c r="CN129" i="25"/>
  <c r="CN130" i="25"/>
  <c r="CN131" i="25"/>
  <c r="CN132" i="25"/>
  <c r="CN133" i="25"/>
  <c r="CN134" i="25"/>
  <c r="CN135" i="25"/>
  <c r="CN136" i="25"/>
  <c r="CN138" i="25"/>
  <c r="CN139" i="25"/>
  <c r="CN140" i="25"/>
  <c r="CN141" i="25"/>
  <c r="CN238" i="25" s="1"/>
  <c r="CN142" i="25"/>
  <c r="CN153" i="25"/>
  <c r="CN155" i="25"/>
  <c r="CN156" i="25"/>
  <c r="CN157" i="25"/>
  <c r="CN158" i="25"/>
  <c r="CN159" i="25"/>
  <c r="CN160" i="25"/>
  <c r="CN161" i="25"/>
  <c r="CN162" i="25"/>
  <c r="CN163" i="25"/>
  <c r="CN164" i="25"/>
  <c r="CN165" i="25"/>
  <c r="CN166" i="25"/>
  <c r="CN167" i="25"/>
  <c r="CN168" i="25"/>
  <c r="CN169" i="25"/>
  <c r="CN170" i="25"/>
  <c r="CN267" i="25" s="1"/>
  <c r="CN171" i="25"/>
  <c r="CN268" i="25" s="1"/>
  <c r="BD367" i="25" s="1"/>
  <c r="AO24" i="29" s="1"/>
  <c r="CN172" i="25"/>
  <c r="CN269" i="25" s="1"/>
  <c r="BD369" i="25" s="1"/>
  <c r="AO25" i="29" s="1"/>
  <c r="CN174" i="25"/>
  <c r="CN175" i="25"/>
  <c r="CN176" i="25"/>
  <c r="CN177" i="25"/>
  <c r="CN178" i="25"/>
  <c r="CN179" i="25"/>
  <c r="CN180" i="25"/>
  <c r="CN181" i="25"/>
  <c r="CN278" i="25" s="1"/>
  <c r="CN143" i="25"/>
  <c r="CN144" i="25"/>
  <c r="CN145" i="25"/>
  <c r="CN146" i="25"/>
  <c r="CN147" i="25"/>
  <c r="CN148" i="25"/>
  <c r="CN149" i="25"/>
  <c r="CN150" i="25"/>
  <c r="CN151" i="25"/>
  <c r="CN248" i="25" s="1"/>
  <c r="CN154" i="25"/>
  <c r="CN251" i="25" s="1"/>
  <c r="CN182" i="25"/>
  <c r="CN279" i="25" s="1"/>
  <c r="CN183" i="25"/>
  <c r="CN184" i="25"/>
  <c r="CN185" i="25"/>
  <c r="CN186" i="25"/>
  <c r="CN187" i="25"/>
  <c r="CN188" i="25"/>
  <c r="CN189" i="25"/>
  <c r="CN190" i="25"/>
  <c r="CN191" i="25"/>
  <c r="CN192" i="25"/>
  <c r="CN193" i="25"/>
  <c r="CN194" i="25"/>
  <c r="CN195" i="25"/>
  <c r="CN196" i="25"/>
  <c r="CN197" i="25"/>
  <c r="CN199" i="25"/>
  <c r="CN207" i="25"/>
  <c r="CN201" i="25"/>
  <c r="CN202" i="25"/>
  <c r="CN203" i="25"/>
  <c r="CN204" i="25"/>
  <c r="CN210" i="25"/>
  <c r="CN198" i="25"/>
  <c r="CN200" i="25"/>
  <c r="CN152" i="25"/>
  <c r="CN123" i="25"/>
  <c r="CN208" i="25"/>
  <c r="CN209" i="25"/>
  <c r="CN211" i="25"/>
  <c r="CN212" i="25"/>
  <c r="CN213" i="25"/>
  <c r="CN214" i="25"/>
  <c r="CN205" i="25"/>
  <c r="CN206" i="25"/>
  <c r="CN215" i="25"/>
  <c r="CL5" i="25"/>
  <c r="BA347" i="25"/>
  <c r="CM220" i="25"/>
  <c r="CL313" i="25"/>
  <c r="CL103" i="25"/>
  <c r="CM50" i="25"/>
  <c r="CM262" i="25" s="1"/>
  <c r="CM49" i="25"/>
  <c r="CM261" i="25" s="1"/>
  <c r="CM53" i="25"/>
  <c r="CM265" i="25" s="1"/>
  <c r="CM254" i="25"/>
  <c r="CM266" i="25"/>
  <c r="CM72" i="25"/>
  <c r="CM284" i="25" s="1"/>
  <c r="CM70" i="25"/>
  <c r="CM282" i="25" s="1"/>
  <c r="CM71" i="25"/>
  <c r="CM283" i="25" s="1"/>
  <c r="CM15" i="25"/>
  <c r="CM227" i="25" s="1"/>
  <c r="CM14" i="25"/>
  <c r="CM226" i="25" s="1"/>
  <c r="CM25" i="25"/>
  <c r="CM237" i="25" s="1"/>
  <c r="CM24" i="25"/>
  <c r="CM236" i="25" s="1"/>
  <c r="CM98" i="25"/>
  <c r="CM310" i="25" s="1"/>
  <c r="CM89" i="25"/>
  <c r="CM301" i="25" s="1"/>
  <c r="CM90" i="25"/>
  <c r="CM302" i="25" s="1"/>
  <c r="CM73" i="25"/>
  <c r="CM285" i="25" s="1"/>
  <c r="CM80" i="25"/>
  <c r="CM292" i="25" s="1"/>
  <c r="CM81" i="25"/>
  <c r="CM293" i="25" s="1"/>
  <c r="CM82" i="25"/>
  <c r="CM294" i="25" s="1"/>
  <c r="CM13" i="25"/>
  <c r="CM225" i="25" s="1"/>
  <c r="CM87" i="25"/>
  <c r="CM299" i="25" s="1"/>
  <c r="CM88" i="25"/>
  <c r="CM300" i="25" s="1"/>
  <c r="CM86" i="25"/>
  <c r="CM298" i="25" s="1"/>
  <c r="CM52" i="25"/>
  <c r="CM264" i="25" s="1"/>
  <c r="CM51" i="25"/>
  <c r="CM263" i="25" s="1"/>
  <c r="CM45" i="25"/>
  <c r="CM257" i="25" s="1"/>
  <c r="CM46" i="25"/>
  <c r="CM258" i="25" s="1"/>
  <c r="CM44" i="25"/>
  <c r="CM256" i="25" s="1"/>
  <c r="CM37" i="25"/>
  <c r="CM249" i="25" s="1"/>
  <c r="CM16" i="25"/>
  <c r="CM228" i="25" s="1"/>
  <c r="CM17" i="25"/>
  <c r="CM229" i="25" s="1"/>
  <c r="CM38" i="25"/>
  <c r="CM250" i="25" s="1"/>
  <c r="CM18" i="25"/>
  <c r="CM230" i="25" s="1"/>
  <c r="CM280" i="25"/>
  <c r="CM281" i="25"/>
  <c r="CM29" i="25"/>
  <c r="CM241" i="25" s="1"/>
  <c r="CM28" i="25"/>
  <c r="CM240" i="25" s="1"/>
  <c r="CM47" i="25"/>
  <c r="CM259" i="25" s="1"/>
  <c r="CM31" i="25"/>
  <c r="CM243" i="25" s="1"/>
  <c r="CM30" i="25"/>
  <c r="CM242" i="25" s="1"/>
  <c r="AM114" i="21"/>
  <c r="AL135" i="21"/>
  <c r="CN10" i="25" s="1"/>
  <c r="AL136" i="21"/>
  <c r="CN11" i="25" s="1"/>
  <c r="AL154" i="21"/>
  <c r="AL169" i="21"/>
  <c r="AL152" i="21"/>
  <c r="AL170" i="21"/>
  <c r="AL168" i="21"/>
  <c r="AL153" i="21"/>
  <c r="AL127" i="21"/>
  <c r="AL131" i="21"/>
  <c r="AL140" i="21"/>
  <c r="AL151" i="21"/>
  <c r="AL125" i="21"/>
  <c r="CN42" i="25" s="1"/>
  <c r="AL120" i="21"/>
  <c r="AL163" i="21"/>
  <c r="CN97" i="25" s="1"/>
  <c r="AL155" i="21"/>
  <c r="AL145" i="21"/>
  <c r="AL159" i="21"/>
  <c r="CN9" i="25" s="1"/>
  <c r="AL162" i="21"/>
  <c r="CN59" i="25" s="1"/>
  <c r="AL133" i="21"/>
  <c r="AL160" i="21"/>
  <c r="CN32" i="25" s="1"/>
  <c r="AL128" i="21"/>
  <c r="AL143" i="21"/>
  <c r="AL158" i="21"/>
  <c r="CN8" i="25" s="1"/>
  <c r="AL119" i="21"/>
  <c r="AL161" i="21"/>
  <c r="CN33" i="25" s="1"/>
  <c r="AL129" i="21"/>
  <c r="AL149" i="21"/>
  <c r="AL150" i="21"/>
  <c r="AL148" i="21"/>
  <c r="AL130" i="21"/>
  <c r="AL121" i="21"/>
  <c r="AL144" i="21"/>
  <c r="AL137" i="21"/>
  <c r="AL146" i="21"/>
  <c r="AL147" i="21"/>
  <c r="AL165" i="21"/>
  <c r="CN99" i="25" s="1"/>
  <c r="AL141" i="21"/>
  <c r="AL126" i="21"/>
  <c r="AL132" i="21"/>
  <c r="AL134" i="21"/>
  <c r="AL139" i="21"/>
  <c r="AL164" i="21"/>
  <c r="AL157" i="21"/>
  <c r="AL124" i="21"/>
  <c r="AL156" i="21"/>
  <c r="AL142" i="21"/>
  <c r="AL123" i="21"/>
  <c r="AL138" i="21"/>
  <c r="AL122" i="21"/>
  <c r="CM91" i="25"/>
  <c r="CM303" i="25" s="1"/>
  <c r="CM92" i="25"/>
  <c r="CM304" i="25" s="1"/>
  <c r="CM48" i="25"/>
  <c r="CM260" i="25" s="1"/>
  <c r="CM75" i="25"/>
  <c r="CM287" i="25" s="1"/>
  <c r="CM76" i="25"/>
  <c r="CM288" i="25" s="1"/>
  <c r="CM34" i="25"/>
  <c r="CM246" i="25" s="1"/>
  <c r="CM35" i="25"/>
  <c r="CM247" i="25" s="1"/>
  <c r="CM77" i="25"/>
  <c r="CM289" i="25" s="1"/>
  <c r="CM79" i="25"/>
  <c r="CM291" i="25" s="1"/>
  <c r="CM78" i="25"/>
  <c r="CM290" i="25" s="1"/>
  <c r="CM12" i="25"/>
  <c r="CM224" i="25" s="1"/>
  <c r="CM60" i="25"/>
  <c r="CM272" i="25" s="1"/>
  <c r="CM61" i="25"/>
  <c r="CM273" i="25" s="1"/>
  <c r="CM62" i="25"/>
  <c r="CM274" i="25" s="1"/>
  <c r="BC375" i="25" s="1"/>
  <c r="AN29" i="29" s="1"/>
  <c r="BC356" i="25" l="1"/>
  <c r="AN15" i="29" s="1"/>
  <c r="CN309" i="25"/>
  <c r="BC376" i="25"/>
  <c r="AN30" i="29" s="1"/>
  <c r="CO22" i="25"/>
  <c r="CO234" i="25" s="1"/>
  <c r="CO58" i="25"/>
  <c r="CO270" i="25" s="1"/>
  <c r="BE371" i="25" s="1"/>
  <c r="CN305" i="25"/>
  <c r="BC364" i="25"/>
  <c r="AN22" i="29" s="1"/>
  <c r="CN297" i="25"/>
  <c r="CN295" i="25"/>
  <c r="BC355" i="25"/>
  <c r="AN14" i="29" s="1"/>
  <c r="BC378" i="25"/>
  <c r="AN32" i="29" s="1"/>
  <c r="CN312" i="25"/>
  <c r="BC380" i="25"/>
  <c r="AN34" i="29" s="1"/>
  <c r="AM21" i="29"/>
  <c r="AM36" i="29" s="1"/>
  <c r="BA3" i="25"/>
  <c r="AL37" i="29"/>
  <c r="BC379" i="25"/>
  <c r="AN33" i="29" s="1"/>
  <c r="CN296" i="25"/>
  <c r="CN308" i="25"/>
  <c r="CN277" i="25"/>
  <c r="CN275" i="25"/>
  <c r="BC353" i="25"/>
  <c r="AN12" i="29" s="1"/>
  <c r="CN253" i="25"/>
  <c r="CN233" i="25"/>
  <c r="CN307" i="25"/>
  <c r="CN232" i="25"/>
  <c r="BC365" i="25"/>
  <c r="AN23" i="29" s="1"/>
  <c r="CN231" i="25"/>
  <c r="BC381" i="25"/>
  <c r="AN35" i="29" s="1"/>
  <c r="CN306" i="25"/>
  <c r="BB382" i="25"/>
  <c r="BC361" i="25"/>
  <c r="AN20" i="29" s="1"/>
  <c r="BC354" i="25"/>
  <c r="AN13" i="29" s="1"/>
  <c r="CN255" i="25"/>
  <c r="BC374" i="25"/>
  <c r="AN28" i="29" s="1"/>
  <c r="CN286" i="25"/>
  <c r="BC357" i="25"/>
  <c r="AN16" i="29" s="1"/>
  <c r="CN252" i="25"/>
  <c r="CO20" i="25"/>
  <c r="CO19" i="25"/>
  <c r="CO21" i="25"/>
  <c r="CO100" i="25"/>
  <c r="CO41" i="25"/>
  <c r="CO26" i="25"/>
  <c r="CO65" i="25"/>
  <c r="CO85" i="25"/>
  <c r="CO84" i="25"/>
  <c r="CO74" i="25"/>
  <c r="CO64" i="25"/>
  <c r="CO40" i="25"/>
  <c r="CO96" i="25"/>
  <c r="CO27" i="25"/>
  <c r="CO83" i="25"/>
  <c r="CO93" i="25"/>
  <c r="CO95" i="25"/>
  <c r="CO94" i="25"/>
  <c r="CO63" i="25"/>
  <c r="CO43" i="25"/>
  <c r="BC362" i="25"/>
  <c r="BC377" i="25"/>
  <c r="AN31" i="29" s="1"/>
  <c r="CN239" i="25"/>
  <c r="BD356" i="25" s="1"/>
  <c r="AO15" i="29" s="1"/>
  <c r="BC363" i="25"/>
  <c r="CN276" i="25"/>
  <c r="CN271" i="25"/>
  <c r="BD373" i="25" s="1"/>
  <c r="AO27" i="29" s="1"/>
  <c r="CN223" i="25"/>
  <c r="CN222" i="25"/>
  <c r="CN311" i="25"/>
  <c r="CN245" i="25"/>
  <c r="BD359" i="25" s="1"/>
  <c r="AO18" i="29" s="1"/>
  <c r="CN221" i="25"/>
  <c r="CN244" i="25"/>
  <c r="BD358" i="25" s="1"/>
  <c r="AO17" i="29" s="1"/>
  <c r="CN216" i="25"/>
  <c r="AJ12" i="1"/>
  <c r="CO124" i="25"/>
  <c r="CO125" i="25"/>
  <c r="CO126" i="25"/>
  <c r="CO127" i="25"/>
  <c r="CO128" i="25"/>
  <c r="CO129" i="25"/>
  <c r="CO130" i="25"/>
  <c r="CO131" i="25"/>
  <c r="CO132" i="25"/>
  <c r="CO133" i="25"/>
  <c r="CO134" i="25"/>
  <c r="CO135" i="25"/>
  <c r="CO136" i="25"/>
  <c r="CO138" i="25"/>
  <c r="CO139" i="25"/>
  <c r="CO140" i="25"/>
  <c r="CO141" i="25"/>
  <c r="CO142" i="25"/>
  <c r="CO153" i="25"/>
  <c r="CO155" i="25"/>
  <c r="CO156" i="25"/>
  <c r="CO157" i="25"/>
  <c r="CO158" i="25"/>
  <c r="CO159" i="25"/>
  <c r="CO160" i="25"/>
  <c r="CO161" i="25"/>
  <c r="CO162" i="25"/>
  <c r="CO163" i="25"/>
  <c r="CO164" i="25"/>
  <c r="CO165" i="25"/>
  <c r="CO166" i="25"/>
  <c r="CO167" i="25"/>
  <c r="CO168" i="25"/>
  <c r="CO169" i="25"/>
  <c r="CO170" i="25"/>
  <c r="CO267" i="25" s="1"/>
  <c r="CO171" i="25"/>
  <c r="CO268" i="25" s="1"/>
  <c r="BE367" i="25" s="1"/>
  <c r="AP24" i="29" s="1"/>
  <c r="CO172" i="25"/>
  <c r="CO269" i="25" s="1"/>
  <c r="BE369" i="25" s="1"/>
  <c r="AP25" i="29" s="1"/>
  <c r="CO174" i="25"/>
  <c r="CO175" i="25"/>
  <c r="CO176" i="25"/>
  <c r="CO177" i="25"/>
  <c r="CO178" i="25"/>
  <c r="CO179" i="25"/>
  <c r="CO180" i="25"/>
  <c r="CO181" i="25"/>
  <c r="CO278" i="25" s="1"/>
  <c r="CO143" i="25"/>
  <c r="CO144" i="25"/>
  <c r="CO145" i="25"/>
  <c r="CO146" i="25"/>
  <c r="CO147" i="25"/>
  <c r="CO148" i="25"/>
  <c r="CO149" i="25"/>
  <c r="CO150" i="25"/>
  <c r="CO151" i="25"/>
  <c r="CO248" i="25" s="1"/>
  <c r="CO154" i="25"/>
  <c r="CO251" i="25" s="1"/>
  <c r="CO197" i="25"/>
  <c r="CO199" i="25"/>
  <c r="CO204" i="25"/>
  <c r="CO205" i="25"/>
  <c r="CO206" i="25"/>
  <c r="CO207" i="25"/>
  <c r="CO208" i="25"/>
  <c r="CO209" i="25"/>
  <c r="CO210" i="25"/>
  <c r="CO211" i="25"/>
  <c r="CO212" i="25"/>
  <c r="CO213" i="25"/>
  <c r="CO214" i="25"/>
  <c r="CO215" i="25"/>
  <c r="CO152" i="25"/>
  <c r="CO201" i="25"/>
  <c r="CO202" i="25"/>
  <c r="CO203" i="25"/>
  <c r="CO182" i="25"/>
  <c r="CO279" i="25" s="1"/>
  <c r="CO184" i="25"/>
  <c r="CO186" i="25"/>
  <c r="CO188" i="25"/>
  <c r="CO190" i="25"/>
  <c r="CO192" i="25"/>
  <c r="CO194" i="25"/>
  <c r="CO196" i="25"/>
  <c r="CO123" i="25"/>
  <c r="CO183" i="25"/>
  <c r="CO185" i="25"/>
  <c r="CO187" i="25"/>
  <c r="CO189" i="25"/>
  <c r="CO191" i="25"/>
  <c r="CO193" i="25"/>
  <c r="CO195" i="25"/>
  <c r="CO198" i="25"/>
  <c r="CO200" i="25"/>
  <c r="CM5" i="25"/>
  <c r="BB347" i="25"/>
  <c r="CM313" i="25"/>
  <c r="CN220" i="25"/>
  <c r="CM103" i="25"/>
  <c r="CN24" i="25"/>
  <c r="CN236" i="25" s="1"/>
  <c r="CN25" i="25"/>
  <c r="CN237" i="25" s="1"/>
  <c r="CN12" i="25"/>
  <c r="CN224" i="25" s="1"/>
  <c r="CN23" i="25"/>
  <c r="CN235" i="25" s="1"/>
  <c r="CN47" i="25"/>
  <c r="CN259" i="25" s="1"/>
  <c r="CN80" i="25"/>
  <c r="CN292" i="25" s="1"/>
  <c r="CN81" i="25"/>
  <c r="CN293" i="25" s="1"/>
  <c r="CN254" i="25"/>
  <c r="CN53" i="25"/>
  <c r="CN265" i="25" s="1"/>
  <c r="CN266" i="25"/>
  <c r="CN14" i="25"/>
  <c r="CN226" i="25" s="1"/>
  <c r="CN15" i="25"/>
  <c r="CN227" i="25" s="1"/>
  <c r="AN114" i="21"/>
  <c r="AM136" i="21"/>
  <c r="CO11" i="25" s="1"/>
  <c r="AM135" i="21"/>
  <c r="CO10" i="25" s="1"/>
  <c r="AM152" i="21"/>
  <c r="AM168" i="21"/>
  <c r="AM169" i="21"/>
  <c r="AM170" i="21"/>
  <c r="AM153" i="21"/>
  <c r="AM154" i="21"/>
  <c r="AM127" i="21"/>
  <c r="AM149" i="21"/>
  <c r="AM142" i="21"/>
  <c r="AM130" i="21"/>
  <c r="AM151" i="21"/>
  <c r="AM141" i="21"/>
  <c r="AM124" i="21"/>
  <c r="AM145" i="21"/>
  <c r="AM120" i="21"/>
  <c r="AM165" i="21"/>
  <c r="CO99" i="25" s="1"/>
  <c r="AM164" i="21"/>
  <c r="AM119" i="21"/>
  <c r="AM132" i="21"/>
  <c r="AM123" i="21"/>
  <c r="AM126" i="21"/>
  <c r="AM140" i="21"/>
  <c r="AM163" i="21"/>
  <c r="CO97" i="25" s="1"/>
  <c r="AM147" i="21"/>
  <c r="AM128" i="21"/>
  <c r="AM143" i="21"/>
  <c r="AM158" i="21"/>
  <c r="CO8" i="25" s="1"/>
  <c r="AM150" i="21"/>
  <c r="AM129" i="21"/>
  <c r="AM159" i="21"/>
  <c r="CO9" i="25" s="1"/>
  <c r="AM162" i="21"/>
  <c r="CO59" i="25" s="1"/>
  <c r="AM133" i="21"/>
  <c r="AM146" i="21"/>
  <c r="AM155" i="21"/>
  <c r="AM125" i="21"/>
  <c r="CO42" i="25" s="1"/>
  <c r="AM131" i="21"/>
  <c r="AM121" i="21"/>
  <c r="AM139" i="21"/>
  <c r="AM157" i="21"/>
  <c r="AM134" i="21"/>
  <c r="AM144" i="21"/>
  <c r="AM161" i="21"/>
  <c r="CO33" i="25" s="1"/>
  <c r="AM148" i="21"/>
  <c r="AM138" i="21"/>
  <c r="AM137" i="21"/>
  <c r="AM160" i="21"/>
  <c r="CO32" i="25" s="1"/>
  <c r="AM156" i="21"/>
  <c r="AM122" i="21"/>
  <c r="CN35" i="25"/>
  <c r="CN247" i="25" s="1"/>
  <c r="CN34" i="25"/>
  <c r="CN246" i="25" s="1"/>
  <c r="CN91" i="25"/>
  <c r="CN303" i="25" s="1"/>
  <c r="CN92" i="25"/>
  <c r="CN304" i="25" s="1"/>
  <c r="CN73" i="25"/>
  <c r="CN285" i="25" s="1"/>
  <c r="CN77" i="25"/>
  <c r="CN289" i="25" s="1"/>
  <c r="CN78" i="25"/>
  <c r="CN290" i="25" s="1"/>
  <c r="CN79" i="25"/>
  <c r="CN291" i="25" s="1"/>
  <c r="CN16" i="25"/>
  <c r="CN228" i="25" s="1"/>
  <c r="CN71" i="25"/>
  <c r="CN283" i="25" s="1"/>
  <c r="CN72" i="25"/>
  <c r="CN284" i="25" s="1"/>
  <c r="CN70" i="25"/>
  <c r="CN282" i="25" s="1"/>
  <c r="CN87" i="25"/>
  <c r="CN299" i="25" s="1"/>
  <c r="CN86" i="25"/>
  <c r="CN298" i="25" s="1"/>
  <c r="CN88" i="25"/>
  <c r="CN300" i="25" s="1"/>
  <c r="CN98" i="25"/>
  <c r="CN310" i="25" s="1"/>
  <c r="CN280" i="25"/>
  <c r="CN281" i="25"/>
  <c r="CN29" i="25"/>
  <c r="CN241" i="25" s="1"/>
  <c r="CN28" i="25"/>
  <c r="CN240" i="25" s="1"/>
  <c r="CN82" i="25"/>
  <c r="CN294" i="25" s="1"/>
  <c r="CN51" i="25"/>
  <c r="CN263" i="25" s="1"/>
  <c r="CN52" i="25"/>
  <c r="CN264" i="25" s="1"/>
  <c r="CN48" i="25"/>
  <c r="CN260" i="25" s="1"/>
  <c r="CN90" i="25"/>
  <c r="CN302" i="25" s="1"/>
  <c r="CN89" i="25"/>
  <c r="CN301" i="25" s="1"/>
  <c r="CN30" i="25"/>
  <c r="CN242" i="25" s="1"/>
  <c r="CN31" i="25"/>
  <c r="CN243" i="25" s="1"/>
  <c r="CN75" i="25"/>
  <c r="CN287" i="25" s="1"/>
  <c r="CN76" i="25"/>
  <c r="CN288" i="25" s="1"/>
  <c r="CN50" i="25"/>
  <c r="CN262" i="25" s="1"/>
  <c r="CN49" i="25"/>
  <c r="CN261" i="25" s="1"/>
  <c r="CN13" i="25"/>
  <c r="CN225" i="25" s="1"/>
  <c r="CN38" i="25"/>
  <c r="CN250" i="25" s="1"/>
  <c r="CN18" i="25"/>
  <c r="CN230" i="25" s="1"/>
  <c r="CN17" i="25"/>
  <c r="CN229" i="25" s="1"/>
  <c r="CN45" i="25"/>
  <c r="CN257" i="25" s="1"/>
  <c r="CN46" i="25"/>
  <c r="CN258" i="25" s="1"/>
  <c r="CN44" i="25"/>
  <c r="CN256" i="25" s="1"/>
  <c r="CN37" i="25"/>
  <c r="CN249" i="25" s="1"/>
  <c r="CN61" i="25"/>
  <c r="CN273" i="25" s="1"/>
  <c r="CN60" i="25"/>
  <c r="CN272" i="25" s="1"/>
  <c r="CN62" i="25"/>
  <c r="CN274" i="25" s="1"/>
  <c r="BD375" i="25" s="1"/>
  <c r="AO29" i="29" s="1"/>
  <c r="CO231" i="25" l="1"/>
  <c r="CP22" i="25"/>
  <c r="CP234" i="25" s="1"/>
  <c r="CP58" i="25"/>
  <c r="CP270" i="25" s="1"/>
  <c r="BF371" i="25" s="1"/>
  <c r="AP26" i="29"/>
  <c r="Y371" i="25"/>
  <c r="CO245" i="25"/>
  <c r="BE359" i="25" s="1"/>
  <c r="AP18" i="29" s="1"/>
  <c r="CO276" i="25"/>
  <c r="BD364" i="25"/>
  <c r="AO22" i="29" s="1"/>
  <c r="CO306" i="25"/>
  <c r="CO286" i="25"/>
  <c r="AN21" i="29"/>
  <c r="AN36" i="29" s="1"/>
  <c r="BD361" i="25"/>
  <c r="AO20" i="29" s="1"/>
  <c r="CO239" i="25"/>
  <c r="CO275" i="25"/>
  <c r="BD379" i="25"/>
  <c r="AO33" i="29" s="1"/>
  <c r="BD378" i="25"/>
  <c r="AO32" i="29" s="1"/>
  <c r="BD355" i="25"/>
  <c r="AO14" i="29" s="1"/>
  <c r="BB3" i="25"/>
  <c r="AM37" i="29"/>
  <c r="CO305" i="25"/>
  <c r="CO277" i="25"/>
  <c r="BD380" i="25"/>
  <c r="AO34" i="29" s="1"/>
  <c r="CO297" i="25"/>
  <c r="BD376" i="25"/>
  <c r="AO30" i="29" s="1"/>
  <c r="CO232" i="25"/>
  <c r="Y369" i="25"/>
  <c r="Y367" i="25"/>
  <c r="BD374" i="25"/>
  <c r="AO28" i="29" s="1"/>
  <c r="CO296" i="25"/>
  <c r="BD353" i="25"/>
  <c r="AO12" i="29" s="1"/>
  <c r="CO307" i="25"/>
  <c r="BD363" i="25"/>
  <c r="CO308" i="25"/>
  <c r="CO255" i="25"/>
  <c r="CO253" i="25"/>
  <c r="CO233" i="25"/>
  <c r="CO252" i="25"/>
  <c r="CO312" i="25"/>
  <c r="BC382" i="25"/>
  <c r="CO295" i="25"/>
  <c r="BD354" i="25"/>
  <c r="AO13" i="29" s="1"/>
  <c r="CO238" i="25"/>
  <c r="BD362" i="25"/>
  <c r="CP21" i="25"/>
  <c r="CP20" i="25"/>
  <c r="CP19" i="25"/>
  <c r="CP74" i="25"/>
  <c r="CP27" i="25"/>
  <c r="CP100" i="25"/>
  <c r="CP83" i="25"/>
  <c r="CP85" i="25"/>
  <c r="CP84" i="25"/>
  <c r="CP93" i="25"/>
  <c r="CP64" i="25"/>
  <c r="CP40" i="25"/>
  <c r="CP96" i="25"/>
  <c r="CP65" i="25"/>
  <c r="CP41" i="25"/>
  <c r="CP26" i="25"/>
  <c r="CP94" i="25"/>
  <c r="CP95" i="25"/>
  <c r="CP63" i="25"/>
  <c r="CP43" i="25"/>
  <c r="BD357" i="25"/>
  <c r="AO16" i="29" s="1"/>
  <c r="BD365" i="25"/>
  <c r="AO23" i="29" s="1"/>
  <c r="BD381" i="25"/>
  <c r="AO35" i="29" s="1"/>
  <c r="BD377" i="25"/>
  <c r="AO31" i="29" s="1"/>
  <c r="CO271" i="25"/>
  <c r="BE373" i="25" s="1"/>
  <c r="AP27" i="29" s="1"/>
  <c r="CO244" i="25"/>
  <c r="BE358" i="25" s="1"/>
  <c r="AP17" i="29" s="1"/>
  <c r="CO309" i="25"/>
  <c r="CO221" i="25"/>
  <c r="CO222" i="25"/>
  <c r="CO223" i="25"/>
  <c r="CO216" i="25"/>
  <c r="AK12" i="1"/>
  <c r="CP124" i="25"/>
  <c r="CP125" i="25"/>
  <c r="CP126" i="25"/>
  <c r="CP127" i="25"/>
  <c r="CP128" i="25"/>
  <c r="CP129" i="25"/>
  <c r="CP131" i="25"/>
  <c r="CP133" i="25"/>
  <c r="CP134" i="25"/>
  <c r="CP135" i="25"/>
  <c r="CP136" i="25"/>
  <c r="CP138" i="25"/>
  <c r="CP139" i="25"/>
  <c r="CP140" i="25"/>
  <c r="CP141" i="25"/>
  <c r="CP142" i="25"/>
  <c r="CP130" i="25"/>
  <c r="CP153" i="25"/>
  <c r="CP155" i="25"/>
  <c r="CP156" i="25"/>
  <c r="CP157" i="25"/>
  <c r="CP158" i="25"/>
  <c r="CP159" i="25"/>
  <c r="CP160" i="25"/>
  <c r="CP161" i="25"/>
  <c r="CP162" i="25"/>
  <c r="CP163" i="25"/>
  <c r="CP164" i="25"/>
  <c r="CP165" i="25"/>
  <c r="CP166" i="25"/>
  <c r="CP167" i="25"/>
  <c r="CP168" i="25"/>
  <c r="CP169" i="25"/>
  <c r="CP170" i="25"/>
  <c r="CP267" i="25" s="1"/>
  <c r="CP171" i="25"/>
  <c r="CP268" i="25" s="1"/>
  <c r="BF367" i="25" s="1"/>
  <c r="AQ24" i="29" s="1"/>
  <c r="CP172" i="25"/>
  <c r="CP269" i="25" s="1"/>
  <c r="BF369" i="25" s="1"/>
  <c r="AQ25" i="29" s="1"/>
  <c r="CP174" i="25"/>
  <c r="CP175" i="25"/>
  <c r="CP176" i="25"/>
  <c r="CP177" i="25"/>
  <c r="CP178" i="25"/>
  <c r="CP179" i="25"/>
  <c r="CP180" i="25"/>
  <c r="CP181" i="25"/>
  <c r="CP278" i="25" s="1"/>
  <c r="CP132" i="25"/>
  <c r="CP182" i="25"/>
  <c r="CP279" i="25" s="1"/>
  <c r="CP183" i="25"/>
  <c r="CP184" i="25"/>
  <c r="CP185" i="25"/>
  <c r="CP186" i="25"/>
  <c r="CP187" i="25"/>
  <c r="CP188" i="25"/>
  <c r="CP189" i="25"/>
  <c r="CP190" i="25"/>
  <c r="CP191" i="25"/>
  <c r="CP192" i="25"/>
  <c r="CP193" i="25"/>
  <c r="CP194" i="25"/>
  <c r="CP195" i="25"/>
  <c r="CP196" i="25"/>
  <c r="CP197" i="25"/>
  <c r="CP198" i="25"/>
  <c r="CP199" i="25"/>
  <c r="CP200" i="25"/>
  <c r="CP201" i="25"/>
  <c r="CP202" i="25"/>
  <c r="CP203" i="25"/>
  <c r="CP152" i="25"/>
  <c r="CP123" i="25"/>
  <c r="CP154" i="25"/>
  <c r="CP251" i="25" s="1"/>
  <c r="CP204" i="25"/>
  <c r="CP205" i="25"/>
  <c r="CP206" i="25"/>
  <c r="CP207" i="25"/>
  <c r="CP208" i="25"/>
  <c r="CP209" i="25"/>
  <c r="CP210" i="25"/>
  <c r="CP211" i="25"/>
  <c r="CP212" i="25"/>
  <c r="CP213" i="25"/>
  <c r="CP214" i="25"/>
  <c r="CP215" i="25"/>
  <c r="CP148" i="25"/>
  <c r="CP143" i="25"/>
  <c r="CP145" i="25"/>
  <c r="CP147" i="25"/>
  <c r="CP149" i="25"/>
  <c r="CP151" i="25"/>
  <c r="CP248" i="25" s="1"/>
  <c r="CP146" i="25"/>
  <c r="CP144" i="25"/>
  <c r="CP150" i="25"/>
  <c r="CO311" i="25"/>
  <c r="CN5" i="25"/>
  <c r="BC347" i="25"/>
  <c r="CO220" i="25"/>
  <c r="CN313" i="25"/>
  <c r="CN103" i="25"/>
  <c r="CO28" i="25"/>
  <c r="CO240" i="25" s="1"/>
  <c r="CO29" i="25"/>
  <c r="CO241" i="25" s="1"/>
  <c r="AO114" i="21"/>
  <c r="AN135" i="21"/>
  <c r="CP10" i="25" s="1"/>
  <c r="AN136" i="21"/>
  <c r="CP11" i="25" s="1"/>
  <c r="AN169" i="21"/>
  <c r="AN152" i="21"/>
  <c r="AN153" i="21"/>
  <c r="AN168" i="21"/>
  <c r="AN154" i="21"/>
  <c r="AN170" i="21"/>
  <c r="AN144" i="21"/>
  <c r="AN127" i="21"/>
  <c r="AN120" i="21"/>
  <c r="AN126" i="21"/>
  <c r="AN140" i="21"/>
  <c r="AN124" i="21"/>
  <c r="AN160" i="21"/>
  <c r="CP32" i="25" s="1"/>
  <c r="AN149" i="21"/>
  <c r="AN123" i="21"/>
  <c r="AN137" i="21"/>
  <c r="AN131" i="21"/>
  <c r="AN148" i="21"/>
  <c r="AN121" i="21"/>
  <c r="AN146" i="21"/>
  <c r="AN164" i="21"/>
  <c r="AN132" i="21"/>
  <c r="AN141" i="21"/>
  <c r="AN134" i="21"/>
  <c r="AN156" i="21"/>
  <c r="AN147" i="21"/>
  <c r="AN125" i="21"/>
  <c r="CP42" i="25" s="1"/>
  <c r="AN162" i="21"/>
  <c r="CP59" i="25" s="1"/>
  <c r="AN143" i="21"/>
  <c r="AN133" i="21"/>
  <c r="AN145" i="21"/>
  <c r="AN161" i="21"/>
  <c r="CP33" i="25" s="1"/>
  <c r="AN138" i="21"/>
  <c r="AN158" i="21"/>
  <c r="CP8" i="25" s="1"/>
  <c r="AN157" i="21"/>
  <c r="AN163" i="21"/>
  <c r="CP97" i="25" s="1"/>
  <c r="AN119" i="21"/>
  <c r="AN155" i="21"/>
  <c r="AN139" i="21"/>
  <c r="AN128" i="21"/>
  <c r="AN130" i="21"/>
  <c r="AN165" i="21"/>
  <c r="CP99" i="25" s="1"/>
  <c r="CP311" i="25" s="1"/>
  <c r="AN159" i="21"/>
  <c r="CP9" i="25" s="1"/>
  <c r="AN129" i="21"/>
  <c r="AN150" i="21"/>
  <c r="AN151" i="21"/>
  <c r="AN142" i="21"/>
  <c r="AN122" i="21"/>
  <c r="CO48" i="25"/>
  <c r="CO260" i="25" s="1"/>
  <c r="CO91" i="25"/>
  <c r="CO303" i="25" s="1"/>
  <c r="CO92" i="25"/>
  <c r="CO304" i="25" s="1"/>
  <c r="CO60" i="25"/>
  <c r="CO272" i="25" s="1"/>
  <c r="CO61" i="25"/>
  <c r="CO273" i="25" s="1"/>
  <c r="CO62" i="25"/>
  <c r="CO274" i="25" s="1"/>
  <c r="BE375" i="25" s="1"/>
  <c r="AP29" i="29" s="1"/>
  <c r="CO13" i="25"/>
  <c r="CO225" i="25" s="1"/>
  <c r="CO80" i="25"/>
  <c r="CO292" i="25" s="1"/>
  <c r="CO81" i="25"/>
  <c r="CO293" i="25" s="1"/>
  <c r="CO51" i="25"/>
  <c r="CO263" i="25" s="1"/>
  <c r="CO52" i="25"/>
  <c r="CO264" i="25" s="1"/>
  <c r="CO30" i="25"/>
  <c r="CO242" i="25" s="1"/>
  <c r="CO31" i="25"/>
  <c r="CO243" i="25" s="1"/>
  <c r="CO49" i="25"/>
  <c r="CO261" i="25" s="1"/>
  <c r="CO50" i="25"/>
  <c r="CO262" i="25" s="1"/>
  <c r="CO75" i="25"/>
  <c r="CO287" i="25" s="1"/>
  <c r="CO76" i="25"/>
  <c r="CO288" i="25" s="1"/>
  <c r="CO254" i="25"/>
  <c r="CO266" i="25"/>
  <c r="CO53" i="25"/>
  <c r="CO265" i="25" s="1"/>
  <c r="CO14" i="25"/>
  <c r="CO226" i="25" s="1"/>
  <c r="CO15" i="25"/>
  <c r="CO227" i="25" s="1"/>
  <c r="CO70" i="25"/>
  <c r="CO282" i="25" s="1"/>
  <c r="CO72" i="25"/>
  <c r="CO284" i="25" s="1"/>
  <c r="CO71" i="25"/>
  <c r="CO283" i="25" s="1"/>
  <c r="CO16" i="25"/>
  <c r="CO228" i="25" s="1"/>
  <c r="CO88" i="25"/>
  <c r="CO300" i="25" s="1"/>
  <c r="CO87" i="25"/>
  <c r="CO299" i="25" s="1"/>
  <c r="CO86" i="25"/>
  <c r="CO298" i="25" s="1"/>
  <c r="CO47" i="25"/>
  <c r="CO259" i="25" s="1"/>
  <c r="CO90" i="25"/>
  <c r="CO302" i="25" s="1"/>
  <c r="CO89" i="25"/>
  <c r="CO301" i="25" s="1"/>
  <c r="CO23" i="25"/>
  <c r="CO235" i="25" s="1"/>
  <c r="CO44" i="25"/>
  <c r="CO256" i="25" s="1"/>
  <c r="CO37" i="25"/>
  <c r="CO249" i="25" s="1"/>
  <c r="CO45" i="25"/>
  <c r="CO257" i="25" s="1"/>
  <c r="CO46" i="25"/>
  <c r="CO258" i="25" s="1"/>
  <c r="CO12" i="25"/>
  <c r="CO224" i="25" s="1"/>
  <c r="CO18" i="25"/>
  <c r="CO230" i="25" s="1"/>
  <c r="CO38" i="25"/>
  <c r="CO250" i="25" s="1"/>
  <c r="CO17" i="25"/>
  <c r="CO229" i="25" s="1"/>
  <c r="CO73" i="25"/>
  <c r="CO285" i="25" s="1"/>
  <c r="CO77" i="25"/>
  <c r="CO289" i="25" s="1"/>
  <c r="CO78" i="25"/>
  <c r="CO290" i="25" s="1"/>
  <c r="CO79" i="25"/>
  <c r="CO291" i="25" s="1"/>
  <c r="CO82" i="25"/>
  <c r="CO294" i="25" s="1"/>
  <c r="CO281" i="25"/>
  <c r="CO280" i="25"/>
  <c r="CO34" i="25"/>
  <c r="CO246" i="25" s="1"/>
  <c r="CO35" i="25"/>
  <c r="CO247" i="25" s="1"/>
  <c r="CO98" i="25"/>
  <c r="CO310" i="25" s="1"/>
  <c r="CO24" i="25"/>
  <c r="CO236" i="25" s="1"/>
  <c r="CO25" i="25"/>
  <c r="CO237" i="25" s="1"/>
  <c r="CQ22" i="25" l="1"/>
  <c r="CQ234" i="25" s="1"/>
  <c r="CQ58" i="25"/>
  <c r="G26" i="29"/>
  <c r="J26" i="29"/>
  <c r="AQ26" i="29"/>
  <c r="Y359" i="25"/>
  <c r="BE356" i="25"/>
  <c r="AP15" i="29" s="1"/>
  <c r="J15" i="29" s="1"/>
  <c r="BE376" i="25"/>
  <c r="AP30" i="29" s="1"/>
  <c r="J30" i="29" s="1"/>
  <c r="AO21" i="29"/>
  <c r="AO36" i="29" s="1"/>
  <c r="CP286" i="25"/>
  <c r="CP252" i="25"/>
  <c r="CP308" i="25"/>
  <c r="CP295" i="25"/>
  <c r="CP253" i="25"/>
  <c r="CP306" i="25"/>
  <c r="BE364" i="25"/>
  <c r="AP22" i="29" s="1"/>
  <c r="BE355" i="25"/>
  <c r="AP14" i="29" s="1"/>
  <c r="BE378" i="25"/>
  <c r="AP32" i="29" s="1"/>
  <c r="BC3" i="25"/>
  <c r="AN37" i="29"/>
  <c r="BE379" i="25"/>
  <c r="AP33" i="29" s="1"/>
  <c r="J33" i="29" s="1"/>
  <c r="CP239" i="25"/>
  <c r="CP277" i="25"/>
  <c r="J24" i="29"/>
  <c r="CP312" i="25"/>
  <c r="G25" i="29"/>
  <c r="J25" i="29"/>
  <c r="CP255" i="25"/>
  <c r="Y358" i="25"/>
  <c r="Y375" i="25"/>
  <c r="Y373" i="25"/>
  <c r="G18" i="29"/>
  <c r="J18" i="29"/>
  <c r="BE353" i="25"/>
  <c r="AP12" i="29" s="1"/>
  <c r="CP275" i="25"/>
  <c r="CP231" i="25"/>
  <c r="CP276" i="25"/>
  <c r="BE361" i="25"/>
  <c r="AP20" i="29" s="1"/>
  <c r="CP297" i="25"/>
  <c r="CP296" i="25"/>
  <c r="BE365" i="25"/>
  <c r="AP23" i="29" s="1"/>
  <c r="CP233" i="25"/>
  <c r="BE380" i="25"/>
  <c r="AP34" i="29" s="1"/>
  <c r="CP238" i="25"/>
  <c r="BE381" i="25"/>
  <c r="AP35" i="29" s="1"/>
  <c r="BE354" i="25"/>
  <c r="AP13" i="29" s="1"/>
  <c r="BE377" i="25"/>
  <c r="AP31" i="29" s="1"/>
  <c r="BE363" i="25"/>
  <c r="BE374" i="25"/>
  <c r="AP28" i="29" s="1"/>
  <c r="CQ21" i="25"/>
  <c r="CR21" i="25" s="1"/>
  <c r="CQ20" i="25"/>
  <c r="CR20" i="25" s="1"/>
  <c r="CQ19" i="25"/>
  <c r="CR19" i="25" s="1"/>
  <c r="CQ64" i="25"/>
  <c r="CR64" i="25" s="1"/>
  <c r="CQ40" i="25"/>
  <c r="CR40" i="25" s="1"/>
  <c r="CQ65" i="25"/>
  <c r="CQ85" i="25"/>
  <c r="CQ41" i="25"/>
  <c r="CR41" i="25" s="1"/>
  <c r="CQ96" i="25"/>
  <c r="CQ84" i="25"/>
  <c r="CQ100" i="25"/>
  <c r="CR100" i="25" s="1"/>
  <c r="CQ26" i="25"/>
  <c r="CQ83" i="25"/>
  <c r="CQ93" i="25"/>
  <c r="CR93" i="25" s="1"/>
  <c r="CQ74" i="25"/>
  <c r="CR74" i="25" s="1"/>
  <c r="CQ27" i="25"/>
  <c r="CQ94" i="25"/>
  <c r="CR94" i="25" s="1"/>
  <c r="CQ95" i="25"/>
  <c r="CQ63" i="25"/>
  <c r="CQ43" i="25"/>
  <c r="CP307" i="25"/>
  <c r="BD382" i="25"/>
  <c r="BE357" i="25"/>
  <c r="AP16" i="29" s="1"/>
  <c r="CP232" i="25"/>
  <c r="BE362" i="25"/>
  <c r="CP305" i="25"/>
  <c r="CP309" i="25"/>
  <c r="CP221" i="25"/>
  <c r="CP222" i="25"/>
  <c r="CP244" i="25"/>
  <c r="BF358" i="25" s="1"/>
  <c r="AQ17" i="29" s="1"/>
  <c r="CP271" i="25"/>
  <c r="BF373" i="25" s="1"/>
  <c r="AQ27" i="29" s="1"/>
  <c r="CP245" i="25"/>
  <c r="BF359" i="25" s="1"/>
  <c r="AQ18" i="29" s="1"/>
  <c r="CP223" i="25"/>
  <c r="CP216" i="25"/>
  <c r="AL12" i="1"/>
  <c r="AM12" i="1" s="1"/>
  <c r="AN12" i="1" s="1"/>
  <c r="AO12" i="1" s="1"/>
  <c r="AP12" i="1" s="1"/>
  <c r="AQ12" i="1" s="1"/>
  <c r="CQ143" i="25"/>
  <c r="CR143" i="25" s="1"/>
  <c r="CQ144" i="25"/>
  <c r="CR144" i="25" s="1"/>
  <c r="CQ145" i="25"/>
  <c r="CR145" i="25" s="1"/>
  <c r="CQ146" i="25"/>
  <c r="CR146" i="25" s="1"/>
  <c r="CQ147" i="25"/>
  <c r="CR147" i="25" s="1"/>
  <c r="CQ148" i="25"/>
  <c r="CR148" i="25" s="1"/>
  <c r="CQ149" i="25"/>
  <c r="CR149" i="25" s="1"/>
  <c r="CQ150" i="25"/>
  <c r="CR150" i="25" s="1"/>
  <c r="CQ151" i="25"/>
  <c r="CQ152" i="25"/>
  <c r="CR152" i="25" s="1"/>
  <c r="CQ153" i="25"/>
  <c r="CR153" i="25" s="1"/>
  <c r="CQ154" i="25"/>
  <c r="CQ155" i="25"/>
  <c r="CQ124" i="25"/>
  <c r="CR124" i="25" s="1"/>
  <c r="CQ125" i="25"/>
  <c r="CR125" i="25" s="1"/>
  <c r="CQ126" i="25"/>
  <c r="CR126" i="25" s="1"/>
  <c r="CQ127" i="25"/>
  <c r="CR127" i="25" s="1"/>
  <c r="CQ128" i="25"/>
  <c r="CR128" i="25" s="1"/>
  <c r="CQ129" i="25"/>
  <c r="CR129" i="25" s="1"/>
  <c r="CQ131" i="25"/>
  <c r="CR131" i="25" s="1"/>
  <c r="CQ133" i="25"/>
  <c r="CR133" i="25" s="1"/>
  <c r="CQ134" i="25"/>
  <c r="CQ135" i="25"/>
  <c r="CQ136" i="25"/>
  <c r="CQ138" i="25"/>
  <c r="CR138" i="25" s="1"/>
  <c r="CQ139" i="25"/>
  <c r="CR139" i="25" s="1"/>
  <c r="CQ140" i="25"/>
  <c r="CR140" i="25" s="1"/>
  <c r="CQ141" i="25"/>
  <c r="CQ142" i="25"/>
  <c r="CQ130" i="25"/>
  <c r="CR130" i="25" s="1"/>
  <c r="CQ156" i="25"/>
  <c r="CQ157" i="25"/>
  <c r="CR157" i="25" s="1"/>
  <c r="CQ158" i="25"/>
  <c r="CQ159" i="25"/>
  <c r="CQ160" i="25"/>
  <c r="CQ161" i="25"/>
  <c r="CR161" i="25" s="1"/>
  <c r="CQ162" i="25"/>
  <c r="CR162" i="25" s="1"/>
  <c r="CQ163" i="25"/>
  <c r="CQ164" i="25"/>
  <c r="CR164" i="25" s="1"/>
  <c r="CQ165" i="25"/>
  <c r="CR165" i="25" s="1"/>
  <c r="CQ166" i="25"/>
  <c r="CR166" i="25" s="1"/>
  <c r="CQ167" i="25"/>
  <c r="CR167" i="25" s="1"/>
  <c r="CQ168" i="25"/>
  <c r="CR168" i="25" s="1"/>
  <c r="CQ169" i="25"/>
  <c r="CR169" i="25" s="1"/>
  <c r="CQ170" i="25"/>
  <c r="CQ171" i="25"/>
  <c r="CQ172" i="25"/>
  <c r="CQ174" i="25"/>
  <c r="CR174" i="25" s="1"/>
  <c r="CQ175" i="25"/>
  <c r="CR175" i="25" s="1"/>
  <c r="CQ176" i="25"/>
  <c r="CR176" i="25" s="1"/>
  <c r="CQ177" i="25"/>
  <c r="CR177" i="25" s="1"/>
  <c r="CQ178" i="25"/>
  <c r="CQ179" i="25"/>
  <c r="CQ180" i="25"/>
  <c r="CQ181" i="25"/>
  <c r="CQ198" i="25"/>
  <c r="CQ200" i="25"/>
  <c r="CQ186" i="25"/>
  <c r="CQ194" i="25"/>
  <c r="CQ197" i="25"/>
  <c r="CR197" i="25" s="1"/>
  <c r="CQ199" i="25"/>
  <c r="CQ123" i="25"/>
  <c r="CQ182" i="25"/>
  <c r="CQ187" i="25"/>
  <c r="CR187" i="25" s="1"/>
  <c r="CQ192" i="25"/>
  <c r="CR192" i="25" s="1"/>
  <c r="CQ204" i="25"/>
  <c r="CR204" i="25" s="1"/>
  <c r="CQ205" i="25"/>
  <c r="CQ206" i="25"/>
  <c r="CR206" i="25" s="1"/>
  <c r="CQ207" i="25"/>
  <c r="CR207" i="25" s="1"/>
  <c r="CQ208" i="25"/>
  <c r="CQ209" i="25"/>
  <c r="CQ210" i="25"/>
  <c r="CQ211" i="25"/>
  <c r="CQ212" i="25"/>
  <c r="CR212" i="25" s="1"/>
  <c r="CQ213" i="25"/>
  <c r="CR213" i="25" s="1"/>
  <c r="CQ214" i="25"/>
  <c r="CR214" i="25" s="1"/>
  <c r="CQ215" i="25"/>
  <c r="CQ183" i="25"/>
  <c r="CQ185" i="25"/>
  <c r="CQ193" i="25"/>
  <c r="CR193" i="25" s="1"/>
  <c r="CQ201" i="25"/>
  <c r="CR201" i="25" s="1"/>
  <c r="CQ202" i="25"/>
  <c r="CR202" i="25" s="1"/>
  <c r="CQ203" i="25"/>
  <c r="CR203" i="25" s="1"/>
  <c r="CQ132" i="25"/>
  <c r="CR132" i="25" s="1"/>
  <c r="CQ184" i="25"/>
  <c r="CQ189" i="25"/>
  <c r="CQ191" i="25"/>
  <c r="CR191" i="25" s="1"/>
  <c r="CQ196" i="25"/>
  <c r="CR196" i="25" s="1"/>
  <c r="CQ188" i="25"/>
  <c r="CR188" i="25" s="1"/>
  <c r="CQ190" i="25"/>
  <c r="CR190" i="25" s="1"/>
  <c r="CQ195" i="25"/>
  <c r="CR195" i="25" s="1"/>
  <c r="CO5" i="25"/>
  <c r="BD347" i="25"/>
  <c r="CP220" i="25"/>
  <c r="CO313" i="25"/>
  <c r="CO103" i="25"/>
  <c r="CP73" i="25"/>
  <c r="CP285" i="25" s="1"/>
  <c r="CP75" i="25"/>
  <c r="CP287" i="25" s="1"/>
  <c r="CP76" i="25"/>
  <c r="CP288" i="25" s="1"/>
  <c r="CP91" i="25"/>
  <c r="CP303" i="25" s="1"/>
  <c r="CP92" i="25"/>
  <c r="CP304" i="25" s="1"/>
  <c r="CP29" i="25"/>
  <c r="CP241" i="25" s="1"/>
  <c r="CP28" i="25"/>
  <c r="CP240" i="25" s="1"/>
  <c r="CP12" i="25"/>
  <c r="CP224" i="25" s="1"/>
  <c r="CP87" i="25"/>
  <c r="CP299" i="25" s="1"/>
  <c r="CP86" i="25"/>
  <c r="CP298" i="25" s="1"/>
  <c r="CP88" i="25"/>
  <c r="CP300" i="25" s="1"/>
  <c r="CP47" i="25"/>
  <c r="CP259" i="25" s="1"/>
  <c r="CP50" i="25"/>
  <c r="CP262" i="25" s="1"/>
  <c r="CP49" i="25"/>
  <c r="CP261" i="25" s="1"/>
  <c r="CP34" i="25"/>
  <c r="CP246" i="25" s="1"/>
  <c r="CP35" i="25"/>
  <c r="CP247" i="25" s="1"/>
  <c r="CP38" i="25"/>
  <c r="CP250" i="25" s="1"/>
  <c r="CP18" i="25"/>
  <c r="CP230" i="25" s="1"/>
  <c r="CP17" i="25"/>
  <c r="CP229" i="25" s="1"/>
  <c r="CP266" i="25"/>
  <c r="CP53" i="25"/>
  <c r="CP265" i="25" s="1"/>
  <c r="CP254" i="25"/>
  <c r="CP25" i="25"/>
  <c r="CP237" i="25" s="1"/>
  <c r="CP24" i="25"/>
  <c r="CP236" i="25" s="1"/>
  <c r="CP60" i="25"/>
  <c r="CP272" i="25" s="1"/>
  <c r="CP61" i="25"/>
  <c r="CP273" i="25" s="1"/>
  <c r="CP62" i="25"/>
  <c r="CP274" i="25" s="1"/>
  <c r="BF375" i="25" s="1"/>
  <c r="AQ29" i="29" s="1"/>
  <c r="CP31" i="25"/>
  <c r="CP243" i="25" s="1"/>
  <c r="CP30" i="25"/>
  <c r="CP242" i="25" s="1"/>
  <c r="CP51" i="25"/>
  <c r="CP263" i="25" s="1"/>
  <c r="CP52" i="25"/>
  <c r="CP264" i="25" s="1"/>
  <c r="CP70" i="25"/>
  <c r="CP282" i="25" s="1"/>
  <c r="CP72" i="25"/>
  <c r="CP284" i="25" s="1"/>
  <c r="CP71" i="25"/>
  <c r="CP283" i="25" s="1"/>
  <c r="CP90" i="25"/>
  <c r="CP302" i="25" s="1"/>
  <c r="CP89" i="25"/>
  <c r="CP301" i="25" s="1"/>
  <c r="CP16" i="25"/>
  <c r="CP228" i="25" s="1"/>
  <c r="CP15" i="25"/>
  <c r="CP227" i="25" s="1"/>
  <c r="CP14" i="25"/>
  <c r="CP226" i="25" s="1"/>
  <c r="CP79" i="25"/>
  <c r="CP291" i="25" s="1"/>
  <c r="CP78" i="25"/>
  <c r="CP290" i="25" s="1"/>
  <c r="CP77" i="25"/>
  <c r="CP289" i="25" s="1"/>
  <c r="AP114" i="21"/>
  <c r="AO136" i="21"/>
  <c r="CQ11" i="25" s="1"/>
  <c r="AO135" i="21"/>
  <c r="CQ10" i="25" s="1"/>
  <c r="AO153" i="21"/>
  <c r="AO169" i="21"/>
  <c r="AO127" i="21"/>
  <c r="AO152" i="21"/>
  <c r="AO170" i="21"/>
  <c r="AO154" i="21"/>
  <c r="AO168" i="21"/>
  <c r="AO148" i="21"/>
  <c r="AO147" i="21"/>
  <c r="AO129" i="21"/>
  <c r="AO150" i="21"/>
  <c r="AO149" i="21"/>
  <c r="AO120" i="21"/>
  <c r="AO140" i="21"/>
  <c r="AO142" i="21"/>
  <c r="AO128" i="21"/>
  <c r="AO145" i="21"/>
  <c r="AO151" i="21"/>
  <c r="AO131" i="21"/>
  <c r="AO162" i="21"/>
  <c r="CQ59" i="25" s="1"/>
  <c r="AO164" i="21"/>
  <c r="AO126" i="21"/>
  <c r="AO156" i="21"/>
  <c r="AO165" i="21"/>
  <c r="AO130" i="21"/>
  <c r="AO161" i="21"/>
  <c r="CQ33" i="25" s="1"/>
  <c r="AO155" i="21"/>
  <c r="AO119" i="21"/>
  <c r="AO123" i="21"/>
  <c r="AO124" i="21"/>
  <c r="AO157" i="21"/>
  <c r="AO139" i="21"/>
  <c r="AO134" i="21"/>
  <c r="AO163" i="21"/>
  <c r="AO125" i="21"/>
  <c r="CQ42" i="25" s="1"/>
  <c r="AO158" i="21"/>
  <c r="CQ8" i="25" s="1"/>
  <c r="AO132" i="21"/>
  <c r="AO159" i="21"/>
  <c r="CQ9" i="25" s="1"/>
  <c r="AO138" i="21"/>
  <c r="AO121" i="21"/>
  <c r="AO133" i="21"/>
  <c r="AO137" i="21"/>
  <c r="AO141" i="21"/>
  <c r="AO143" i="21"/>
  <c r="AO160" i="21"/>
  <c r="CQ32" i="25" s="1"/>
  <c r="AO146" i="21"/>
  <c r="AO144" i="21"/>
  <c r="AO122" i="21"/>
  <c r="CP13" i="25"/>
  <c r="CP225" i="25" s="1"/>
  <c r="CP81" i="25"/>
  <c r="CP293" i="25" s="1"/>
  <c r="CP80" i="25"/>
  <c r="CP292" i="25" s="1"/>
  <c r="CP45" i="25"/>
  <c r="CP257" i="25" s="1"/>
  <c r="CP46" i="25"/>
  <c r="CP258" i="25" s="1"/>
  <c r="CP44" i="25"/>
  <c r="CP256" i="25" s="1"/>
  <c r="CP37" i="25"/>
  <c r="CP249" i="25" s="1"/>
  <c r="CP23" i="25"/>
  <c r="CP235" i="25" s="1"/>
  <c r="CP98" i="25"/>
  <c r="CP310" i="25" s="1"/>
  <c r="CP82" i="25"/>
  <c r="CP294" i="25" s="1"/>
  <c r="CP48" i="25"/>
  <c r="CP260" i="25" s="1"/>
  <c r="CP281" i="25"/>
  <c r="CP280" i="25"/>
  <c r="BF364" i="25" l="1"/>
  <c r="AQ22" i="29" s="1"/>
  <c r="CQ270" i="25"/>
  <c r="CR58" i="25"/>
  <c r="Y356" i="25"/>
  <c r="Y376" i="25"/>
  <c r="Y364" i="25"/>
  <c r="BF356" i="25"/>
  <c r="AQ15" i="29" s="1"/>
  <c r="Y355" i="25"/>
  <c r="Y378" i="25"/>
  <c r="BF378" i="25"/>
  <c r="AQ32" i="29" s="1"/>
  <c r="BF376" i="25"/>
  <c r="AQ30" i="29" s="1"/>
  <c r="BF379" i="25"/>
  <c r="AQ33" i="29" s="1"/>
  <c r="BD3" i="25"/>
  <c r="AO37" i="29"/>
  <c r="AP21" i="29"/>
  <c r="BF381" i="25"/>
  <c r="AQ35" i="29" s="1"/>
  <c r="BF361" i="25"/>
  <c r="AQ20" i="29" s="1"/>
  <c r="BF355" i="25"/>
  <c r="AQ14" i="29" s="1"/>
  <c r="Y361" i="25"/>
  <c r="Y381" i="25"/>
  <c r="Y379" i="25"/>
  <c r="G22" i="29"/>
  <c r="J22" i="29"/>
  <c r="G29" i="29"/>
  <c r="J29" i="29"/>
  <c r="Y362" i="25"/>
  <c r="Y380" i="25"/>
  <c r="J14" i="29"/>
  <c r="G17" i="29"/>
  <c r="J17" i="29"/>
  <c r="Y374" i="25"/>
  <c r="Y357" i="25"/>
  <c r="Y363" i="25"/>
  <c r="Y365" i="25"/>
  <c r="J23" i="29"/>
  <c r="G27" i="29"/>
  <c r="J27" i="29"/>
  <c r="Y377" i="25"/>
  <c r="J31" i="29"/>
  <c r="Y353" i="25"/>
  <c r="Y354" i="25"/>
  <c r="J13" i="29"/>
  <c r="G32" i="29"/>
  <c r="J32" i="29"/>
  <c r="BF365" i="25"/>
  <c r="AQ23" i="29" s="1"/>
  <c r="BE382" i="25"/>
  <c r="BF374" i="25"/>
  <c r="AQ28" i="29" s="1"/>
  <c r="BF377" i="25"/>
  <c r="AQ31" i="29" s="1"/>
  <c r="BF357" i="25"/>
  <c r="AQ16" i="29" s="1"/>
  <c r="BF362" i="25"/>
  <c r="BF353" i="25"/>
  <c r="AQ12" i="29" s="1"/>
  <c r="BF380" i="25"/>
  <c r="AQ34" i="29" s="1"/>
  <c r="BF363" i="25"/>
  <c r="BF354" i="25"/>
  <c r="AQ13" i="29" s="1"/>
  <c r="CQ279" i="25"/>
  <c r="CR182" i="25"/>
  <c r="CQ278" i="25"/>
  <c r="CR181" i="25"/>
  <c r="CQ276" i="25"/>
  <c r="CR276" i="25" s="1"/>
  <c r="CR179" i="25"/>
  <c r="CQ295" i="25"/>
  <c r="CQ306" i="25"/>
  <c r="CR306" i="25" s="1"/>
  <c r="CR209" i="25"/>
  <c r="CQ269" i="25"/>
  <c r="CR172" i="25"/>
  <c r="CQ267" i="25"/>
  <c r="CR267" i="25" s="1"/>
  <c r="CR170" i="25"/>
  <c r="CQ239" i="25"/>
  <c r="CQ252" i="25"/>
  <c r="CR155" i="25"/>
  <c r="CQ286" i="25"/>
  <c r="CR189" i="25"/>
  <c r="CQ305" i="25"/>
  <c r="CR208" i="25"/>
  <c r="CQ216" i="25"/>
  <c r="CR123" i="25"/>
  <c r="CQ277" i="25"/>
  <c r="CQ268" i="25"/>
  <c r="CR171" i="25"/>
  <c r="CQ238" i="25"/>
  <c r="CQ251" i="25"/>
  <c r="CR251" i="25" s="1"/>
  <c r="CR154" i="25"/>
  <c r="CQ231" i="25"/>
  <c r="CR134" i="25"/>
  <c r="CQ312" i="25"/>
  <c r="CR312" i="25" s="1"/>
  <c r="CR215" i="25"/>
  <c r="CQ296" i="25"/>
  <c r="CQ307" i="25"/>
  <c r="CR210" i="25"/>
  <c r="CQ275" i="25"/>
  <c r="CQ255" i="25"/>
  <c r="CR158" i="25"/>
  <c r="CQ248" i="25"/>
  <c r="CR248" i="25" s="1"/>
  <c r="CR151" i="25"/>
  <c r="CQ233" i="25"/>
  <c r="CR233" i="25" s="1"/>
  <c r="CR136" i="25"/>
  <c r="CQ308" i="25"/>
  <c r="CR211" i="25"/>
  <c r="CQ297" i="25"/>
  <c r="CQ253" i="25"/>
  <c r="CR253" i="25" s="1"/>
  <c r="CR156" i="25"/>
  <c r="CQ232" i="25"/>
  <c r="CR232" i="25" s="1"/>
  <c r="CR135" i="25"/>
  <c r="CP5" i="25"/>
  <c r="BE347" i="25"/>
  <c r="CQ223" i="25"/>
  <c r="CR9" i="25"/>
  <c r="CQ221" i="25"/>
  <c r="CR8" i="25"/>
  <c r="CQ220" i="25"/>
  <c r="CR59" i="25"/>
  <c r="CQ271" i="25"/>
  <c r="BG373" i="25" s="1"/>
  <c r="AR27" i="29" s="1"/>
  <c r="CR10" i="25"/>
  <c r="CQ222" i="25"/>
  <c r="CR32" i="25"/>
  <c r="CQ244" i="25"/>
  <c r="BG358" i="25" s="1"/>
  <c r="AR17" i="29" s="1"/>
  <c r="CR33" i="25"/>
  <c r="CQ245" i="25"/>
  <c r="BG359" i="25" s="1"/>
  <c r="AR18" i="29" s="1"/>
  <c r="CP313" i="25"/>
  <c r="CP103" i="25"/>
  <c r="CQ47" i="25"/>
  <c r="CQ23" i="25"/>
  <c r="CQ37" i="25"/>
  <c r="CQ45" i="25"/>
  <c r="CQ46" i="25"/>
  <c r="CR43" i="25"/>
  <c r="CQ44" i="25"/>
  <c r="CQ16" i="25"/>
  <c r="CQ38" i="25"/>
  <c r="CQ18" i="25"/>
  <c r="CQ17" i="25"/>
  <c r="CQ12" i="25"/>
  <c r="CQ60" i="25"/>
  <c r="CQ61" i="25"/>
  <c r="CQ62" i="25"/>
  <c r="CQ52" i="25"/>
  <c r="CQ51" i="25"/>
  <c r="CQ31" i="25"/>
  <c r="CQ30" i="25"/>
  <c r="CQ13" i="25"/>
  <c r="CQ49" i="25"/>
  <c r="CQ50" i="25"/>
  <c r="CQ48" i="25"/>
  <c r="CQ34" i="25"/>
  <c r="CQ35" i="25"/>
  <c r="CQ15" i="25"/>
  <c r="CQ14" i="25"/>
  <c r="CQ24" i="25"/>
  <c r="CQ25" i="25"/>
  <c r="CQ53" i="25"/>
  <c r="CQ28" i="25"/>
  <c r="CQ29" i="25"/>
  <c r="AQ114" i="21"/>
  <c r="AP136" i="21"/>
  <c r="AP135" i="21"/>
  <c r="AP169" i="21"/>
  <c r="AP168" i="21"/>
  <c r="AP127" i="21"/>
  <c r="AP153" i="21"/>
  <c r="AP170" i="21"/>
  <c r="AP152" i="21"/>
  <c r="AP154" i="21"/>
  <c r="AP137" i="21"/>
  <c r="AP126" i="21"/>
  <c r="AP132" i="21"/>
  <c r="AP149" i="21"/>
  <c r="AP156" i="21"/>
  <c r="AP157" i="21"/>
  <c r="AP163" i="21"/>
  <c r="AP150" i="21"/>
  <c r="AP120" i="21"/>
  <c r="AP123" i="21"/>
  <c r="AP147" i="21"/>
  <c r="AP140" i="21"/>
  <c r="AP160" i="21"/>
  <c r="AP124" i="21"/>
  <c r="AP165" i="21"/>
  <c r="AP142" i="21"/>
  <c r="AP134" i="21"/>
  <c r="AP145" i="21"/>
  <c r="AP151" i="21"/>
  <c r="AP139" i="21"/>
  <c r="AP158" i="21"/>
  <c r="AP164" i="21"/>
  <c r="AP144" i="21"/>
  <c r="AP125" i="21"/>
  <c r="AP161" i="21"/>
  <c r="AP155" i="21"/>
  <c r="AP131" i="21"/>
  <c r="AP141" i="21"/>
  <c r="AP128" i="21"/>
  <c r="AP129" i="21"/>
  <c r="AP121" i="21"/>
  <c r="AP162" i="21"/>
  <c r="AP143" i="21"/>
  <c r="AP146" i="21"/>
  <c r="AP130" i="21"/>
  <c r="AP148" i="21"/>
  <c r="AP119" i="21"/>
  <c r="AP133" i="21"/>
  <c r="AP138" i="21"/>
  <c r="AP159" i="21"/>
  <c r="AP122" i="21"/>
  <c r="BG371" i="25" l="1"/>
  <c r="CR270" i="25"/>
  <c r="CR278" i="25"/>
  <c r="CR286" i="25"/>
  <c r="CR279" i="25"/>
  <c r="BG356" i="25"/>
  <c r="AR15" i="29" s="1"/>
  <c r="K15" i="29" s="1"/>
  <c r="AQ21" i="29"/>
  <c r="AQ36" i="29" s="1"/>
  <c r="BE3" i="25"/>
  <c r="CR268" i="25"/>
  <c r="BG367" i="25"/>
  <c r="AR24" i="29" s="1"/>
  <c r="Y382" i="25"/>
  <c r="CR269" i="25"/>
  <c r="BG369" i="25"/>
  <c r="AR25" i="29" s="1"/>
  <c r="W359" i="25"/>
  <c r="J21" i="29"/>
  <c r="W358" i="25"/>
  <c r="G35" i="29"/>
  <c r="J35" i="29"/>
  <c r="G16" i="29"/>
  <c r="J16" i="29"/>
  <c r="G28" i="29"/>
  <c r="J28" i="29"/>
  <c r="G20" i="29"/>
  <c r="J20" i="29"/>
  <c r="W373" i="25"/>
  <c r="AP36" i="29"/>
  <c r="AP37" i="29" s="1"/>
  <c r="J12" i="29"/>
  <c r="J34" i="29"/>
  <c r="X373" i="25"/>
  <c r="X359" i="25"/>
  <c r="X358" i="25"/>
  <c r="CR255" i="25"/>
  <c r="CR231" i="25"/>
  <c r="BG355" i="25"/>
  <c r="AR14" i="29" s="1"/>
  <c r="BG376" i="25"/>
  <c r="AR30" i="29" s="1"/>
  <c r="BG353" i="25"/>
  <c r="AR12" i="29" s="1"/>
  <c r="G12" i="29" s="1"/>
  <c r="CR252" i="25"/>
  <c r="BG364" i="25"/>
  <c r="AR22" i="29" s="1"/>
  <c r="BF382" i="25"/>
  <c r="CR305" i="25"/>
  <c r="BF347" i="25"/>
  <c r="CR222" i="25"/>
  <c r="CR271" i="25"/>
  <c r="CR245" i="25"/>
  <c r="CR244" i="25"/>
  <c r="CQ257" i="25"/>
  <c r="CR53" i="25"/>
  <c r="CQ265" i="25"/>
  <c r="CR265" i="25" s="1"/>
  <c r="CR49" i="25"/>
  <c r="CQ261" i="25"/>
  <c r="CR18" i="25"/>
  <c r="CQ230" i="25"/>
  <c r="CR230" i="25" s="1"/>
  <c r="CQ281" i="25"/>
  <c r="CR50" i="25"/>
  <c r="CQ262" i="25"/>
  <c r="CR262" i="25" s="1"/>
  <c r="CQ266" i="25"/>
  <c r="CR266" i="25" s="1"/>
  <c r="CR13" i="25"/>
  <c r="CQ225" i="25"/>
  <c r="CR225" i="25" s="1"/>
  <c r="CR62" i="25"/>
  <c r="CQ274" i="25"/>
  <c r="BG375" i="25" s="1"/>
  <c r="AR29" i="29" s="1"/>
  <c r="CR38" i="25"/>
  <c r="CQ250" i="25"/>
  <c r="CR250" i="25" s="1"/>
  <c r="CR37" i="25"/>
  <c r="CQ249" i="25"/>
  <c r="CR220" i="25"/>
  <c r="CR17" i="25"/>
  <c r="CQ229" i="25"/>
  <c r="CR229" i="25" s="1"/>
  <c r="CR42" i="25"/>
  <c r="CQ254" i="25"/>
  <c r="CR25" i="25"/>
  <c r="CQ237" i="25"/>
  <c r="CR237" i="25" s="1"/>
  <c r="CR35" i="25"/>
  <c r="CQ247" i="25"/>
  <c r="CR247" i="25" s="1"/>
  <c r="CR29" i="25"/>
  <c r="CQ241" i="25"/>
  <c r="CR241" i="25" s="1"/>
  <c r="CR24" i="25"/>
  <c r="CQ236" i="25"/>
  <c r="CR236" i="25" s="1"/>
  <c r="CR34" i="25"/>
  <c r="CQ246" i="25"/>
  <c r="CR30" i="25"/>
  <c r="CQ242" i="25"/>
  <c r="CR242" i="25" s="1"/>
  <c r="CR61" i="25"/>
  <c r="CQ273" i="25"/>
  <c r="CR273" i="25" s="1"/>
  <c r="CR23" i="25"/>
  <c r="CQ235" i="25"/>
  <c r="CR221" i="25"/>
  <c r="CR28" i="25"/>
  <c r="CQ240" i="25"/>
  <c r="CR240" i="25" s="1"/>
  <c r="CR31" i="25"/>
  <c r="CQ243" i="25"/>
  <c r="CR243" i="25" s="1"/>
  <c r="CR60" i="25"/>
  <c r="CQ272" i="25"/>
  <c r="CR16" i="25"/>
  <c r="CQ228" i="25"/>
  <c r="CR228" i="25" s="1"/>
  <c r="CQ256" i="25"/>
  <c r="CR47" i="25"/>
  <c r="CQ259" i="25"/>
  <c r="CR259" i="25" s="1"/>
  <c r="CR12" i="25"/>
  <c r="CQ224" i="25"/>
  <c r="CR224" i="25" s="1"/>
  <c r="CR15" i="25"/>
  <c r="CQ227" i="25"/>
  <c r="CR227" i="25" s="1"/>
  <c r="CR51" i="25"/>
  <c r="CQ263" i="25"/>
  <c r="CR263" i="25" s="1"/>
  <c r="CQ280" i="25"/>
  <c r="CR14" i="25"/>
  <c r="CQ226" i="25"/>
  <c r="CR226" i="25" s="1"/>
  <c r="CQ260" i="25"/>
  <c r="CR52" i="25"/>
  <c r="CQ264" i="25"/>
  <c r="CR264" i="25" s="1"/>
  <c r="CQ258" i="25"/>
  <c r="AR114" i="21"/>
  <c r="AQ136" i="21"/>
  <c r="AQ135" i="21"/>
  <c r="AQ170" i="21"/>
  <c r="AQ169" i="21"/>
  <c r="AQ153" i="21"/>
  <c r="AQ152" i="21"/>
  <c r="AQ127" i="21"/>
  <c r="AQ168" i="21"/>
  <c r="AQ154" i="21"/>
  <c r="AQ131" i="21"/>
  <c r="AQ160" i="21"/>
  <c r="AQ132" i="21"/>
  <c r="AQ149" i="21"/>
  <c r="AQ125" i="21"/>
  <c r="AQ164" i="21"/>
  <c r="AQ142" i="21"/>
  <c r="AQ146" i="21"/>
  <c r="AQ140" i="21"/>
  <c r="AQ124" i="21"/>
  <c r="AQ156" i="21"/>
  <c r="AQ151" i="21"/>
  <c r="AQ165" i="21"/>
  <c r="AQ163" i="21"/>
  <c r="AQ147" i="21"/>
  <c r="AQ144" i="21"/>
  <c r="AQ159" i="21"/>
  <c r="AQ157" i="21"/>
  <c r="AQ120" i="21"/>
  <c r="AQ141" i="21"/>
  <c r="AQ123" i="21"/>
  <c r="AQ121" i="21"/>
  <c r="AQ133" i="21"/>
  <c r="AQ162" i="21"/>
  <c r="AQ145" i="21"/>
  <c r="AQ128" i="21"/>
  <c r="AQ137" i="21"/>
  <c r="AQ129" i="21"/>
  <c r="AQ126" i="21"/>
  <c r="AQ150" i="21"/>
  <c r="AQ148" i="21"/>
  <c r="AQ158" i="21"/>
  <c r="AQ161" i="21"/>
  <c r="AQ134" i="21"/>
  <c r="AQ138" i="21"/>
  <c r="AQ130" i="21"/>
  <c r="AQ119" i="21"/>
  <c r="AQ155" i="21"/>
  <c r="AQ143" i="21"/>
  <c r="AQ139" i="21"/>
  <c r="AQ122" i="21"/>
  <c r="AR26" i="29" l="1"/>
  <c r="W371" i="25"/>
  <c r="X371" i="25"/>
  <c r="X356" i="25"/>
  <c r="BF3" i="25"/>
  <c r="AQ37" i="29"/>
  <c r="W369" i="25"/>
  <c r="X369" i="25"/>
  <c r="BG361" i="25"/>
  <c r="W367" i="25"/>
  <c r="X367" i="25"/>
  <c r="L22" i="29"/>
  <c r="K22" i="29"/>
  <c r="L27" i="29"/>
  <c r="K27" i="29"/>
  <c r="L29" i="29"/>
  <c r="K29" i="29"/>
  <c r="W353" i="25"/>
  <c r="L18" i="29"/>
  <c r="K18" i="29"/>
  <c r="X376" i="25"/>
  <c r="K30" i="29"/>
  <c r="K14" i="29"/>
  <c r="J36" i="29"/>
  <c r="L17" i="29"/>
  <c r="K17" i="29"/>
  <c r="X355" i="25"/>
  <c r="W364" i="25"/>
  <c r="X364" i="25"/>
  <c r="X353" i="25"/>
  <c r="BG365" i="25"/>
  <c r="AR23" i="29" s="1"/>
  <c r="W375" i="25"/>
  <c r="X375" i="25"/>
  <c r="BG374" i="25"/>
  <c r="AR28" i="29" s="1"/>
  <c r="BG381" i="25"/>
  <c r="AR35" i="29" s="1"/>
  <c r="BG357" i="25"/>
  <c r="AR16" i="29" s="1"/>
  <c r="BG363" i="25"/>
  <c r="BG362" i="25"/>
  <c r="BG354" i="25"/>
  <c r="AR13" i="29" s="1"/>
  <c r="BI337" i="25"/>
  <c r="BI323" i="25"/>
  <c r="BI322" i="25"/>
  <c r="BI317" i="25"/>
  <c r="CR261" i="25"/>
  <c r="CR246" i="25"/>
  <c r="CR254" i="25"/>
  <c r="CR274" i="25"/>
  <c r="CR235" i="25"/>
  <c r="CR272" i="25"/>
  <c r="CR249" i="25"/>
  <c r="AS114" i="21"/>
  <c r="AR136" i="21"/>
  <c r="AR135" i="21"/>
  <c r="AR152" i="21"/>
  <c r="AR168" i="21"/>
  <c r="AR170" i="21"/>
  <c r="AR153" i="21"/>
  <c r="AR127" i="21"/>
  <c r="AR169" i="21"/>
  <c r="AR154" i="21"/>
  <c r="AR144" i="21"/>
  <c r="AR165" i="21"/>
  <c r="AR156" i="21"/>
  <c r="AR132" i="21"/>
  <c r="AR129" i="21"/>
  <c r="AR147" i="21"/>
  <c r="AR131" i="21"/>
  <c r="AR141" i="21"/>
  <c r="AR130" i="21"/>
  <c r="AR120" i="21"/>
  <c r="AR126" i="21"/>
  <c r="AR157" i="21"/>
  <c r="AR145" i="21"/>
  <c r="AR123" i="21"/>
  <c r="AR133" i="21"/>
  <c r="AR140" i="21"/>
  <c r="AR164" i="21"/>
  <c r="AR124" i="21"/>
  <c r="AR149" i="21"/>
  <c r="AR134" i="21"/>
  <c r="AR148" i="21"/>
  <c r="AR139" i="21"/>
  <c r="AR121" i="21"/>
  <c r="AR159" i="21"/>
  <c r="AR125" i="21"/>
  <c r="AR146" i="21"/>
  <c r="AR161" i="21"/>
  <c r="AR143" i="21"/>
  <c r="AR138" i="21"/>
  <c r="AR128" i="21"/>
  <c r="AR142" i="21"/>
  <c r="AR137" i="21"/>
  <c r="AR150" i="21"/>
  <c r="AR162" i="21"/>
  <c r="AR151" i="21"/>
  <c r="AR163" i="21"/>
  <c r="AR119" i="21"/>
  <c r="AR158" i="21"/>
  <c r="AR160" i="21"/>
  <c r="AR155" i="21"/>
  <c r="AR122" i="21"/>
  <c r="L26" i="29" l="1"/>
  <c r="K26" i="29"/>
  <c r="AR21" i="29"/>
  <c r="AR20" i="29"/>
  <c r="L20" i="29" s="1"/>
  <c r="X361" i="25"/>
  <c r="W361" i="25"/>
  <c r="K24" i="29"/>
  <c r="L25" i="29"/>
  <c r="K25" i="29"/>
  <c r="L28" i="29"/>
  <c r="K28" i="29"/>
  <c r="L35" i="29"/>
  <c r="K35" i="29"/>
  <c r="X354" i="25"/>
  <c r="K13" i="29"/>
  <c r="L12" i="29"/>
  <c r="K12" i="29"/>
  <c r="X365" i="25"/>
  <c r="K23" i="29"/>
  <c r="L16" i="29"/>
  <c r="K16" i="29"/>
  <c r="X362" i="25"/>
  <c r="W363" i="25"/>
  <c r="X363" i="25"/>
  <c r="W357" i="25"/>
  <c r="X357" i="25"/>
  <c r="W374" i="25"/>
  <c r="X374" i="25"/>
  <c r="W381" i="25"/>
  <c r="X381" i="25"/>
  <c r="BI318" i="25"/>
  <c r="BI325" i="25"/>
  <c r="BI327" i="25"/>
  <c r="BI339" i="25"/>
  <c r="BI346" i="25"/>
  <c r="BI338" i="25"/>
  <c r="BI326" i="25"/>
  <c r="BI329" i="25"/>
  <c r="BI321" i="25"/>
  <c r="AT114" i="21"/>
  <c r="AS135" i="21"/>
  <c r="AS136" i="21"/>
  <c r="AS169" i="21"/>
  <c r="AS168" i="21"/>
  <c r="AS170" i="21"/>
  <c r="AS154" i="21"/>
  <c r="AS127" i="21"/>
  <c r="AS153" i="21"/>
  <c r="AS152" i="21"/>
  <c r="AS139" i="21"/>
  <c r="AS140" i="21"/>
  <c r="AS126" i="21"/>
  <c r="AS137" i="21"/>
  <c r="AS130" i="21"/>
  <c r="AS145" i="21"/>
  <c r="AS132" i="21"/>
  <c r="AS150" i="21"/>
  <c r="AS124" i="21"/>
  <c r="AS160" i="21"/>
  <c r="AS151" i="21"/>
  <c r="AS165" i="21"/>
  <c r="AS120" i="21"/>
  <c r="AS148" i="21"/>
  <c r="AS155" i="21"/>
  <c r="AS133" i="21"/>
  <c r="AS119" i="21"/>
  <c r="AS143" i="21"/>
  <c r="AS164" i="21"/>
  <c r="AS128" i="21"/>
  <c r="AS121" i="21"/>
  <c r="AS149" i="21"/>
  <c r="AS131" i="21"/>
  <c r="AS163" i="21"/>
  <c r="AS125" i="21"/>
  <c r="AS157" i="21"/>
  <c r="AS162" i="21"/>
  <c r="AS134" i="21"/>
  <c r="AS147" i="21"/>
  <c r="AS144" i="21"/>
  <c r="AS142" i="21"/>
  <c r="AS138" i="21"/>
  <c r="AS158" i="21"/>
  <c r="AS129" i="21"/>
  <c r="AS123" i="21"/>
  <c r="AS161" i="21"/>
  <c r="AS156" i="21"/>
  <c r="AS146" i="21"/>
  <c r="AS141" i="21"/>
  <c r="AS159" i="21"/>
  <c r="AS122" i="21"/>
  <c r="K21" i="29" l="1"/>
  <c r="K20" i="29"/>
  <c r="AU114" i="21"/>
  <c r="AT135" i="21"/>
  <c r="AT136" i="21"/>
  <c r="AT154" i="21"/>
  <c r="AT168" i="21"/>
  <c r="AT127" i="21"/>
  <c r="AT169" i="21"/>
  <c r="AT153" i="21"/>
  <c r="AT152" i="21"/>
  <c r="AT170" i="21"/>
  <c r="AT132" i="21"/>
  <c r="AT140" i="21"/>
  <c r="AT141" i="21"/>
  <c r="AT137" i="21"/>
  <c r="AT126" i="21"/>
  <c r="AT151" i="21"/>
  <c r="AT125" i="21"/>
  <c r="AT145" i="21"/>
  <c r="AT120" i="21"/>
  <c r="AT146" i="21"/>
  <c r="AT147" i="21"/>
  <c r="AT163" i="21"/>
  <c r="AT149" i="21"/>
  <c r="AT129" i="21"/>
  <c r="AT155" i="21"/>
  <c r="AT143" i="21"/>
  <c r="AT150" i="21"/>
  <c r="AT139" i="21"/>
  <c r="AT131" i="21"/>
  <c r="AT142" i="21"/>
  <c r="AT148" i="21"/>
  <c r="AT159" i="21"/>
  <c r="AT157" i="21"/>
  <c r="AT156" i="21"/>
  <c r="AT119" i="21"/>
  <c r="AT123" i="21"/>
  <c r="AT138" i="21"/>
  <c r="AT158" i="21"/>
  <c r="AT121" i="21"/>
  <c r="AT160" i="21"/>
  <c r="AT134" i="21"/>
  <c r="AT133" i="21"/>
  <c r="AT124" i="21"/>
  <c r="AT128" i="21"/>
  <c r="AT144" i="21"/>
  <c r="AT165" i="21"/>
  <c r="AT164" i="21"/>
  <c r="AT161" i="21"/>
  <c r="AT162" i="21"/>
  <c r="AT130" i="21"/>
  <c r="AT122" i="21"/>
  <c r="AU136" i="21" l="1"/>
  <c r="AU135" i="21"/>
  <c r="AU169" i="21"/>
  <c r="AU168" i="21"/>
  <c r="AU170" i="21"/>
  <c r="AU127" i="21"/>
  <c r="AU154" i="21"/>
  <c r="AU153" i="21"/>
  <c r="AU152" i="21"/>
  <c r="AU129" i="21"/>
  <c r="AU145" i="21"/>
  <c r="AU137" i="21"/>
  <c r="AU130" i="21"/>
  <c r="AU124" i="21"/>
  <c r="AU142" i="21"/>
  <c r="AU163" i="21"/>
  <c r="AU125" i="21"/>
  <c r="AU141" i="21"/>
  <c r="AU149" i="21"/>
  <c r="AU155" i="21"/>
  <c r="AU158" i="21"/>
  <c r="AU164" i="21"/>
  <c r="AU160" i="21"/>
  <c r="AU165" i="21"/>
  <c r="AU140" i="21"/>
  <c r="AU162" i="21"/>
  <c r="AU132" i="21"/>
  <c r="AU147" i="21"/>
  <c r="AU157" i="21"/>
  <c r="AU143" i="21"/>
  <c r="AU159" i="21"/>
  <c r="AU120" i="21"/>
  <c r="AU138" i="21"/>
  <c r="AU146" i="21"/>
  <c r="AU126" i="21"/>
  <c r="AU139" i="21"/>
  <c r="AU156" i="21"/>
  <c r="AU123" i="21"/>
  <c r="AU134" i="21"/>
  <c r="AU144" i="21"/>
  <c r="AU150" i="21"/>
  <c r="AU148" i="21"/>
  <c r="AU128" i="21"/>
  <c r="AU161" i="21"/>
  <c r="AU151" i="21"/>
  <c r="AU133" i="21"/>
  <c r="AU119" i="21"/>
  <c r="AU131" i="21"/>
  <c r="AU121" i="21"/>
  <c r="AU122" i="21"/>
  <c r="R99" i="25" l="1"/>
  <c r="R89" i="25"/>
  <c r="R86" i="25"/>
  <c r="R76" i="25"/>
  <c r="R81" i="25"/>
  <c r="R87" i="25"/>
  <c r="R82" i="25"/>
  <c r="R78" i="25"/>
  <c r="R91" i="25"/>
  <c r="R73" i="25"/>
  <c r="R77" i="25"/>
  <c r="R75" i="25"/>
  <c r="R92" i="25"/>
  <c r="R98" i="25"/>
  <c r="R80" i="25"/>
  <c r="R88" i="25"/>
  <c r="CQ77" i="25"/>
  <c r="CR77" i="25" s="1"/>
  <c r="CQ88" i="25"/>
  <c r="CQ99" i="25"/>
  <c r="CR99" i="25" s="1"/>
  <c r="CQ87" i="25"/>
  <c r="CQ299" i="25" s="1"/>
  <c r="CR299" i="25" s="1"/>
  <c r="CQ75" i="25"/>
  <c r="CR75" i="25" s="1"/>
  <c r="CQ86" i="25"/>
  <c r="CQ298" i="25" s="1"/>
  <c r="CQ82" i="25"/>
  <c r="CQ294" i="25" s="1"/>
  <c r="CQ76" i="25"/>
  <c r="CR76" i="25" s="1"/>
  <c r="CQ98" i="25"/>
  <c r="CQ310" i="25" s="1"/>
  <c r="CR310" i="25" s="1"/>
  <c r="CQ81" i="25"/>
  <c r="CQ293" i="25" s="1"/>
  <c r="CQ73" i="25"/>
  <c r="CQ285" i="25" s="1"/>
  <c r="CQ92" i="25"/>
  <c r="CQ304" i="25" s="1"/>
  <c r="CR304" i="25" s="1"/>
  <c r="CQ80" i="25"/>
  <c r="CR80" i="25" s="1"/>
  <c r="CQ72" i="25"/>
  <c r="CQ97" i="25"/>
  <c r="CQ91" i="25"/>
  <c r="CQ303" i="25" s="1"/>
  <c r="CR303" i="25" s="1"/>
  <c r="CQ79" i="25"/>
  <c r="CQ71" i="25"/>
  <c r="CQ283" i="25" s="1"/>
  <c r="CQ89" i="25"/>
  <c r="CQ90" i="25"/>
  <c r="CQ78" i="25"/>
  <c r="CR78" i="25" s="1"/>
  <c r="CQ70" i="25"/>
  <c r="CR285" i="25" l="1"/>
  <c r="CR293" i="25"/>
  <c r="CR298" i="25"/>
  <c r="CR88" i="25"/>
  <c r="CQ300" i="25"/>
  <c r="CR300" i="25" s="1"/>
  <c r="CQ302" i="25"/>
  <c r="CR89" i="25"/>
  <c r="CQ301" i="25"/>
  <c r="CR301" i="25" s="1"/>
  <c r="CQ5" i="25"/>
  <c r="CQ103" i="25"/>
  <c r="CR294" i="25"/>
  <c r="CR73" i="25"/>
  <c r="CR81" i="25"/>
  <c r="CR87" i="25"/>
  <c r="CR98" i="25"/>
  <c r="CR82" i="25"/>
  <c r="CQ284" i="25"/>
  <c r="CQ311" i="25"/>
  <c r="CR311" i="25" s="1"/>
  <c r="CQ289" i="25"/>
  <c r="CQ292" i="25"/>
  <c r="CQ309" i="25"/>
  <c r="BG380" i="25" s="1"/>
  <c r="AR34" i="29" s="1"/>
  <c r="CR91" i="25"/>
  <c r="CR92" i="25"/>
  <c r="CQ288" i="25"/>
  <c r="CR86" i="25"/>
  <c r="CQ282" i="25"/>
  <c r="CQ287" i="25"/>
  <c r="CQ291" i="25"/>
  <c r="CQ290" i="25"/>
  <c r="CR288" i="25" l="1"/>
  <c r="CR290" i="25"/>
  <c r="CR292" i="25"/>
  <c r="CR287" i="25"/>
  <c r="CR289" i="25"/>
  <c r="BG379" i="25"/>
  <c r="AR33" i="29" s="1"/>
  <c r="K33" i="29" s="1"/>
  <c r="BG378" i="25"/>
  <c r="AR32" i="29" s="1"/>
  <c r="X380" i="25"/>
  <c r="BG377" i="25"/>
  <c r="AR31" i="29" s="1"/>
  <c r="BI342" i="25"/>
  <c r="BI341" i="25"/>
  <c r="CQ313" i="25"/>
  <c r="X379" i="25" l="1"/>
  <c r="X377" i="25"/>
  <c r="X378" i="25"/>
  <c r="W378" i="25"/>
  <c r="L32" i="29"/>
  <c r="K32" i="29"/>
  <c r="K34" i="29"/>
  <c r="BG382" i="25"/>
  <c r="BI343" i="25"/>
  <c r="BG347" i="25"/>
  <c r="BI345" i="25"/>
  <c r="BG3" i="25" l="1"/>
  <c r="X382" i="25"/>
  <c r="K31" i="29"/>
  <c r="K36" i="29" s="1"/>
  <c r="AR36" i="29"/>
  <c r="AR37" i="29" s="1"/>
  <c r="BI347" i="25"/>
  <c r="BY11" i="25" l="1"/>
  <c r="BX11" i="25"/>
  <c r="R11" i="25"/>
  <c r="BQ11" i="25"/>
  <c r="BW11" i="25"/>
  <c r="BW223" i="25" s="1"/>
  <c r="AM354" i="25" s="1"/>
  <c r="X13" i="29" s="1"/>
  <c r="AA11" i="25" l="1"/>
  <c r="BQ223" i="25"/>
  <c r="AG354" i="25" s="1"/>
  <c r="R13" i="29" s="1"/>
  <c r="BX223" i="25"/>
  <c r="BY223" i="25"/>
  <c r="AO354" i="25" s="1"/>
  <c r="Z13" i="29" s="1"/>
  <c r="CR11" i="25"/>
  <c r="H13" i="29" l="1"/>
  <c r="AA354" i="25"/>
  <c r="AN354" i="25"/>
  <c r="CR223" i="25"/>
  <c r="D354" i="25" l="1"/>
  <c r="E354" i="25" s="1"/>
  <c r="Y13" i="29"/>
  <c r="G13" i="29" s="1"/>
  <c r="Z354" i="25"/>
  <c r="W354" i="25"/>
  <c r="V354" i="25"/>
  <c r="I13" i="29" l="1"/>
  <c r="L13" i="29"/>
  <c r="S354" i="25"/>
  <c r="T354" i="25"/>
  <c r="Y15" i="25"/>
  <c r="Y16" i="25"/>
  <c r="Y17" i="25"/>
  <c r="Y10" i="25"/>
  <c r="Y18" i="25"/>
  <c r="Y12" i="25"/>
  <c r="Y13" i="25"/>
  <c r="Y11" i="25"/>
  <c r="Y14" i="25"/>
  <c r="BT46" i="25"/>
  <c r="BS46" i="25"/>
  <c r="BS258" i="25" s="1"/>
  <c r="BR46" i="25"/>
  <c r="R46" i="25"/>
  <c r="BR258" i="25" l="1"/>
  <c r="BT258" i="25"/>
  <c r="AA46" i="25"/>
  <c r="CR46" i="25"/>
  <c r="CR258" i="25" l="1"/>
  <c r="BS45" i="25" l="1"/>
  <c r="BT45" i="25"/>
  <c r="BT257" i="25" s="1"/>
  <c r="AJ365" i="25" s="1"/>
  <c r="U23" i="29" s="1"/>
  <c r="BS257" i="25" l="1"/>
  <c r="AI365" i="25" s="1"/>
  <c r="T23" i="29" s="1"/>
  <c r="BT70" i="25" l="1"/>
  <c r="BS70" i="25"/>
  <c r="BT72" i="25"/>
  <c r="BT284" i="25" s="1"/>
  <c r="BT71" i="25"/>
  <c r="BT283" i="25" s="1"/>
  <c r="BQ72" i="25"/>
  <c r="BQ71" i="25"/>
  <c r="BQ283" i="25" s="1"/>
  <c r="R72" i="25"/>
  <c r="BS71" i="25"/>
  <c r="BS283" i="25" s="1"/>
  <c r="BS72" i="25"/>
  <c r="BS284" i="25" s="1"/>
  <c r="BR72" i="25"/>
  <c r="BR284" i="25" s="1"/>
  <c r="BQ70" i="25"/>
  <c r="CR72" i="25" l="1"/>
  <c r="BS282" i="25"/>
  <c r="BQ284" i="25"/>
  <c r="BT282" i="25"/>
  <c r="BQ282" i="25"/>
  <c r="AA72" i="25"/>
  <c r="AI377" i="25" l="1"/>
  <c r="T31" i="29" s="1"/>
  <c r="AJ377" i="25"/>
  <c r="U31" i="29" s="1"/>
  <c r="CR284" i="25"/>
  <c r="AG377" i="25"/>
  <c r="R31" i="29" s="1"/>
  <c r="AQ79" i="25" l="1"/>
  <c r="BZ79" i="25"/>
  <c r="AQ194" i="25" l="1"/>
  <c r="CA194" i="25" s="1"/>
  <c r="BZ291" i="25"/>
  <c r="AR79" i="25"/>
  <c r="AR194" i="25" s="1"/>
  <c r="CB194" i="25" s="1"/>
  <c r="CA79" i="25"/>
  <c r="CD79" i="25"/>
  <c r="P194" i="25" l="1" a="1"/>
  <c r="P194" i="25" s="1"/>
  <c r="AP377" i="25"/>
  <c r="AA31" i="29" s="1"/>
  <c r="CA291" i="25"/>
  <c r="AS79" i="25"/>
  <c r="CB79" i="25"/>
  <c r="CE79" i="25"/>
  <c r="CD291" i="25"/>
  <c r="CD5" i="25"/>
  <c r="CD103" i="25"/>
  <c r="BI79" i="25" l="1"/>
  <c r="R79" i="25"/>
  <c r="AQ377" i="25"/>
  <c r="AB31" i="29" s="1"/>
  <c r="CD313" i="25"/>
  <c r="AT377" i="25"/>
  <c r="AE31" i="29" s="1"/>
  <c r="CC79" i="25"/>
  <c r="CR79" i="25" s="1"/>
  <c r="AS194" i="25"/>
  <c r="CC194" i="25" s="1"/>
  <c r="CB291" i="25"/>
  <c r="CE291" i="25"/>
  <c r="CE5" i="25"/>
  <c r="CE103" i="25"/>
  <c r="AU377" i="25" l="1"/>
  <c r="AF31" i="29" s="1"/>
  <c r="AT382" i="25"/>
  <c r="AE36" i="29"/>
  <c r="CC291" i="25"/>
  <c r="CC103" i="25"/>
  <c r="CC5" i="25"/>
  <c r="CC216" i="25"/>
  <c r="CR194" i="25"/>
  <c r="CE313" i="25"/>
  <c r="CR291" i="25" l="1"/>
  <c r="AU382" i="25"/>
  <c r="AU3" i="25" s="1"/>
  <c r="AU1" i="25" s="1"/>
  <c r="AT3" i="25"/>
  <c r="AT1" i="25" s="1"/>
  <c r="AE37" i="29"/>
  <c r="AF36" i="29"/>
  <c r="CC313" i="25"/>
  <c r="AS377" i="25"/>
  <c r="AD31" i="29" s="1"/>
  <c r="BU97" i="25"/>
  <c r="BT97" i="25"/>
  <c r="BT309" i="25" s="1"/>
  <c r="BT95" i="25"/>
  <c r="BU95" i="25"/>
  <c r="BU307" i="25" s="1"/>
  <c r="BV96" i="25"/>
  <c r="BV308" i="25" s="1"/>
  <c r="BU96" i="25"/>
  <c r="BV95" i="25"/>
  <c r="BT96" i="25"/>
  <c r="BT308" i="25" s="1"/>
  <c r="R96" i="25"/>
  <c r="R95" i="25"/>
  <c r="BS97" i="25"/>
  <c r="R97" i="25"/>
  <c r="AF37" i="29" l="1"/>
  <c r="AS382" i="25"/>
  <c r="AS106" i="25" s="1"/>
  <c r="AD36" i="29"/>
  <c r="CR96" i="25"/>
  <c r="CR97" i="25"/>
  <c r="BV307" i="25"/>
  <c r="BV103" i="25"/>
  <c r="BV5" i="25"/>
  <c r="AA95" i="25"/>
  <c r="BT103" i="25"/>
  <c r="BT5" i="25"/>
  <c r="BT307" i="25"/>
  <c r="AJ380" i="25" s="1"/>
  <c r="U34" i="29" s="1"/>
  <c r="AA97" i="25"/>
  <c r="BS5" i="25"/>
  <c r="BU309" i="25"/>
  <c r="BS309" i="25"/>
  <c r="AI380" i="25" s="1"/>
  <c r="T34" i="29" s="1"/>
  <c r="AA96" i="25"/>
  <c r="BU103" i="25"/>
  <c r="BS103" i="25"/>
  <c r="BU5" i="25"/>
  <c r="CR95" i="25"/>
  <c r="BU308" i="25"/>
  <c r="CR308" i="25" s="1"/>
  <c r="AS3" i="25" l="1"/>
  <c r="AS1" i="25" s="1"/>
  <c r="AD37" i="29"/>
  <c r="T36" i="29"/>
  <c r="AJ382" i="25"/>
  <c r="U36" i="29"/>
  <c r="AI382" i="25"/>
  <c r="BV313" i="25"/>
  <c r="AL380" i="25"/>
  <c r="W34" i="29" s="1"/>
  <c r="AK380" i="25"/>
  <c r="BU313" i="25"/>
  <c r="CR307" i="25"/>
  <c r="BT313" i="25"/>
  <c r="BS313" i="25"/>
  <c r="CR309" i="25"/>
  <c r="AJ3" i="25" l="1"/>
  <c r="U37" i="29"/>
  <c r="AI3" i="25"/>
  <c r="T37" i="29"/>
  <c r="V34" i="29"/>
  <c r="V36" i="29" s="1"/>
  <c r="I34" i="29"/>
  <c r="W36" i="29"/>
  <c r="AJ106" i="25"/>
  <c r="AJ104" i="25" s="1"/>
  <c r="AL382" i="25"/>
  <c r="AL106" i="25" s="1"/>
  <c r="AL102" i="25" s="1"/>
  <c r="Z380" i="25"/>
  <c r="W380" i="25"/>
  <c r="AK382" i="25"/>
  <c r="AA380" i="25"/>
  <c r="V380" i="25"/>
  <c r="AL104" i="25" l="1"/>
  <c r="G34" i="29"/>
  <c r="L34" i="29"/>
  <c r="H34" i="29"/>
  <c r="V37" i="29"/>
  <c r="AL3" i="25"/>
  <c r="AL1" i="25" s="1"/>
  <c r="W37" i="29"/>
  <c r="AK106" i="25"/>
  <c r="AK104" i="25" s="1"/>
  <c r="AK3" i="25"/>
  <c r="S380" i="25"/>
  <c r="T380" i="25"/>
  <c r="AI106" i="25"/>
  <c r="Y95" i="25"/>
  <c r="Y96" i="25"/>
  <c r="Y97" i="25"/>
  <c r="Y93" i="25"/>
  <c r="Y98" i="25"/>
  <c r="Y94" i="25"/>
  <c r="D380" i="25" l="1"/>
  <c r="E380" i="25" s="1"/>
  <c r="AI104" i="25"/>
  <c r="AB44" i="25"/>
  <c r="AB45" i="25" l="1"/>
  <c r="BL44" i="25"/>
  <c r="AB159" i="25"/>
  <c r="AB160" i="25" l="1"/>
  <c r="BL45" i="25"/>
  <c r="BL160" i="25"/>
  <c r="BL159" i="25"/>
  <c r="BL256" i="25" s="1"/>
  <c r="BL257" i="25" l="1"/>
  <c r="AB365" i="25"/>
  <c r="M23" i="29" s="1"/>
  <c r="H24" i="29" l="1"/>
  <c r="G24" i="29"/>
  <c r="L24" i="29"/>
  <c r="D367" i="25" l="1"/>
  <c r="E367" i="25" s="1"/>
  <c r="AG26" i="25"/>
  <c r="AG141" i="25" s="1"/>
  <c r="BQ141" i="25" s="1"/>
  <c r="BQ26" i="25" l="1"/>
  <c r="BQ238" i="25" s="1"/>
  <c r="AG27" i="25"/>
  <c r="BQ27" i="25" l="1"/>
  <c r="AG142" i="25"/>
  <c r="BQ142" i="25" s="1"/>
  <c r="BQ239" i="25" l="1"/>
  <c r="AG356" i="25" s="1"/>
  <c r="R15" i="29" s="1"/>
  <c r="BQ5" i="25"/>
  <c r="BQ103" i="25"/>
  <c r="BQ216" i="25"/>
  <c r="AG382" i="25" l="1"/>
  <c r="R36" i="29"/>
  <c r="BQ313" i="25"/>
  <c r="AG3" i="25" l="1"/>
  <c r="R37" i="29"/>
  <c r="AG106" i="25"/>
  <c r="AG104" i="25" l="1"/>
  <c r="AC70" i="25"/>
  <c r="AC63" i="25"/>
  <c r="AC44" i="25"/>
  <c r="AC69" i="25" l="1"/>
  <c r="AC184" i="25"/>
  <c r="BM184" i="25" s="1"/>
  <c r="AC65" i="25"/>
  <c r="AC159" i="25"/>
  <c r="BM159" i="25" s="1"/>
  <c r="AC83" i="25"/>
  <c r="AC26" i="25"/>
  <c r="BM70" i="25"/>
  <c r="AC71" i="25"/>
  <c r="BM63" i="25"/>
  <c r="AC178" i="25"/>
  <c r="BM178" i="25" s="1"/>
  <c r="BM44" i="25"/>
  <c r="AC185" i="25"/>
  <c r="BM185" i="25" s="1"/>
  <c r="AC45" i="25"/>
  <c r="BM69" i="25" l="1"/>
  <c r="BM281" i="25" s="1"/>
  <c r="AC27" i="25"/>
  <c r="BM26" i="25"/>
  <c r="BM83" i="25"/>
  <c r="AC198" i="25"/>
  <c r="BM198" i="25" s="1"/>
  <c r="AC186" i="25"/>
  <c r="BM186" i="25" s="1"/>
  <c r="AC141" i="25"/>
  <c r="BM141" i="25" s="1"/>
  <c r="AC180" i="25"/>
  <c r="BM180" i="25" s="1"/>
  <c r="BM65" i="25"/>
  <c r="BM71" i="25"/>
  <c r="AC90" i="25"/>
  <c r="AC84" i="25"/>
  <c r="BM282" i="25"/>
  <c r="BM275" i="25"/>
  <c r="BM45" i="25"/>
  <c r="AC160" i="25"/>
  <c r="BM160" i="25" s="1"/>
  <c r="BM256" i="25"/>
  <c r="BM27" i="25" l="1"/>
  <c r="AC142" i="25"/>
  <c r="BM142" i="25" s="1"/>
  <c r="BM238" i="25"/>
  <c r="BM277" i="25"/>
  <c r="AC376" i="25" s="1"/>
  <c r="N30" i="29" s="1"/>
  <c r="BM295" i="25"/>
  <c r="BM283" i="25"/>
  <c r="AC199" i="25"/>
  <c r="BM199" i="25" s="1"/>
  <c r="AC85" i="25"/>
  <c r="BM84" i="25"/>
  <c r="BM90" i="25"/>
  <c r="AC205" i="25"/>
  <c r="BM205" i="25" s="1"/>
  <c r="BM257" i="25"/>
  <c r="AC365" i="25" s="1"/>
  <c r="N23" i="29" s="1"/>
  <c r="BM239" i="25" l="1"/>
  <c r="AC356" i="25" s="1"/>
  <c r="N15" i="29" s="1"/>
  <c r="AC377" i="25"/>
  <c r="N31" i="29" s="1"/>
  <c r="BM302" i="25"/>
  <c r="BM296" i="25"/>
  <c r="AC200" i="25"/>
  <c r="BM200" i="25" s="1"/>
  <c r="BM85" i="25"/>
  <c r="BM216" i="25" l="1"/>
  <c r="BM297" i="25"/>
  <c r="AC379" i="25" s="1"/>
  <c r="N33" i="29" s="1"/>
  <c r="AA85" i="25"/>
  <c r="BM5" i="25"/>
  <c r="BM103" i="25"/>
  <c r="BM313" i="25" l="1"/>
  <c r="N36" i="29" l="1"/>
  <c r="AC382" i="25"/>
  <c r="AC3" i="25" l="1"/>
  <c r="N37" i="29"/>
  <c r="AC106" i="25"/>
  <c r="AC104" i="25" l="1"/>
  <c r="AO163" i="25" l="1"/>
  <c r="BY163" i="25" s="1"/>
  <c r="R48" i="25"/>
  <c r="BY48" i="25"/>
  <c r="CR48" i="25" s="1"/>
  <c r="BY260" i="25" l="1"/>
  <c r="CR163" i="25"/>
  <c r="AO362" i="25" l="1"/>
  <c r="CR260" i="25"/>
  <c r="Z362" i="25" l="1"/>
  <c r="Z21" i="29"/>
  <c r="L21" i="29" s="1"/>
  <c r="W362" i="25"/>
  <c r="I21" i="29" l="1"/>
  <c r="G21" i="29"/>
  <c r="AB137" i="25"/>
  <c r="BL137" i="25" s="1"/>
  <c r="BL216" i="25" s="1"/>
  <c r="BL22" i="25"/>
  <c r="BL5" i="25" s="1"/>
  <c r="CR137" i="25" l="1"/>
  <c r="CR22" i="25"/>
  <c r="AA22" i="25"/>
  <c r="BL234" i="25"/>
  <c r="BL103" i="25"/>
  <c r="CR234" i="25" l="1"/>
  <c r="AB355" i="25"/>
  <c r="BL313" i="25"/>
  <c r="AB382" i="25" l="1"/>
  <c r="M14" i="29"/>
  <c r="AA355" i="25"/>
  <c r="W355" i="25"/>
  <c r="V355" i="25"/>
  <c r="Y23" i="25" l="1"/>
  <c r="Y24" i="25"/>
  <c r="Y25" i="25"/>
  <c r="G14" i="29"/>
  <c r="H14" i="29"/>
  <c r="L14" i="29"/>
  <c r="M36" i="29"/>
  <c r="T355" i="25"/>
  <c r="Y21" i="25"/>
  <c r="Y19" i="25"/>
  <c r="Y22" i="25"/>
  <c r="X22" i="25" s="1"/>
  <c r="S355" i="25"/>
  <c r="Y20" i="25"/>
  <c r="AB3" i="25"/>
  <c r="AB106" i="25"/>
  <c r="M37" i="29" l="1"/>
  <c r="D355" i="25"/>
  <c r="E355" i="25" s="1"/>
  <c r="AB104" i="25"/>
  <c r="AH44" i="25"/>
  <c r="BH44" i="25" s="1"/>
  <c r="AH26" i="25"/>
  <c r="BH26" i="25" s="1"/>
  <c r="AR44" i="25" l="1"/>
  <c r="R44" i="25" s="1"/>
  <c r="R109" i="25" s="1"/>
  <c r="AR26" i="25"/>
  <c r="BR26" i="25"/>
  <c r="AA26" i="25" s="1"/>
  <c r="AH63" i="25"/>
  <c r="AQ45" i="25"/>
  <c r="AQ159" i="25"/>
  <c r="CA44" i="25"/>
  <c r="AP27" i="25"/>
  <c r="AP141" i="25"/>
  <c r="BZ26" i="25"/>
  <c r="AH159" i="25"/>
  <c r="BR159" i="25" s="1"/>
  <c r="AH27" i="25"/>
  <c r="BR44" i="25"/>
  <c r="AH141" i="25"/>
  <c r="BR141" i="25" s="1"/>
  <c r="AH45" i="25"/>
  <c r="BH63" i="25" l="1"/>
  <c r="BH45" i="25"/>
  <c r="CB26" i="25"/>
  <c r="CR26" i="25" s="1"/>
  <c r="BI26" i="25"/>
  <c r="BH27" i="25"/>
  <c r="AR159" i="25"/>
  <c r="CB159" i="25" s="1"/>
  <c r="BI44" i="25"/>
  <c r="AR45" i="25"/>
  <c r="BI45" i="25" s="1"/>
  <c r="CB44" i="25"/>
  <c r="CR44" i="25" s="1"/>
  <c r="R26" i="25"/>
  <c r="R110" i="25" s="1"/>
  <c r="AR141" i="25"/>
  <c r="CB141" i="25" s="1"/>
  <c r="BR238" i="25"/>
  <c r="AM63" i="25"/>
  <c r="BI63" i="25" s="1"/>
  <c r="AR27" i="25"/>
  <c r="CB45" i="25"/>
  <c r="AH178" i="25"/>
  <c r="BR178" i="25" s="1"/>
  <c r="BR63" i="25"/>
  <c r="AH65" i="25"/>
  <c r="BH65" i="25" s="1"/>
  <c r="BZ141" i="25"/>
  <c r="BZ238" i="25" s="1"/>
  <c r="AP142" i="25"/>
  <c r="BZ27" i="25"/>
  <c r="AH142" i="25"/>
  <c r="BR142" i="25" s="1"/>
  <c r="BR27" i="25"/>
  <c r="R45" i="25"/>
  <c r="AH160" i="25"/>
  <c r="BR160" i="25" s="1"/>
  <c r="BR45" i="25"/>
  <c r="CA159" i="25"/>
  <c r="CA256" i="25" s="1"/>
  <c r="P159" i="25" a="1"/>
  <c r="P159" i="25" s="1"/>
  <c r="AA44" i="25"/>
  <c r="BR256" i="25"/>
  <c r="AQ160" i="25"/>
  <c r="CA45" i="25"/>
  <c r="P141" i="25" l="1" a="1"/>
  <c r="P141" i="25" s="1"/>
  <c r="BI27" i="25"/>
  <c r="CB238" i="25"/>
  <c r="CR238" i="25" s="1"/>
  <c r="AR160" i="25"/>
  <c r="CB160" i="25" s="1"/>
  <c r="CB256" i="25"/>
  <c r="CR256" i="25" s="1"/>
  <c r="AR65" i="25"/>
  <c r="BI65" i="25" s="1"/>
  <c r="CB257" i="25"/>
  <c r="AR365" i="25" s="1"/>
  <c r="AC23" i="29" s="1"/>
  <c r="CB27" i="25"/>
  <c r="CR27" i="25" s="1"/>
  <c r="AR142" i="25"/>
  <c r="CB142" i="25" s="1"/>
  <c r="R27" i="25"/>
  <c r="AR180" i="25"/>
  <c r="CB180" i="25" s="1"/>
  <c r="CB65" i="25"/>
  <c r="CR141" i="25"/>
  <c r="AH83" i="25"/>
  <c r="BH83" i="25" s="1"/>
  <c r="AH70" i="25"/>
  <c r="BH70" i="25" s="1"/>
  <c r="BW63" i="25"/>
  <c r="AM178" i="25"/>
  <c r="AH180" i="25"/>
  <c r="BR180" i="25" s="1"/>
  <c r="BR65" i="25"/>
  <c r="BR275" i="25"/>
  <c r="AA63" i="25"/>
  <c r="AA111" i="25" s="1"/>
  <c r="BZ142" i="25"/>
  <c r="AA45" i="25"/>
  <c r="AA109" i="25" s="1"/>
  <c r="BR257" i="25"/>
  <c r="AH365" i="25" s="1"/>
  <c r="CR45" i="25"/>
  <c r="CA160" i="25"/>
  <c r="P160" i="25" a="1"/>
  <c r="P160" i="25" s="1"/>
  <c r="CR159" i="25"/>
  <c r="BR239" i="25"/>
  <c r="AA27" i="25"/>
  <c r="AA110" i="25" s="1"/>
  <c r="R65" i="25" l="1"/>
  <c r="R112" i="25" s="1"/>
  <c r="AN178" i="25"/>
  <c r="BX178" i="25" s="1"/>
  <c r="BX216" i="25" s="1"/>
  <c r="AR70" i="25"/>
  <c r="AR83" i="25"/>
  <c r="R63" i="25"/>
  <c r="R111" i="25" s="1"/>
  <c r="BX63" i="25"/>
  <c r="BX103" i="25" s="1"/>
  <c r="CB239" i="25"/>
  <c r="P142" i="25" a="1"/>
  <c r="P142" i="25" s="1"/>
  <c r="CB277" i="25"/>
  <c r="AR376" i="25" s="1"/>
  <c r="AC30" i="29" s="1"/>
  <c r="CR142" i="25"/>
  <c r="AR356" i="25"/>
  <c r="BZ239" i="25"/>
  <c r="AP356" i="25" s="1"/>
  <c r="P178" i="25" a="1"/>
  <c r="P178" i="25" s="1"/>
  <c r="BW178" i="25"/>
  <c r="AQ180" i="25"/>
  <c r="CA65" i="25"/>
  <c r="BW103" i="25"/>
  <c r="BW5" i="25"/>
  <c r="BR277" i="25"/>
  <c r="AA65" i="25"/>
  <c r="AA112" i="25" s="1"/>
  <c r="AH71" i="25"/>
  <c r="AH69" i="25"/>
  <c r="BH69" i="25" s="1"/>
  <c r="AH185" i="25"/>
  <c r="BR185" i="25" s="1"/>
  <c r="BR70" i="25"/>
  <c r="AH198" i="25"/>
  <c r="BR198" i="25" s="1"/>
  <c r="AH84" i="25"/>
  <c r="AH90" i="25"/>
  <c r="BR83" i="25"/>
  <c r="CA257" i="25"/>
  <c r="CR160" i="25"/>
  <c r="AA365" i="25"/>
  <c r="S23" i="29"/>
  <c r="V365" i="25"/>
  <c r="AH356" i="25"/>
  <c r="BX5" i="25" l="1"/>
  <c r="AR185" i="25"/>
  <c r="CB185" i="25" s="1"/>
  <c r="BI70" i="25"/>
  <c r="BH71" i="25"/>
  <c r="BH90" i="25"/>
  <c r="BI83" i="25"/>
  <c r="BH84" i="25"/>
  <c r="CR239" i="25"/>
  <c r="CR63" i="25"/>
  <c r="R70" i="25"/>
  <c r="R113" i="25" s="1"/>
  <c r="CB70" i="25"/>
  <c r="CB282" i="25" s="1"/>
  <c r="AR71" i="25"/>
  <c r="CB83" i="25"/>
  <c r="AR90" i="25"/>
  <c r="AR198" i="25"/>
  <c r="CB198" i="25" s="1"/>
  <c r="R83" i="25"/>
  <c r="R114" i="25" s="1"/>
  <c r="AR84" i="25"/>
  <c r="AR199" i="25" s="1"/>
  <c r="CB199" i="25" s="1"/>
  <c r="BX275" i="25"/>
  <c r="BX313" i="25" s="1"/>
  <c r="AR69" i="25"/>
  <c r="AC15" i="29"/>
  <c r="AO71" i="25"/>
  <c r="BY70" i="25"/>
  <c r="AO185" i="25"/>
  <c r="AH376" i="25"/>
  <c r="CR178" i="25"/>
  <c r="BW216" i="25"/>
  <c r="BZ83" i="25"/>
  <c r="AP84" i="25"/>
  <c r="BI84" i="25" s="1"/>
  <c r="AP90" i="25"/>
  <c r="BI90" i="25" s="1"/>
  <c r="AP198" i="25"/>
  <c r="BW275" i="25"/>
  <c r="AH186" i="25"/>
  <c r="BR186" i="25" s="1"/>
  <c r="BR71" i="25"/>
  <c r="BR295" i="25"/>
  <c r="AA83" i="25"/>
  <c r="BR282" i="25"/>
  <c r="AA70" i="25"/>
  <c r="AH205" i="25"/>
  <c r="BR205" i="25" s="1"/>
  <c r="BR90" i="25"/>
  <c r="AH199" i="25"/>
  <c r="BR199" i="25" s="1"/>
  <c r="AH85" i="25"/>
  <c r="BR84" i="25"/>
  <c r="CR65" i="25"/>
  <c r="CA5" i="25"/>
  <c r="CA103" i="25"/>
  <c r="AH184" i="25"/>
  <c r="BR184" i="25" s="1"/>
  <c r="AH68" i="25"/>
  <c r="BH68" i="25" s="1"/>
  <c r="BR69" i="25"/>
  <c r="CA180" i="25"/>
  <c r="P180" i="25" a="1"/>
  <c r="P180" i="25" s="1"/>
  <c r="H23" i="29"/>
  <c r="AQ365" i="25"/>
  <c r="AA356" i="25"/>
  <c r="S15" i="29"/>
  <c r="V356" i="25"/>
  <c r="W356" i="25"/>
  <c r="CR257" i="25"/>
  <c r="Y46" i="25"/>
  <c r="Y44" i="25"/>
  <c r="Y109" i="25" s="1"/>
  <c r="Y45" i="25"/>
  <c r="Y43" i="25"/>
  <c r="S365" i="25"/>
  <c r="T365" i="25"/>
  <c r="AA15" i="29"/>
  <c r="Z356" i="25"/>
  <c r="BI71" i="25" l="1"/>
  <c r="BH85" i="25"/>
  <c r="BI69" i="25"/>
  <c r="CB295" i="25"/>
  <c r="AN376" i="25"/>
  <c r="AN382" i="25" s="1"/>
  <c r="CB90" i="25"/>
  <c r="AR205" i="25"/>
  <c r="CB205" i="25" s="1"/>
  <c r="R90" i="25"/>
  <c r="AR186" i="25"/>
  <c r="CB186" i="25" s="1"/>
  <c r="CB71" i="25"/>
  <c r="R84" i="25"/>
  <c r="CB84" i="25"/>
  <c r="CB296" i="25" s="1"/>
  <c r="AR85" i="25"/>
  <c r="R69" i="25"/>
  <c r="AR184" i="25"/>
  <c r="AR68" i="25"/>
  <c r="AH183" i="25"/>
  <c r="BR183" i="25" s="1"/>
  <c r="BR68" i="25"/>
  <c r="BZ84" i="25"/>
  <c r="AP85" i="25"/>
  <c r="AP199" i="25"/>
  <c r="BY185" i="25"/>
  <c r="BY282" i="25" s="1"/>
  <c r="P185" i="25" a="1"/>
  <c r="P185" i="25" s="1"/>
  <c r="CR83" i="25"/>
  <c r="CR70" i="25"/>
  <c r="BR296" i="25"/>
  <c r="AA84" i="25"/>
  <c r="BR283" i="25"/>
  <c r="AA71" i="25"/>
  <c r="AA113" i="25" s="1"/>
  <c r="BR302" i="25"/>
  <c r="AA90" i="25"/>
  <c r="R71" i="25"/>
  <c r="AO186" i="25"/>
  <c r="BY71" i="25"/>
  <c r="CA277" i="25"/>
  <c r="CA216" i="25"/>
  <c r="CR180" i="25"/>
  <c r="AH200" i="25"/>
  <c r="BR200" i="25" s="1"/>
  <c r="BW313" i="25"/>
  <c r="AM376" i="25"/>
  <c r="CR275" i="25"/>
  <c r="BZ198" i="25"/>
  <c r="P198" i="25" a="1"/>
  <c r="P198" i="25" s="1"/>
  <c r="BR281" i="25"/>
  <c r="CR69" i="25"/>
  <c r="AA69" i="25"/>
  <c r="BZ90" i="25"/>
  <c r="AP205" i="25"/>
  <c r="S30" i="29"/>
  <c r="V376" i="25"/>
  <c r="AA376" i="25"/>
  <c r="L15" i="29"/>
  <c r="H15" i="29"/>
  <c r="G15" i="29"/>
  <c r="Z365" i="25"/>
  <c r="AB23" i="29"/>
  <c r="W365" i="25"/>
  <c r="I15" i="29"/>
  <c r="T356" i="25"/>
  <c r="Y27" i="25"/>
  <c r="Y26" i="25"/>
  <c r="Y110" i="25" s="1"/>
  <c r="S356" i="25"/>
  <c r="D365" i="25"/>
  <c r="E365" i="25" s="1"/>
  <c r="BI85" i="25" l="1"/>
  <c r="BI68" i="25"/>
  <c r="CR90" i="25"/>
  <c r="Y30" i="29"/>
  <c r="Y36" i="29" s="1"/>
  <c r="Y37" i="29" s="1"/>
  <c r="R85" i="25"/>
  <c r="CB302" i="25"/>
  <c r="CB283" i="25"/>
  <c r="CB85" i="25"/>
  <c r="CB5" i="25" s="1"/>
  <c r="CR84" i="25"/>
  <c r="AR200" i="25"/>
  <c r="CB200" i="25" s="1"/>
  <c r="CR71" i="25"/>
  <c r="AR183" i="25"/>
  <c r="R68" i="25"/>
  <c r="P184" i="25" a="1"/>
  <c r="P184" i="25" s="1"/>
  <c r="CB184" i="25"/>
  <c r="AN106" i="25"/>
  <c r="AN102" i="25" s="1"/>
  <c r="AN3" i="25"/>
  <c r="AN1" i="25" s="1"/>
  <c r="AA114" i="25"/>
  <c r="AA115" i="25" s="1"/>
  <c r="P186" i="25" a="1"/>
  <c r="P186" i="25" s="1"/>
  <c r="BY186" i="25"/>
  <c r="BZ103" i="25"/>
  <c r="CR185" i="25"/>
  <c r="BR280" i="25"/>
  <c r="AA68" i="25"/>
  <c r="CR68" i="25"/>
  <c r="BR5" i="25"/>
  <c r="BR103" i="25"/>
  <c r="BZ5" i="25"/>
  <c r="BZ199" i="25"/>
  <c r="CR199" i="25" s="1"/>
  <c r="P199" i="25" a="1"/>
  <c r="P199" i="25" s="1"/>
  <c r="AQ376" i="25"/>
  <c r="CR277" i="25"/>
  <c r="CA313" i="25"/>
  <c r="Y64" i="25"/>
  <c r="S376" i="25"/>
  <c r="T376" i="25"/>
  <c r="Y63" i="25"/>
  <c r="Y111" i="25" s="1"/>
  <c r="Y65" i="25"/>
  <c r="Y112" i="25" s="1"/>
  <c r="CR198" i="25"/>
  <c r="BZ295" i="25"/>
  <c r="BY85" i="25"/>
  <c r="BY5" i="25" s="1"/>
  <c r="AP200" i="25"/>
  <c r="X30" i="29"/>
  <c r="AM382" i="25"/>
  <c r="AM106" i="25" s="1"/>
  <c r="AM102" i="25" s="1"/>
  <c r="BR297" i="25"/>
  <c r="BR216" i="25"/>
  <c r="H30" i="29"/>
  <c r="BZ205" i="25"/>
  <c r="P205" i="25" a="1"/>
  <c r="P205" i="25" s="1"/>
  <c r="CR282" i="25"/>
  <c r="I23" i="29"/>
  <c r="L23" i="29"/>
  <c r="G23" i="29"/>
  <c r="D356" i="25"/>
  <c r="E356" i="25" s="1"/>
  <c r="CB297" i="25" l="1"/>
  <c r="AR379" i="25" s="1"/>
  <c r="AC33" i="29" s="1"/>
  <c r="CB103" i="25"/>
  <c r="P183" i="25" a="1"/>
  <c r="P183" i="25" s="1"/>
  <c r="CB183" i="25"/>
  <c r="CB281" i="25"/>
  <c r="CR184" i="25"/>
  <c r="AN104" i="25"/>
  <c r="AM104" i="25"/>
  <c r="BZ296" i="25"/>
  <c r="CR296" i="25" s="1"/>
  <c r="BY103" i="25"/>
  <c r="P200" i="25" a="1"/>
  <c r="P200" i="25" s="1"/>
  <c r="BZ200" i="25"/>
  <c r="BZ216" i="25" s="1"/>
  <c r="AB30" i="29"/>
  <c r="AB36" i="29" s="1"/>
  <c r="AQ382" i="25"/>
  <c r="AQ106" i="25" s="1"/>
  <c r="AQ102" i="25" s="1"/>
  <c r="BY283" i="25"/>
  <c r="CR186" i="25"/>
  <c r="CR295" i="25"/>
  <c r="BZ302" i="25"/>
  <c r="CR302" i="25" s="1"/>
  <c r="CR205" i="25"/>
  <c r="BY297" i="25"/>
  <c r="AO379" i="25" s="1"/>
  <c r="CR85" i="25"/>
  <c r="CR5" i="25" s="1"/>
  <c r="D376" i="25"/>
  <c r="E376" i="25" s="1"/>
  <c r="AH379" i="25"/>
  <c r="W376" i="25"/>
  <c r="Z376" i="25"/>
  <c r="AM3" i="25"/>
  <c r="AM1" i="25" s="1"/>
  <c r="AH377" i="25"/>
  <c r="BR313" i="25"/>
  <c r="X36" i="29"/>
  <c r="X37" i="29" s="1"/>
  <c r="BY216" i="25"/>
  <c r="CR183" i="25" l="1"/>
  <c r="CB280" i="25"/>
  <c r="CB216" i="25"/>
  <c r="CR281" i="25"/>
  <c r="AQ104" i="25"/>
  <c r="CR120" i="25"/>
  <c r="CR103" i="25"/>
  <c r="I30" i="29"/>
  <c r="L30" i="29"/>
  <c r="BZ297" i="25"/>
  <c r="CR200" i="25"/>
  <c r="S33" i="29"/>
  <c r="V379" i="25"/>
  <c r="AA379" i="25"/>
  <c r="Z33" i="29"/>
  <c r="S31" i="29"/>
  <c r="V377" i="25"/>
  <c r="AA377" i="25"/>
  <c r="AH382" i="25"/>
  <c r="AO377" i="25"/>
  <c r="BY313" i="25"/>
  <c r="CR283" i="25"/>
  <c r="AB37" i="29"/>
  <c r="AQ3" i="25"/>
  <c r="AQ1" i="25" s="1"/>
  <c r="G30" i="29"/>
  <c r="AR377" i="25" l="1"/>
  <c r="Z377" i="25" s="1"/>
  <c r="CB313" i="25"/>
  <c r="CR280" i="25"/>
  <c r="AA382" i="25"/>
  <c r="CR216" i="25"/>
  <c r="CR314" i="25" s="1"/>
  <c r="AH106" i="25"/>
  <c r="AH3" i="25"/>
  <c r="V382" i="25"/>
  <c r="BZ313" i="25"/>
  <c r="CR297" i="25"/>
  <c r="AP379" i="25"/>
  <c r="H31" i="29"/>
  <c r="S36" i="29"/>
  <c r="Z31" i="29"/>
  <c r="AO382" i="25"/>
  <c r="AO106" i="25" s="1"/>
  <c r="AO102" i="25" s="1"/>
  <c r="Y92" i="25"/>
  <c r="Y87" i="25"/>
  <c r="Y91" i="25"/>
  <c r="Y83" i="25"/>
  <c r="Y114" i="25" s="1"/>
  <c r="Y89" i="25"/>
  <c r="Y86" i="25"/>
  <c r="T379" i="25"/>
  <c r="S379" i="25"/>
  <c r="Y84" i="25"/>
  <c r="Y88" i="25"/>
  <c r="Y85" i="25"/>
  <c r="Y90" i="25"/>
  <c r="H33" i="29"/>
  <c r="T377" i="25"/>
  <c r="Y72" i="25"/>
  <c r="Y79" i="25"/>
  <c r="Y81" i="25"/>
  <c r="Y66" i="25"/>
  <c r="S377" i="25"/>
  <c r="Y68" i="25"/>
  <c r="Y71" i="25"/>
  <c r="Y78" i="25"/>
  <c r="Y74" i="25"/>
  <c r="Y77" i="25"/>
  <c r="Y67" i="25"/>
  <c r="Y80" i="25"/>
  <c r="Y75" i="25"/>
  <c r="Y73" i="25"/>
  <c r="Y76" i="25"/>
  <c r="Y69" i="25"/>
  <c r="Y70" i="25"/>
  <c r="Y113" i="25" s="1"/>
  <c r="AC31" i="29" l="1"/>
  <c r="AC36" i="29" s="1"/>
  <c r="AR382" i="25"/>
  <c r="W377" i="25"/>
  <c r="AO104" i="25"/>
  <c r="AA33" i="29"/>
  <c r="AP382" i="25"/>
  <c r="W379" i="25"/>
  <c r="Z379" i="25"/>
  <c r="Z382" i="25" s="1"/>
  <c r="Y3" i="25"/>
  <c r="AH104" i="25"/>
  <c r="AA106" i="25"/>
  <c r="AA104" i="25" s="1"/>
  <c r="D377" i="25"/>
  <c r="E377" i="25" s="1"/>
  <c r="H36" i="29"/>
  <c r="D379" i="25"/>
  <c r="E379" i="25" s="1"/>
  <c r="AO3" i="25"/>
  <c r="AO1" i="25" s="1"/>
  <c r="S37" i="29"/>
  <c r="T382" i="25"/>
  <c r="S382" i="25"/>
  <c r="Z36" i="29"/>
  <c r="Z37" i="29" s="1"/>
  <c r="CR313" i="25"/>
  <c r="I31" i="29" l="1"/>
  <c r="W382" i="25"/>
  <c r="L31" i="29"/>
  <c r="AR106" i="25"/>
  <c r="AR104" i="25" s="1"/>
  <c r="AC37" i="29"/>
  <c r="AR3" i="25"/>
  <c r="AR1" i="25" s="1"/>
  <c r="G31" i="29"/>
  <c r="AP3" i="25"/>
  <c r="AP1" i="25" s="1"/>
  <c r="AP106" i="25"/>
  <c r="AP102" i="25" s="1"/>
  <c r="G33" i="29"/>
  <c r="AA36" i="29"/>
  <c r="AA37" i="29" s="1"/>
  <c r="I33" i="29"/>
  <c r="L33" i="29"/>
  <c r="I36" i="29" l="1"/>
  <c r="G36" i="29"/>
  <c r="AP104" i="25"/>
  <c r="L36" i="29"/>
  <c r="L37"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tc={C7D7A35E-289A-42FC-A5AF-FF6CBC438197}</author>
    <author>tc={84535203-9262-4EFF-8658-179B875C6864}</author>
    <author>tc={9E34D009-669D-4587-893F-EC1EF8CD9CB6}</author>
  </authors>
  <commentList>
    <comment ref="I7" authorId="0" shapeId="0" xr:uid="{C7D7A35E-289A-42FC-A5AF-FF6CBC438197}">
      <text>
        <t>[Threaded comment]
Your version of Excel allows you to read this threaded comment; however, any edits to it will get removed if the file is opened in a newer version of Excel. Learn more: https://go.microsoft.com/fwlink/?linkid=870924
Comment:
    As Town centre 2000m2</t>
      </text>
    </comment>
    <comment ref="M7" authorId="1" shapeId="0" xr:uid="{84535203-9262-4EFF-8658-179B875C6864}">
      <text>
        <t>[Threaded comment]
Your version of Excel allows you to read this threaded comment; however, any edits to it will get removed if the file is opened in a newer version of Excel. Learn more: https://go.microsoft.com/fwlink/?linkid=870924
Comment:
    As Town centre 2000m2</t>
      </text>
    </comment>
    <comment ref="Q7" authorId="2" shapeId="0" xr:uid="{9E34D009-669D-4587-893F-EC1EF8CD9CB6}">
      <text>
        <t>[Threaded comment]
Your version of Excel allows you to read this threaded comment; however, any edits to it will get removed if the file is opened in a newer version of Excel. Learn more: https://go.microsoft.com/fwlink/?linkid=870924
Comment:
    If 2023, can signal has been SULs for some time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<sst xmlns="http://schemas.openxmlformats.org/spreadsheetml/2006/main" count="1069" uniqueCount="489">
  <si>
    <t>Measures (percent)</t>
  </si>
  <si>
    <t>2023/24</t>
  </si>
  <si>
    <t>2024/25</t>
  </si>
  <si>
    <t>2025/26</t>
  </si>
  <si>
    <t>2026/27</t>
  </si>
  <si>
    <t>Labour cost escalation</t>
  </si>
  <si>
    <t>2027/28 +</t>
  </si>
  <si>
    <t>2020/2021</t>
  </si>
  <si>
    <t>2021/2022</t>
  </si>
  <si>
    <t>2022/23</t>
  </si>
  <si>
    <t>Long-run projection</t>
  </si>
  <si>
    <t xml:space="preserve">Land cost escalation </t>
  </si>
  <si>
    <t>Construction cost escalation</t>
  </si>
  <si>
    <t>source: Chief Economist Unit May 2024</t>
  </si>
  <si>
    <t>1. Future Urban</t>
  </si>
  <si>
    <t>2. Urban Zoning</t>
  </si>
  <si>
    <t>3. Infrastructure Installed</t>
  </si>
  <si>
    <t>4a. Superlots</t>
  </si>
  <si>
    <t>4b. Compact Lots</t>
  </si>
  <si>
    <t>NORTH (MID POINT)</t>
  </si>
  <si>
    <t>Wellsford</t>
  </si>
  <si>
    <t>NA</t>
  </si>
  <si>
    <t>Warkworth</t>
  </si>
  <si>
    <t>Dairy Flat</t>
  </si>
  <si>
    <t>Orewa-Hibiscus</t>
  </si>
  <si>
    <t>North Shore</t>
  </si>
  <si>
    <t>NORTH WEST (MID POINT)</t>
  </si>
  <si>
    <t>Redhills</t>
  </si>
  <si>
    <t>Whenuapai</t>
  </si>
  <si>
    <t>Riverhead-Huapai-Kumeu</t>
  </si>
  <si>
    <t>North of Huapai</t>
  </si>
  <si>
    <t>EAST (MID POINT)</t>
  </si>
  <si>
    <t>Flatbush</t>
  </si>
  <si>
    <t>Tamaki</t>
  </si>
  <si>
    <t>Maraetai/Clevedon</t>
  </si>
  <si>
    <t>SOUTH (MID POINT)</t>
  </si>
  <si>
    <t>Takanini</t>
  </si>
  <si>
    <t>Opaheke / Drury</t>
  </si>
  <si>
    <t>Puhinui</t>
  </si>
  <si>
    <t>Hingaia</t>
  </si>
  <si>
    <t>Paerata / Pukekohe</t>
  </si>
  <si>
    <t>Glenbrook, Clarks Beach</t>
  </si>
  <si>
    <t>FUZ</t>
  </si>
  <si>
    <t>UZ</t>
  </si>
  <si>
    <t>II</t>
  </si>
  <si>
    <t>SUL</t>
  </si>
  <si>
    <t>CL</t>
  </si>
  <si>
    <t>Stage</t>
  </si>
  <si>
    <t>Inner North-West</t>
  </si>
  <si>
    <t>Sub-area</t>
  </si>
  <si>
    <t>Development ready year</t>
  </si>
  <si>
    <t>1st year UZ, for 4 years</t>
  </si>
  <si>
    <t xml:space="preserve">1st year II, for 4 years </t>
  </si>
  <si>
    <t>1st year SUL</t>
  </si>
  <si>
    <t>Comments on development ready dates for areas not specified in FDS</t>
  </si>
  <si>
    <t>Price Input Area</t>
  </si>
  <si>
    <t>Redhills Precinct area</t>
  </si>
  <si>
    <t>Redhills is developing in stages with dwellings alredy occupied in certain areas and others without development. By 2024 most of the area is considered to have bulk infrastructure available to support development, aligning with how the FDS dates were determined.</t>
  </si>
  <si>
    <t>Whenuapai North (Stage 2)</t>
  </si>
  <si>
    <t>Whenuapai Business</t>
  </si>
  <si>
    <t>Spedding Rd PC Area</t>
  </si>
  <si>
    <t>The Spedding Rd PC area is constrained for development until the bulk network HIF wastewater upgrades are complete, estimated end of 2028.</t>
  </si>
  <si>
    <t>Westgate</t>
  </si>
  <si>
    <t>SUL ongoing</t>
  </si>
  <si>
    <t>Westgate does not contain bulk infrastructure constraints and development has been progressing across the area for many years. Consider in SUL stage ongoing.</t>
  </si>
  <si>
    <t>Northwest</t>
  </si>
  <si>
    <t>Kumeu-Huapai</t>
  </si>
  <si>
    <t>Riverhead</t>
  </si>
  <si>
    <t>Warkworth North (remainder)</t>
  </si>
  <si>
    <t>Warkworth West (remainder)</t>
  </si>
  <si>
    <t>Warkworth North-East</t>
  </si>
  <si>
    <t>Warkworth South-Central</t>
  </si>
  <si>
    <t>North</t>
  </si>
  <si>
    <t>Silverdale West (Stage 1)</t>
  </si>
  <si>
    <t>Silverdale West (Stage 2)</t>
  </si>
  <si>
    <t>Silverdale West (Stage 3)</t>
  </si>
  <si>
    <t>Weiti</t>
  </si>
  <si>
    <t>Wainui East</t>
  </si>
  <si>
    <t>Upper Orewa</t>
  </si>
  <si>
    <t>Takaanini &amp; Cosgrave Road</t>
  </si>
  <si>
    <t>Drury-Opaheke 2024</t>
  </si>
  <si>
    <t>Opaheke</t>
  </si>
  <si>
    <t>Drury East</t>
  </si>
  <si>
    <t>Drury West (Stage 1) (remainder)</t>
  </si>
  <si>
    <t>Drury West (Stage 2)</t>
  </si>
  <si>
    <t>Drury West (Stage 3) (remainder)</t>
  </si>
  <si>
    <t>Drury East PC area</t>
  </si>
  <si>
    <t>Transport projects required to meet AUP Precinct triggers a, b, c all assumed to be complete by developers/Crown late 2025. Area considered at II stage from 2026.</t>
  </si>
  <si>
    <t>Auranga Existing Development</t>
  </si>
  <si>
    <t>Significant residential growth occuring for many years. SUL stage ongoing.</t>
  </si>
  <si>
    <t>Drury West PC area</t>
  </si>
  <si>
    <t>Bulk wastewater projects to unlock areas estimated completion mid 2030 (PC51) and by 2027 (PC61). Conservative middle date of 2029 selected.</t>
  </si>
  <si>
    <t>Drury South</t>
  </si>
  <si>
    <t>Pukekohe &amp; Paerata</t>
  </si>
  <si>
    <t>Paerata South</t>
  </si>
  <si>
    <t>Other</t>
  </si>
  <si>
    <t>Algies Bay</t>
  </si>
  <si>
    <t>Oruarangi</t>
  </si>
  <si>
    <t>Whenuapai North (Stage 1a)</t>
  </si>
  <si>
    <t>Whenuapai North (Stage 1b)</t>
  </si>
  <si>
    <t>Vlookup count</t>
  </si>
  <si>
    <t>apply midpoint</t>
  </si>
  <si>
    <t>apply Puke/Paerata</t>
  </si>
  <si>
    <t>no needed for parks</t>
  </si>
  <si>
    <t>FUZ and UZ not needed</t>
  </si>
  <si>
    <t>apply Puke/Paerata interpolation</t>
  </si>
  <si>
    <t>off II</t>
  </si>
  <si>
    <t>off SULc</t>
  </si>
  <si>
    <t>off Drury</t>
  </si>
  <si>
    <t>off Pukekohe</t>
  </si>
  <si>
    <t>avg SULs,c</t>
  </si>
  <si>
    <t>land stage phasing, where FUZ=1, UZ=2, II=3, SULs=4</t>
  </si>
  <si>
    <t>Scenario 2 differences</t>
  </si>
  <si>
    <t>Whenuapai north (Stage 1b)</t>
  </si>
  <si>
    <t>1a and 1b are the same in this scenario, but 1b diff in Sc2</t>
  </si>
  <si>
    <t>earlier in sc2</t>
  </si>
  <si>
    <t>earlier than Sc1</t>
  </si>
  <si>
    <t>Whenuapai East/South</t>
  </si>
  <si>
    <t>same timing for East and South</t>
  </si>
  <si>
    <t>apply Orewa, won’t use SULc</t>
  </si>
  <si>
    <t xml:space="preserve">Helensville </t>
  </si>
  <si>
    <t>Pukekohe East, South-west</t>
  </si>
  <si>
    <t>Warkworth South-East, South-west</t>
  </si>
  <si>
    <t>Clarks Beach</t>
  </si>
  <si>
    <t>Glenbrook Beach</t>
  </si>
  <si>
    <t>Albany Villlage</t>
  </si>
  <si>
    <t>Drury-Opaheke</t>
  </si>
  <si>
    <t>Land price uninflated</t>
  </si>
  <si>
    <t>matches Drury, extrapolate</t>
  </si>
  <si>
    <t>extrapolate whenuapai</t>
  </si>
  <si>
    <t>Land price Inflated</t>
  </si>
  <si>
    <t>Annual land price inflation</t>
  </si>
  <si>
    <t>Indexed from 2024</t>
  </si>
  <si>
    <t>turn off=0, on=1</t>
  </si>
  <si>
    <t>Open space acquisition modelling</t>
  </si>
  <si>
    <t>Transaction and other costs</t>
  </si>
  <si>
    <t>in 2022</t>
  </si>
  <si>
    <t>FY25</t>
  </si>
  <si>
    <t>FY26</t>
  </si>
  <si>
    <t>FY27</t>
  </si>
  <si>
    <t>FY28</t>
  </si>
  <si>
    <t>FY29</t>
  </si>
  <si>
    <t>FY30</t>
  </si>
  <si>
    <t>FY31</t>
  </si>
  <si>
    <t>FY32</t>
  </si>
  <si>
    <t>FY33</t>
  </si>
  <si>
    <t>FY34</t>
  </si>
  <si>
    <t>FY35</t>
  </si>
  <si>
    <t>FY36</t>
  </si>
  <si>
    <t>FY37</t>
  </si>
  <si>
    <t>FY38</t>
  </si>
  <si>
    <t>FY39</t>
  </si>
  <si>
    <t>FY40</t>
  </si>
  <si>
    <t>FY41</t>
  </si>
  <si>
    <t>FY42</t>
  </si>
  <si>
    <t>FY43</t>
  </si>
  <si>
    <t>FY44</t>
  </si>
  <si>
    <t>FY45</t>
  </si>
  <si>
    <t>FY46</t>
  </si>
  <si>
    <t>FY47</t>
  </si>
  <si>
    <t>FY48</t>
  </si>
  <si>
    <t>FY49</t>
  </si>
  <si>
    <t>FY50</t>
  </si>
  <si>
    <t>FY51</t>
  </si>
  <si>
    <t>FY52</t>
  </si>
  <si>
    <t>FY53</t>
  </si>
  <si>
    <t>FY54</t>
  </si>
  <si>
    <t>FY55</t>
  </si>
  <si>
    <t>FY56</t>
  </si>
  <si>
    <t>FY57</t>
  </si>
  <si>
    <t>FY58</t>
  </si>
  <si>
    <t>FY59</t>
  </si>
  <si>
    <t>FY60</t>
  </si>
  <si>
    <t>FY61</t>
  </si>
  <si>
    <t>FY62</t>
  </si>
  <si>
    <t>at Jun23</t>
  </si>
  <si>
    <t>FY23</t>
  </si>
  <si>
    <t>FY24</t>
  </si>
  <si>
    <t>Land transaction costs</t>
  </si>
  <si>
    <t>reported private sector, StatsNZ</t>
  </si>
  <si>
    <t>index LCI</t>
  </si>
  <si>
    <t>Rural North</t>
  </si>
  <si>
    <t>Rural NW</t>
  </si>
  <si>
    <t>Hibiscus</t>
  </si>
  <si>
    <t>Wainui east MD</t>
  </si>
  <si>
    <t>Dairy Flat (incl W.East new)</t>
  </si>
  <si>
    <t>ScottPt-BombPt</t>
  </si>
  <si>
    <t>Notes</t>
  </si>
  <si>
    <t>West</t>
  </si>
  <si>
    <t>Central</t>
  </si>
  <si>
    <t>Roskill</t>
  </si>
  <si>
    <t>South (West)</t>
  </si>
  <si>
    <t>Mangere</t>
  </si>
  <si>
    <t>Takanini South</t>
  </si>
  <si>
    <t>Takanini North</t>
  </si>
  <si>
    <t>Drury</t>
  </si>
  <si>
    <t>Pukekohe</t>
  </si>
  <si>
    <t>Pukekohe-Paerata Surrounds</t>
  </si>
  <si>
    <t>Rural SE</t>
  </si>
  <si>
    <t>Rural SW</t>
  </si>
  <si>
    <t>specifications from "Projected POS needs in future development areas 2024", updated in early 2024</t>
  </si>
  <si>
    <t>Sources of parks are acquisitions approved, structure plans, plan changes, precinct plans, and a few additional parks indicated by provision policy where the affore-mentioned have been changed.</t>
  </si>
  <si>
    <t>Funding area</t>
  </si>
  <si>
    <t>FDS area</t>
  </si>
  <si>
    <t>NHP</t>
  </si>
  <si>
    <t>SBP</t>
  </si>
  <si>
    <t>SPP</t>
  </si>
  <si>
    <t>Civic</t>
  </si>
  <si>
    <t>Park type</t>
  </si>
  <si>
    <t>size (sqm)</t>
  </si>
  <si>
    <t>Suburb Park</t>
  </si>
  <si>
    <t>Neighbourhood Park</t>
  </si>
  <si>
    <t>Organised Sport</t>
  </si>
  <si>
    <t>Local centre</t>
  </si>
  <si>
    <t>Town centre</t>
  </si>
  <si>
    <t>Build 2023$</t>
  </si>
  <si>
    <t>landscaping</t>
  </si>
  <si>
    <t>range, incl 15% contingency</t>
  </si>
  <si>
    <t>Community spaces $psm 2023$</t>
  </si>
  <si>
    <t>incl 15% contingency</t>
  </si>
  <si>
    <t>site coverage</t>
  </si>
  <si>
    <t>pool/rec</t>
  </si>
  <si>
    <t>library/ComC</t>
  </si>
  <si>
    <t>Library comm/C split</t>
  </si>
  <si>
    <t>UZ from</t>
  </si>
  <si>
    <t>II from</t>
  </si>
  <si>
    <t>SUL from</t>
  </si>
  <si>
    <t>notes</t>
  </si>
  <si>
    <t>Warkworth N LZ</t>
  </si>
  <si>
    <t>Warkworth West LZ</t>
  </si>
  <si>
    <t>To be acquired and/or developed from 2024</t>
  </si>
  <si>
    <t>Price area</t>
  </si>
  <si>
    <t>to be acq, assume SULs</t>
  </si>
  <si>
    <t xml:space="preserve">Compared to Land escalation modelcols AW --&gt; </t>
  </si>
  <si>
    <t>interpolation</t>
  </si>
  <si>
    <t>Orewa Millwater LZ</t>
  </si>
  <si>
    <t>SUL, unk, Arran Pt</t>
  </si>
  <si>
    <t>Rockpool, 7015m2, $2.327m</t>
  </si>
  <si>
    <t>256WestH, 3000m2 $1.4m</t>
  </si>
  <si>
    <t>acquired</t>
  </si>
  <si>
    <t>spec'd</t>
  </si>
  <si>
    <t>Milldale LZ</t>
  </si>
  <si>
    <t>spec'd price</t>
  </si>
  <si>
    <t>Kumeu-Huapai and Riverhead</t>
  </si>
  <si>
    <t>3NHP In Huapai settled, 1 NHP in removal area, 20 others in Red flagged</t>
  </si>
  <si>
    <t>Scott Pt LZ</t>
  </si>
  <si>
    <t>BombPt SBP, SULs</t>
  </si>
  <si>
    <t>Tahingamanu</t>
  </si>
  <si>
    <t>Reg Sportsfield</t>
  </si>
  <si>
    <t>2555m2 already acq in trig Rd</t>
  </si>
  <si>
    <t>490E Don Buck, 51977m2</t>
  </si>
  <si>
    <t>phased by sat inspection</t>
  </si>
  <si>
    <t>remainder</t>
  </si>
  <si>
    <t>Redhills North/Whenuapai west</t>
  </si>
  <si>
    <t>Park W and sub pk is in 1b on POS map</t>
  </si>
  <si>
    <t>Whenuapai town centre</t>
  </si>
  <si>
    <t>assume SULs</t>
  </si>
  <si>
    <t>Urban BF</t>
  </si>
  <si>
    <t>FA mix</t>
  </si>
  <si>
    <t>55 cosgrove Rd</t>
  </si>
  <si>
    <t>312 bremner</t>
  </si>
  <si>
    <t>FY26, 3050,000</t>
  </si>
  <si>
    <t>31 &amp; 37 Burberry</t>
  </si>
  <si>
    <t>FY25 3995000</t>
  </si>
  <si>
    <t>development progress by sat inspection</t>
  </si>
  <si>
    <t>Auranga (Late)</t>
  </si>
  <si>
    <t>Sc1</t>
  </si>
  <si>
    <t>Hingaia LZ</t>
  </si>
  <si>
    <t>295 hingaia Rd</t>
  </si>
  <si>
    <t>spec'd but no price indicated, FY25</t>
  </si>
  <si>
    <t>279 Park Estate Rd</t>
  </si>
  <si>
    <t>spec'd $4025,000, FY25</t>
  </si>
  <si>
    <t>35 Hayfield, 81 Normanby, 264 hingaia, 99 Hingaia,  2NHPs in 144 Park-Est rd</t>
  </si>
  <si>
    <t>Paerata LZ</t>
  </si>
  <si>
    <t>now SULs</t>
  </si>
  <si>
    <t>and 1 in Puke-West</t>
  </si>
  <si>
    <t>Paerata West, Pukekohe North-east, North-west, South-east</t>
  </si>
  <si>
    <t>50/50 FY25/26</t>
  </si>
  <si>
    <t>negotiatingbut no price; maybe FY25 or FY26</t>
  </si>
  <si>
    <t>Kingseat</t>
  </si>
  <si>
    <t>2 other NHPs, unknown</t>
  </si>
  <si>
    <t>McLarin dr, 5000m2 sought</t>
  </si>
  <si>
    <t>Clevedon</t>
  </si>
  <si>
    <t>1 SBP was removed in area</t>
  </si>
  <si>
    <t>Total</t>
  </si>
  <si>
    <t>Acquisition</t>
  </si>
  <si>
    <t>Development</t>
  </si>
  <si>
    <t>dev assump</t>
  </si>
  <si>
    <t>3NHP In Huapai acq and full developed, 1 NHP in removal area, 20 others in Red flagged</t>
  </si>
  <si>
    <t>land prog by sat inspection</t>
  </si>
  <si>
    <t>Karaka North LZ</t>
  </si>
  <si>
    <t>9 mcRobie, land prog by sat inspection</t>
  </si>
  <si>
    <t>2 other NHPs, unknown, land progress by sat inspection</t>
  </si>
  <si>
    <t>by sat inspection</t>
  </si>
  <si>
    <t>N.009960.16.05 - Waterloo res Milldale-dvp new subrb prk</t>
  </si>
  <si>
    <t>10y</t>
  </si>
  <si>
    <t>South (East)</t>
  </si>
  <si>
    <t>phased by sat inspectn</t>
  </si>
  <si>
    <t xml:space="preserve">Wesley West Farrelly Ave neighbourhood new park development </t>
  </si>
  <si>
    <t>Dec 29: acquire and develop, and develop covers cultural park at potter ave</t>
  </si>
  <si>
    <t>Molesworth Place new park development</t>
  </si>
  <si>
    <t>average $psm for development not incl contingency or inflation are:</t>
  </si>
  <si>
    <t>park size/type</t>
  </si>
  <si>
    <t>3000 spec NHP</t>
  </si>
  <si>
    <t>4000 NHP</t>
  </si>
  <si>
    <t>50000 sub</t>
  </si>
  <si>
    <t>50000 sport</t>
  </si>
  <si>
    <t>source: 2023 park dev caclulator</t>
  </si>
  <si>
    <t>assume 1000m2 pocket park applies the same NHP rate</t>
  </si>
  <si>
    <t>FY24 in 2024$</t>
  </si>
  <si>
    <t>unless specified</t>
  </si>
  <si>
    <t>Base acquisition phasing</t>
  </si>
  <si>
    <t>Lookup</t>
  </si>
  <si>
    <t>% spent FUZ</t>
  </si>
  <si>
    <t>% in UZ</t>
  </si>
  <si>
    <t>% in II</t>
  </si>
  <si>
    <t>% in SUL</t>
  </si>
  <si>
    <t>Suburb</t>
  </si>
  <si>
    <t>Sport</t>
  </si>
  <si>
    <t>Local</t>
  </si>
  <si>
    <t>Town</t>
  </si>
  <si>
    <t>Development phasing</t>
  </si>
  <si>
    <t>start</t>
  </si>
  <si>
    <t>Y1</t>
  </si>
  <si>
    <t>Y2</t>
  </si>
  <si>
    <t>Y3</t>
  </si>
  <si>
    <t>Y4</t>
  </si>
  <si>
    <t>2 years lag after acquisition if known, or year 5 of SUL</t>
  </si>
  <si>
    <t>if start II</t>
  </si>
  <si>
    <t>if start UZ</t>
  </si>
  <si>
    <t>%II</t>
  </si>
  <si>
    <t>%UZ</t>
  </si>
  <si>
    <t>% FUZ</t>
  </si>
  <si>
    <t>%SUL</t>
  </si>
  <si>
    <t>%/yr</t>
  </si>
  <si>
    <t>chk</t>
  </si>
  <si>
    <t>% by phase</t>
  </si>
  <si>
    <t>Kumeu-Huapai-RH RedFlag</t>
  </si>
  <si>
    <t>Kumeu-Huapai-RH</t>
  </si>
  <si>
    <t>Remainder 1 less 490E Don Buck, 51977m2</t>
  </si>
  <si>
    <t>$m in yr</t>
  </si>
  <si>
    <t>$m</t>
  </si>
  <si>
    <t>Area</t>
  </si>
  <si>
    <t>m2</t>
  </si>
  <si>
    <t>Jun27, acquire and develp, $3.2m for 3000m2</t>
  </si>
  <si>
    <t>based on warkworth</t>
  </si>
  <si>
    <t>assume 5000m2 for 126/132-136 Fred Taylor, $500 psm from neg, split 50/50 between FY25 and FY26</t>
  </si>
  <si>
    <t>Num pk</t>
  </si>
  <si>
    <t>$Transctn p.a. - spread over 3 year built off SUL year 0-2</t>
  </si>
  <si>
    <t>By Funding Area: local park acqusition</t>
  </si>
  <si>
    <t>TOTAL</t>
  </si>
  <si>
    <t>priority</t>
  </si>
  <si>
    <t>low</t>
  </si>
  <si>
    <t>med</t>
  </si>
  <si>
    <t>high</t>
  </si>
  <si>
    <t>med-low</t>
  </si>
  <si>
    <t>highLZ</t>
  </si>
  <si>
    <t>Whenuapai Sc1</t>
  </si>
  <si>
    <t>pri</t>
  </si>
  <si>
    <t>Land transctions - this panel copies the above and adds transaction costs at a nominated year around date going SUL - all the work is in col BE onwards</t>
  </si>
  <si>
    <t>essential</t>
  </si>
  <si>
    <t>LTP</t>
  </si>
  <si>
    <t>NE, N, W, S</t>
  </si>
  <si>
    <t>Est % in LTP</t>
  </si>
  <si>
    <t>LTP$</t>
  </si>
  <si>
    <t>% chng for above</t>
  </si>
  <si>
    <t>Live panel</t>
  </si>
  <si>
    <t>Live</t>
  </si>
  <si>
    <t>1 yr was</t>
  </si>
  <si>
    <t>y1-10</t>
  </si>
  <si>
    <t>n</t>
  </si>
  <si>
    <t>this now</t>
  </si>
  <si>
    <t>compare 1st p</t>
  </si>
  <si>
    <t>diff</t>
  </si>
  <si>
    <t>%</t>
  </si>
  <si>
    <t>liv10y</t>
  </si>
  <si>
    <t>1p10y</t>
  </si>
  <si>
    <t>wanted</t>
  </si>
  <si>
    <t>excess</t>
  </si>
  <si>
    <t>Wainui</t>
  </si>
  <si>
    <t>1 hingaia</t>
  </si>
  <si>
    <t>2hingaia</t>
  </si>
  <si>
    <t>medlow</t>
  </si>
  <si>
    <t>Puke</t>
  </si>
  <si>
    <t>Working space from col R to balance within LTP: iterative proportionate profiles</t>
  </si>
  <si>
    <t>row</t>
  </si>
  <si>
    <t>1p%</t>
  </si>
  <si>
    <t>1p$</t>
  </si>
  <si>
    <t>liv$</t>
  </si>
  <si>
    <t>2Dc</t>
  </si>
  <si>
    <t>3Dc</t>
  </si>
  <si>
    <t>2025-34</t>
  </si>
  <si>
    <t>2035-44</t>
  </si>
  <si>
    <t>2045-54</t>
  </si>
  <si>
    <t>2055-56</t>
  </si>
  <si>
    <t>tot-2056</t>
  </si>
  <si>
    <t>10y or 30y</t>
  </si>
  <si>
    <t xml:space="preserve">Modelled by 1st principles land acquisition phasing by development area timing and acquisition profile by stage. </t>
  </si>
  <si>
    <t>Rephased iteratively to allow for any costs reallocated to outyears</t>
  </si>
  <si>
    <t>Live model</t>
  </si>
  <si>
    <t>assume budget 2024$</t>
  </si>
  <si>
    <t>Rating this up at land price inflation equates to $150m in 2035 and $220m in 2040. Hence cost projections in those years align with a return to that level of throughput.</t>
  </si>
  <si>
    <t>real terms, $m p.a.</t>
  </si>
  <si>
    <t>Invest for growth</t>
  </si>
  <si>
    <t>Future share</t>
  </si>
  <si>
    <t>Finance to calc</t>
  </si>
  <si>
    <t>y11-20</t>
  </si>
  <si>
    <t>y21-30</t>
  </si>
  <si>
    <t>y31 on</t>
  </si>
  <si>
    <t>some expected expenditure up to 2056</t>
  </si>
  <si>
    <t>y1-30</t>
  </si>
  <si>
    <t>2025-56</t>
  </si>
  <si>
    <t>all year total</t>
  </si>
  <si>
    <t>Finace to apply per area for 10y or 30y DC Policy horizon</t>
  </si>
  <si>
    <t>Acquisitions in Brownfield areas are LOS deficit for acquisition, by definition. However development on those parks is scalable for growth.</t>
  </si>
  <si>
    <t>For Dev</t>
  </si>
  <si>
    <t>last acq yr</t>
  </si>
  <si>
    <t>DC share</t>
  </si>
  <si>
    <t>=(Cause + Fut. Benefit)/2</t>
  </si>
  <si>
    <t xml:space="preserve"> case for investment against policy and delivery</t>
  </si>
  <si>
    <t>i.e. cause, being =1-LOS</t>
  </si>
  <si>
    <t>LOS portion</t>
  </si>
  <si>
    <t>Total land acquisition  $m - this panel adds together the acq cost and land transaction timing by straight array addition - all the workings are in col BE onwards</t>
  </si>
  <si>
    <t xml:space="preserve">Sports fields Regional. </t>
  </si>
  <si>
    <t>All NHP, Sub, Civic parks, greenways . Local Funding Areas. Reserve acquisition</t>
  </si>
  <si>
    <t>investment in this period, beneficiaries to 30+y horizon</t>
  </si>
  <si>
    <t>All sportsfields to be acquired are in Greenfield areas, hence 100%, and by definition for the 10y population model, all investment in sportsfields of this nature is caused by growth.</t>
  </si>
  <si>
    <t>Outyears rephased to manageable levels. Peak expense in 2039 of $245m but by 2041 is $162m. Equivalent of  $50m of acquisition activity in 2018 to 2019</t>
  </si>
  <si>
    <t>Popn MSMs FA</t>
  </si>
  <si>
    <t>popn 2024</t>
  </si>
  <si>
    <t>popn 2054</t>
  </si>
  <si>
    <t>exist/future%</t>
  </si>
  <si>
    <t>Wainui East / Milldale</t>
  </si>
  <si>
    <t>Upper Orewa / Dairy Flat</t>
  </si>
  <si>
    <t>Rural West</t>
  </si>
  <si>
    <t>Kumeu / Huapai / Riverhead</t>
  </si>
  <si>
    <t>Scott Point / Bomb Point</t>
  </si>
  <si>
    <t>Redhills / Westgate</t>
  </si>
  <si>
    <t>Mount Roskill AHP</t>
  </si>
  <si>
    <t>Mangere AHP</t>
  </si>
  <si>
    <t>South West</t>
  </si>
  <si>
    <t>Rural South East</t>
  </si>
  <si>
    <t>Rural South West</t>
  </si>
  <si>
    <t>Akld wide capacity for investment is 10y only</t>
  </si>
  <si>
    <t>Acq model FA</t>
  </si>
  <si>
    <t>Rural North Upper</t>
  </si>
  <si>
    <t>non infl</t>
  </si>
  <si>
    <t>stages</t>
  </si>
  <si>
    <t>infl</t>
  </si>
  <si>
    <t>check supplied model</t>
  </si>
  <si>
    <t>Gulf Harbour</t>
  </si>
  <si>
    <t>suburb park counted in Trig Rd at 90% above</t>
  </si>
  <si>
    <t>Opaheke (timing indicated as II in 2033)</t>
  </si>
  <si>
    <t xml:space="preserve">Gulf Harbour </t>
  </si>
  <si>
    <t>outside LTP to delivere 71% constraint for Hibiscus</t>
  </si>
  <si>
    <t>LTP/target</t>
  </si>
  <si>
    <t>Flat Bush</t>
  </si>
  <si>
    <t>4NHPs nominally near 2 Skanda Cres, 304 Flat Bush School Rd, 117 Murphys Rd, 91 long George Dr</t>
  </si>
  <si>
    <t>% of full build out or popn horizon compared to existing</t>
  </si>
  <si>
    <t>scott pt</t>
  </si>
  <si>
    <t>a</t>
  </si>
  <si>
    <t>b</t>
  </si>
  <si>
    <t> Dec Update</t>
  </si>
  <si>
    <t>2027/28*</t>
  </si>
  <si>
    <t>For Jul24 version land escal</t>
  </si>
  <si>
    <t>Dec24 updated land escalation</t>
  </si>
  <si>
    <t>Year to Jun:</t>
  </si>
  <si>
    <t>% diff</t>
  </si>
  <si>
    <t>FOR Jul-24 =J</t>
  </si>
  <si>
    <t>FOR Dec24=D</t>
  </si>
  <si>
    <t>D</t>
  </si>
  <si>
    <t>totals by this yr</t>
  </si>
  <si>
    <t>Jul24 version</t>
  </si>
  <si>
    <t>10 jan 2025: now with updated land escalation inflation rates, expect more open space may be acquired by 2034, so less projected for 2035-2041. However the shift means very small decrease in long-term index</t>
  </si>
  <si>
    <t>% add</t>
  </si>
  <si>
    <t>Y1-10</t>
  </si>
  <si>
    <t>Y11+</t>
  </si>
  <si>
    <t>CCS budgeted development; to be acq, assume SULs</t>
  </si>
  <si>
    <t>some funding areas have different names in the final schedule 8. This table mapped them.</t>
  </si>
  <si>
    <t>Kumeu-Huapai have some areas noted in the FDS as red-flagged to be reconsidered. Instead of modelling them separately, as these have not been urban zoned, and the area for DC was timebound for 10y, it made no difference to model one area for Kumeu-huapai-Rverhead as opposed to inside the RedFlag area and ouutside</t>
  </si>
  <si>
    <t>hence the denotion redflag is not applied in the funding area, so all K-H-R references are to the one area</t>
  </si>
  <si>
    <t>The open spaces to be acquired will also be developed, hence reference to development in this model. However the development costs are calculated in a separate open space development model.</t>
  </si>
  <si>
    <t>Information for pending acquisitions has been redacted in such a way to maintain the integrity of the overall sub-area cost projections over time in the summary tab. Information for pending acqusitions can be price, size, timing, and/or location.</t>
  </si>
  <si>
    <t>Aside from the pending acquisitions, other row calculations are available and can be traced through to the summary tab which is the same as that provided for the overall DC model.</t>
  </si>
  <si>
    <t>This model is the input to the overall DC model for Open Space Acquisition costs</t>
  </si>
  <si>
    <t>As the redactions remove items from the detailed model array, the interim check sums used to build the model for overall land area, park numbers, and overall cost in the model arrays may now not match the summaries reported elsewhere.</t>
  </si>
  <si>
    <t>However the overall model still pulls the figures through correctly.</t>
  </si>
  <si>
    <r>
      <t xml:space="preserve">This file was </t>
    </r>
    <r>
      <rPr>
        <b/>
        <sz val="11"/>
        <color theme="1"/>
        <rFont val="Aptos Narrow"/>
        <family val="2"/>
        <scheme val="minor"/>
      </rPr>
      <t>OS Acq Cost Projectn 10Jan25</t>
    </r>
  </si>
  <si>
    <t>The model is provided to support understanding of how the costs have been considered for the 2025 DC Policy, prepared on 17 June 2025 May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</si>
</sst>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8" formatCode="&quot;$&quot;#,##0.00;[Red]\-&quot;$&quot;#,##0.00"/>
    <numFmt numFmtId="43" formatCode="_-* #,##0.00_-;\-* #,##0.00_-;_-* &quot;-&quot;??_-;_-@_-"/>
    <numFmt numFmtId="164" formatCode="0.0%"/>
    <numFmt numFmtId="165" formatCode="0.000"/>
    <numFmt numFmtId="166" formatCode="_-* #,##0_-;\-* #,##0_-;_-* &quot;-&quot;??_-;_-@_-"/>
    <numFmt numFmtId="167" formatCode="_-* #,##0_-;\-* #,##0_-;_-* &quot;-&quot;?_-;_-@_-"/>
    <numFmt numFmtId="168" formatCode="0.0"/>
    <numFmt numFmtId="169" formatCode="_-* #,##0_-;[Red]* \(#,##0\)_-;_-* &quot;-&quot;_-;_-@_-"/>
    <numFmt numFmtId="170" formatCode="#,##0\ ;\(#,##0\)"/>
    <numFmt numFmtId="171" formatCode="_-* #,##0.000_-;\-* #,##0.000_-;_-* &quot;-&quot;??_-;_-@_-"/>
    <numFmt numFmtId="172" formatCode="_-* #,##0.000_-;\-* #,##0.000_-;_-* &quot;-&quot;???_-;_-@_-"/>
    <numFmt numFmtId="173" formatCode="_-* #,##0.0_-;\-* #,##0.0_-;_-* &quot;-&quot;??_-;_-@_-"/>
    <numFmt numFmtId="174" formatCode="_-* #,##0.0000_-;\-* #,##0.0000_-;_-* &quot;-&quot;??_-;_-@_-"/>
  </numFmts>
  <fonts count="53"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rial Narrow"/>
      <family val="2"/>
    </font>
    <font>
      <sz val="10"/>
      <color theme="1"/>
      <name val="Arial Narrow"/>
      <family val="2"/>
    </font>
    <font>
      <sz val="8"/>
      <color theme="1"/>
      <name val="Aptos Narrow"/>
      <family val="2"/>
      <scheme val="minor"/>
    </font>
    <font>
      <b/>
      <sz val="8"/>
      <color theme="1"/>
      <name val="Arial Narrow"/>
      <family val="2"/>
    </font>
    <font>
      <sz val="8"/>
      <color theme="1"/>
      <name val="Arial Narrow"/>
      <family val="2"/>
    </font>
    <font>
      <sz val="10"/>
      <color theme="1"/>
      <name val="Aptos Narrow"/>
      <family val="2"/>
      <scheme val="minor"/>
    </font>
    <font>
      <b/>
      <sz val="10"/>
      <color theme="1"/>
      <name val="Aptos Narrow"/>
      <family val="2"/>
      <scheme val="minor"/>
    </font>
    <font>
      <sz val="9"/>
      <color theme="1"/>
      <name val="Aptos Narrow"/>
      <family val="2"/>
      <scheme val="minor"/>
    </font>
    <font>
      <b/>
      <sz val="10"/>
      <color theme="1"/>
      <name val="Arial Narrow"/>
      <family val="2"/>
    </font>
    <font>
      <sz val="10"/>
      <color theme="0"/>
      <name val="Arial Narrow"/>
      <family val="2"/>
    </font>
    <font>
      <sz val="9"/>
      <color theme="1"/>
      <name val="Arial Narrow"/>
      <family val="2"/>
    </font>
    <font>
      <sz val="8"/>
      <name val="Aptos Narrow"/>
      <family val="2"/>
      <scheme val="minor"/>
    </font>
    <font>
      <sz val="10"/>
      <color rgb="FF000000"/>
      <name val="Calibri Light"/>
      <family val="2"/>
    </font>
    <font>
      <sz val="6"/>
      <color theme="1"/>
      <name val="Arial Narrow"/>
      <family val="2"/>
    </font>
    <font>
      <sz val="10"/>
      <color theme="0" tint="-0.249977111117893"/>
      <name val="Arial Narrow"/>
      <family val="2"/>
    </font>
    <font>
      <sz val="8"/>
      <color theme="8" tint="0.59999389629810485"/>
      <name val="Arial Narrow"/>
      <family val="2"/>
    </font>
    <font>
      <sz val="7"/>
      <color theme="1"/>
      <name val="Arial Narrow"/>
      <family val="2"/>
    </font>
    <font>
      <sz val="11"/>
      <color theme="1"/>
      <name val="Aptos Display"/>
      <family val="2"/>
      <scheme val="major"/>
    </font>
    <font>
      <b/>
      <sz val="9"/>
      <color theme="1"/>
      <name val="Aptos Display"/>
      <family val="2"/>
      <scheme val="major"/>
    </font>
    <font>
      <b/>
      <sz val="10"/>
      <color theme="1"/>
      <name val="Aptos Display"/>
      <family val="2"/>
      <scheme val="major"/>
    </font>
    <font>
      <sz val="10"/>
      <color theme="1"/>
      <name val="Aptos Display"/>
      <family val="2"/>
      <scheme val="major"/>
    </font>
    <font>
      <sz val="10"/>
      <color theme="5" tint="-0.249977111117893"/>
      <name val="Arial Narrow"/>
      <family val="2"/>
    </font>
    <font>
      <sz val="10"/>
      <color theme="9" tint="-0.249977111117893"/>
      <name val="Arial Narrow"/>
      <family val="2"/>
    </font>
    <font>
      <b/>
      <sz val="10"/>
      <color theme="9" tint="-0.249977111117893"/>
      <name val="Arial Narrow"/>
      <family val="2"/>
    </font>
    <font>
      <sz val="9"/>
      <color theme="9" tint="-0.249977111117893"/>
      <name val="Arial Narrow"/>
      <family val="2"/>
    </font>
    <font>
      <b/>
      <sz val="9"/>
      <color theme="9" tint="-0.249977111117893"/>
      <name val="Arial Narrow"/>
      <family val="2"/>
    </font>
    <font>
      <sz val="7"/>
      <color theme="0"/>
      <name val="Arial Narrow"/>
      <family val="2"/>
    </font>
    <font>
      <sz val="8"/>
      <color theme="9" tint="-0.249977111117893"/>
      <name val="Arial Narrow"/>
      <family val="2"/>
    </font>
    <font>
      <sz val="10"/>
      <color rgb="FF0070C0"/>
      <name val="Arial Narrow"/>
      <family val="2"/>
    </font>
    <font>
      <sz val="10"/>
      <color theme="0" tint="-0.14999847407452621"/>
      <name val="Arial Narrow"/>
      <family val="2"/>
    </font>
    <font>
      <b/>
      <sz val="9"/>
      <color theme="1"/>
      <name val="Arial Narrow"/>
      <family val="2"/>
    </font>
    <font>
      <sz val="7"/>
      <color theme="1"/>
      <name val="Aptos Narrow"/>
      <family val="2"/>
      <scheme val="minor"/>
    </font>
    <font>
      <b/>
      <sz val="10"/>
      <color rgb="FF808000"/>
      <name val="Arial Narrow"/>
      <family val="2"/>
    </font>
    <font>
      <sz val="10"/>
      <color rgb="FF808000"/>
      <name val="Arial Narrow"/>
      <family val="2"/>
    </font>
    <font>
      <sz val="11"/>
      <color theme="0" tint="-0.499984740745262"/>
      <name val="Arial Narrow"/>
      <family val="2"/>
    </font>
    <font>
      <b/>
      <sz val="11"/>
      <color theme="1"/>
      <name val="Arial Narrow"/>
      <family val="2"/>
    </font>
    <font>
      <sz val="10"/>
      <name val="Arial Narrow"/>
      <family val="2"/>
    </font>
    <font>
      <sz val="11"/>
      <color theme="1"/>
      <name val="Calibri"/>
      <family val="2"/>
    </font>
    <font>
      <sz val="11"/>
      <color rgb="FF000000"/>
      <name val="Calibri"/>
      <family val="2"/>
    </font>
    <font>
      <sz val="11"/>
      <color rgb="FF000000"/>
      <name val="National 2"/>
      <family val="3"/>
    </font>
    <font>
      <b/>
      <sz val="11"/>
      <color rgb="FF000000"/>
      <name val="National 2"/>
      <family val="3"/>
    </font>
    <font>
      <sz val="11"/>
      <color rgb="FF000000"/>
      <name val="Arial"/>
      <family val="2"/>
    </font>
    <font>
      <b/>
      <sz val="10"/>
      <name val="Arial Narrow"/>
      <family val="2"/>
    </font>
    <font>
      <sz val="8"/>
      <name val="Arial Narrow"/>
      <family val="2"/>
    </font>
    <font>
      <sz val="9"/>
      <name val="Aptos Narrow"/>
      <family val="2"/>
      <scheme val="minor"/>
    </font>
    <font>
      <sz val="6"/>
      <name val="Arial Narrow"/>
      <family val="2"/>
    </font>
    <font>
      <sz val="7"/>
      <name val="Arial Narrow"/>
      <family val="2"/>
    </font>
    <font>
      <sz val="9"/>
      <name val="Arial Narrow"/>
      <family val="2"/>
    </font>
    <font>
      <b/>
      <sz val="9"/>
      <name val="Arial Narrow"/>
      <family val="2"/>
    </font>
    <font>
      <sz val="10"/>
      <color theme="1"/>
      <name val="Arial"/>
      <family val="2"/>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9" tint="-0.249977111117893"/>
        <bgColor indexed="64"/>
      </patternFill>
    </fill>
    <fill>
      <patternFill patternType="solid">
        <fgColor rgb="FFFFFFE7"/>
        <bgColor indexed="64"/>
      </patternFill>
    </fill>
    <fill>
      <patternFill patternType="solid">
        <fgColor rgb="FFC00000"/>
        <bgColor indexed="64"/>
      </patternFill>
    </fill>
    <fill>
      <patternFill patternType="solid">
        <fgColor theme="2"/>
        <bgColor indexed="64"/>
      </patternFill>
    </fill>
    <fill>
      <patternFill patternType="solid">
        <fgColor theme="1"/>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07">
    <xf numFmtId="0" fontId="0" fillId="0" borderId="0" xfId="0"/>
    <xf numFmtId="0" fontId="3" fillId="0" borderId="0" xfId="0" applyFont="1"/>
    <xf numFmtId="0" fontId="4" fillId="0" borderId="0" xfId="0" applyFont="1"/>
    <xf numFmtId="9" fontId="4" fillId="0" borderId="0" xfId="0" applyNumberFormat="1" applyFont="1"/>
    <xf numFmtId="0" fontId="2" fillId="0" borderId="0" xfId="0" applyFont="1"/>
    <xf numFmtId="0" fontId="11" fillId="0" borderId="0" xfId="0" applyFont="1"/>
    <xf numFmtId="166" fontId="4" fillId="0" borderId="0" xfId="1" applyNumberFormat="1" applyFont="1" applyFill="1"/>
    <xf numFmtId="0" fontId="4" fillId="0" borderId="0" xfId="0" applyFont="1" applyAlignment="1">
      <alignment horizontal="right"/>
    </xf>
    <xf numFmtId="0" fontId="11" fillId="0" borderId="0" xfId="0" applyFont="1" applyAlignment="1">
      <alignment horizontal="right"/>
    </xf>
    <xf numFmtId="0" fontId="17" fillId="0" borderId="0" xfId="0" applyFont="1"/>
    <xf numFmtId="168" fontId="4" fillId="0" borderId="0" xfId="0" applyNumberFormat="1" applyFont="1"/>
    <xf numFmtId="0" fontId="19" fillId="0" borderId="0" xfId="0" applyFont="1"/>
    <xf numFmtId="1" fontId="19" fillId="0" borderId="0" xfId="0" applyNumberFormat="1" applyFont="1"/>
    <xf numFmtId="1" fontId="4" fillId="0" borderId="0" xfId="0" applyNumberFormat="1" applyFont="1"/>
    <xf numFmtId="164" fontId="4" fillId="0" borderId="0" xfId="0" applyNumberFormat="1" applyFont="1"/>
    <xf numFmtId="2" fontId="4" fillId="0" borderId="0" xfId="0" applyNumberFormat="1" applyFont="1"/>
    <xf numFmtId="43" fontId="4" fillId="0" borderId="0" xfId="0" applyNumberFormat="1" applyFont="1"/>
    <xf numFmtId="2" fontId="24" fillId="0" borderId="0" xfId="0" applyNumberFormat="1" applyFont="1"/>
    <xf numFmtId="0" fontId="18" fillId="0" borderId="0" xfId="0" applyFont="1"/>
    <xf numFmtId="9" fontId="18" fillId="0" borderId="0" xfId="2" applyFont="1"/>
    <xf numFmtId="1" fontId="18" fillId="0" borderId="0" xfId="0" applyNumberFormat="1" applyFont="1"/>
    <xf numFmtId="0" fontId="18" fillId="0" borderId="0" xfId="0" applyFont="1" applyAlignment="1">
      <alignment horizontal="right"/>
    </xf>
    <xf numFmtId="0" fontId="25" fillId="0" borderId="0" xfId="0" applyFont="1"/>
    <xf numFmtId="0" fontId="26" fillId="0" borderId="0" xfId="0" applyFont="1"/>
    <xf numFmtId="168" fontId="11" fillId="0" borderId="0" xfId="0" applyNumberFormat="1" applyFont="1"/>
    <xf numFmtId="172" fontId="18" fillId="0" borderId="0" xfId="0" applyNumberFormat="1" applyFont="1"/>
    <xf numFmtId="43" fontId="18" fillId="0" borderId="0" xfId="0" applyNumberFormat="1" applyFont="1"/>
    <xf numFmtId="0" fontId="26" fillId="5" borderId="0" xfId="0" applyFont="1" applyFill="1"/>
    <xf numFmtId="0" fontId="4" fillId="5" borderId="0" xfId="0" applyFont="1" applyFill="1"/>
    <xf numFmtId="0" fontId="25" fillId="5" borderId="0" xfId="0" applyFont="1" applyFill="1"/>
    <xf numFmtId="166" fontId="27" fillId="5" borderId="0" xfId="1" applyNumberFormat="1" applyFont="1" applyFill="1"/>
    <xf numFmtId="168" fontId="27" fillId="5" borderId="0" xfId="0" applyNumberFormat="1" applyFont="1" applyFill="1"/>
    <xf numFmtId="2" fontId="27" fillId="5" borderId="0" xfId="0" applyNumberFormat="1" applyFont="1" applyFill="1"/>
    <xf numFmtId="168" fontId="28" fillId="5" borderId="0" xfId="0" applyNumberFormat="1" applyFont="1" applyFill="1"/>
    <xf numFmtId="0" fontId="26" fillId="5" borderId="0" xfId="0" applyFont="1" applyFill="1" applyAlignment="1">
      <alignment horizontal="right"/>
    </xf>
    <xf numFmtId="2" fontId="25" fillId="0" borderId="0" xfId="0" applyNumberFormat="1" applyFont="1"/>
    <xf numFmtId="165" fontId="12" fillId="0" borderId="0" xfId="0" applyNumberFormat="1" applyFont="1" applyAlignment="1">
      <alignment horizontal="center"/>
    </xf>
    <xf numFmtId="2" fontId="29" fillId="6" borderId="0" xfId="0" applyNumberFormat="1" applyFont="1" applyFill="1"/>
    <xf numFmtId="168" fontId="25" fillId="0" borderId="0" xfId="0" applyNumberFormat="1" applyFont="1"/>
    <xf numFmtId="43" fontId="4" fillId="0" borderId="0" xfId="1" applyFont="1"/>
    <xf numFmtId="0" fontId="30" fillId="0" borderId="0" xfId="0" applyFont="1"/>
    <xf numFmtId="0" fontId="18" fillId="0" borderId="0" xfId="0" quotePrefix="1" applyFont="1"/>
    <xf numFmtId="165" fontId="31" fillId="0" borderId="0" xfId="0" applyNumberFormat="1" applyFont="1"/>
    <xf numFmtId="0" fontId="32" fillId="0" borderId="0" xfId="0" applyFont="1"/>
    <xf numFmtId="173" fontId="4" fillId="0" borderId="0" xfId="1" applyNumberFormat="1" applyFont="1"/>
    <xf numFmtId="171" fontId="7" fillId="0" borderId="0" xfId="1" applyNumberFormat="1" applyFont="1"/>
    <xf numFmtId="0" fontId="11" fillId="0" borderId="0" xfId="0" applyFont="1" applyAlignment="1">
      <alignment horizontal="center" vertical="center"/>
    </xf>
    <xf numFmtId="0" fontId="33" fillId="0" borderId="0" xfId="0" applyFont="1"/>
    <xf numFmtId="165" fontId="17" fillId="0" borderId="0" xfId="0" applyNumberFormat="1" applyFont="1"/>
    <xf numFmtId="168" fontId="17" fillId="0" borderId="0" xfId="0" applyNumberFormat="1" applyFont="1"/>
    <xf numFmtId="1" fontId="11" fillId="0" borderId="0" xfId="0" applyNumberFormat="1" applyFont="1"/>
    <xf numFmtId="2" fontId="11" fillId="0" borderId="0" xfId="0" applyNumberFormat="1" applyFont="1"/>
    <xf numFmtId="168" fontId="7" fillId="0" borderId="0" xfId="0" applyNumberFormat="1" applyFont="1"/>
    <xf numFmtId="0" fontId="4" fillId="0" borderId="0" xfId="0" applyFont="1" applyAlignment="1">
      <alignment horizontal="center"/>
    </xf>
    <xf numFmtId="0" fontId="34" fillId="0" borderId="0" xfId="0" applyFont="1" applyAlignment="1">
      <alignment vertical="top" wrapText="1"/>
    </xf>
    <xf numFmtId="9" fontId="4" fillId="0" borderId="0" xfId="2" applyFont="1" applyAlignment="1">
      <alignment horizontal="center"/>
    </xf>
    <xf numFmtId="9" fontId="4" fillId="0" borderId="0" xfId="0" applyNumberFormat="1" applyFont="1" applyAlignment="1">
      <alignment horizontal="center"/>
    </xf>
    <xf numFmtId="0" fontId="17" fillId="0" borderId="0" xfId="0" applyFont="1" applyAlignment="1">
      <alignment horizontal="center"/>
    </xf>
    <xf numFmtId="9" fontId="17" fillId="0" borderId="0" xfId="2" applyFont="1" applyAlignment="1">
      <alignment horizontal="center"/>
    </xf>
    <xf numFmtId="9" fontId="17" fillId="0" borderId="0" xfId="0" applyNumberFormat="1" applyFont="1" applyAlignment="1">
      <alignment horizontal="center"/>
    </xf>
    <xf numFmtId="173" fontId="11" fillId="0" borderId="0" xfId="1" applyNumberFormat="1" applyFont="1"/>
    <xf numFmtId="0" fontId="35" fillId="0" borderId="0" xfId="0" applyFont="1"/>
    <xf numFmtId="0" fontId="36" fillId="0" borderId="0" xfId="0" applyFont="1"/>
    <xf numFmtId="168" fontId="36" fillId="0" borderId="0" xfId="0" applyNumberFormat="1" applyFont="1"/>
    <xf numFmtId="43" fontId="36" fillId="0" borderId="0" xfId="1" applyFont="1"/>
    <xf numFmtId="2" fontId="32" fillId="0" borderId="0" xfId="0" applyNumberFormat="1" applyFont="1"/>
    <xf numFmtId="0" fontId="16" fillId="0" borderId="0" xfId="0" applyFont="1"/>
    <xf numFmtId="0" fontId="34" fillId="0" borderId="0" xfId="0" quotePrefix="1" applyFont="1" applyAlignment="1">
      <alignment vertical="top" wrapText="1"/>
    </xf>
    <xf numFmtId="43" fontId="37" fillId="0" borderId="0" xfId="1" applyFont="1"/>
    <xf numFmtId="0" fontId="38" fillId="0" borderId="0" xfId="0" applyFont="1"/>
    <xf numFmtId="9" fontId="38" fillId="0" borderId="0" xfId="0" applyNumberFormat="1" applyFont="1"/>
    <xf numFmtId="166" fontId="3" fillId="0" borderId="0" xfId="1" applyNumberFormat="1" applyFont="1"/>
    <xf numFmtId="9" fontId="3" fillId="0" borderId="0" xfId="2" applyFont="1"/>
    <xf numFmtId="0" fontId="32" fillId="0" borderId="0" xfId="0" applyFont="1" applyAlignment="1">
      <alignment horizontal="center"/>
    </xf>
    <xf numFmtId="9" fontId="32" fillId="0" borderId="0" xfId="2" applyFont="1" applyAlignment="1">
      <alignment horizontal="center"/>
    </xf>
    <xf numFmtId="9" fontId="32" fillId="0" borderId="0" xfId="0" applyNumberFormat="1" applyFont="1" applyAlignment="1">
      <alignment horizontal="center"/>
    </xf>
    <xf numFmtId="164" fontId="17" fillId="0" borderId="0" xfId="0" applyNumberFormat="1" applyFont="1"/>
    <xf numFmtId="166" fontId="39" fillId="0" borderId="0" xfId="1" applyNumberFormat="1" applyFont="1"/>
    <xf numFmtId="0" fontId="7" fillId="0" borderId="0" xfId="0" applyFont="1"/>
    <xf numFmtId="43" fontId="3" fillId="0" borderId="0" xfId="0" applyNumberFormat="1" applyFont="1"/>
    <xf numFmtId="173" fontId="3" fillId="0" borderId="0" xfId="0" applyNumberFormat="1" applyFont="1"/>
    <xf numFmtId="168" fontId="3" fillId="0" borderId="0" xfId="0" applyNumberFormat="1" applyFont="1"/>
    <xf numFmtId="1" fontId="3" fillId="0" borderId="0" xfId="0" applyNumberFormat="1" applyFont="1"/>
    <xf numFmtId="2" fontId="3" fillId="0" borderId="0" xfId="0" applyNumberFormat="1" applyFont="1"/>
    <xf numFmtId="166" fontId="4" fillId="0" borderId="0" xfId="1" applyNumberFormat="1" applyFont="1"/>
    <xf numFmtId="1" fontId="13" fillId="0" borderId="0" xfId="0" applyNumberFormat="1" applyFont="1"/>
    <xf numFmtId="1" fontId="7" fillId="0" borderId="0" xfId="0" applyNumberFormat="1" applyFont="1"/>
    <xf numFmtId="43" fontId="4" fillId="7" borderId="0" xfId="1" applyFont="1" applyFill="1"/>
    <xf numFmtId="174" fontId="19" fillId="0" borderId="0" xfId="1" applyNumberFormat="1" applyFont="1"/>
    <xf numFmtId="0" fontId="4" fillId="2" borderId="0" xfId="0" applyFont="1" applyFill="1"/>
    <xf numFmtId="0" fontId="41" fillId="0" borderId="1" xfId="0" applyFont="1" applyBorder="1" applyAlignment="1">
      <alignment vertical="center"/>
    </xf>
    <xf numFmtId="0" fontId="41" fillId="0" borderId="2" xfId="0" applyFont="1" applyBorder="1" applyAlignment="1">
      <alignment vertical="center"/>
    </xf>
    <xf numFmtId="0" fontId="43" fillId="0" borderId="2" xfId="0" applyFont="1" applyBorder="1" applyAlignment="1">
      <alignment horizontal="right" vertical="center"/>
    </xf>
    <xf numFmtId="0" fontId="42" fillId="0" borderId="3" xfId="0" applyFont="1" applyBorder="1" applyAlignment="1">
      <alignment vertical="center"/>
    </xf>
    <xf numFmtId="0" fontId="41" fillId="0" borderId="4" xfId="0" applyFont="1" applyBorder="1" applyAlignment="1">
      <alignment vertical="center"/>
    </xf>
    <xf numFmtId="0" fontId="43" fillId="0" borderId="4" xfId="0" applyFont="1" applyBorder="1" applyAlignment="1">
      <alignment horizontal="right" vertical="center"/>
    </xf>
    <xf numFmtId="0" fontId="42" fillId="0" borderId="4" xfId="0" applyFont="1" applyBorder="1" applyAlignment="1">
      <alignment horizontal="right" vertical="center"/>
    </xf>
    <xf numFmtId="0" fontId="40" fillId="0" borderId="0" xfId="0" applyFont="1" applyAlignment="1">
      <alignment vertical="center"/>
    </xf>
    <xf numFmtId="10" fontId="44" fillId="0" borderId="4" xfId="0" applyNumberFormat="1" applyFont="1" applyBorder="1" applyAlignment="1">
      <alignment horizontal="right" vertical="center"/>
    </xf>
    <xf numFmtId="171" fontId="0" fillId="0" borderId="0" xfId="1" applyNumberFormat="1" applyFont="1"/>
    <xf numFmtId="172" fontId="0" fillId="0" borderId="0" xfId="0" applyNumberFormat="1"/>
    <xf numFmtId="171" fontId="0" fillId="0" borderId="0" xfId="0" applyNumberFormat="1"/>
    <xf numFmtId="164" fontId="0" fillId="0" borderId="0" xfId="2" applyNumberFormat="1" applyFont="1"/>
    <xf numFmtId="43" fontId="39" fillId="0" borderId="0" xfId="0" applyNumberFormat="1" applyFont="1"/>
    <xf numFmtId="0" fontId="39" fillId="0" borderId="0" xfId="0" applyFont="1"/>
    <xf numFmtId="168" fontId="39" fillId="0" borderId="0" xfId="0" applyNumberFormat="1" applyFont="1"/>
    <xf numFmtId="165" fontId="46" fillId="0" borderId="0" xfId="0" applyNumberFormat="1" applyFont="1"/>
    <xf numFmtId="2" fontId="46" fillId="0" borderId="0" xfId="0" applyNumberFormat="1" applyFont="1"/>
    <xf numFmtId="2" fontId="39" fillId="0" borderId="0" xfId="0" applyNumberFormat="1" applyFont="1"/>
    <xf numFmtId="165" fontId="39" fillId="0" borderId="0" xfId="0" applyNumberFormat="1" applyFont="1"/>
    <xf numFmtId="171" fontId="39" fillId="0" borderId="0" xfId="1" applyNumberFormat="1" applyFont="1"/>
    <xf numFmtId="171" fontId="39" fillId="0" borderId="0" xfId="0" applyNumberFormat="1" applyFont="1"/>
    <xf numFmtId="43" fontId="39" fillId="0" borderId="0" xfId="1" applyFont="1"/>
    <xf numFmtId="169" fontId="47" fillId="3" borderId="0" xfId="0" applyNumberFormat="1" applyFont="1" applyFill="1"/>
    <xf numFmtId="171" fontId="39" fillId="0" borderId="0" xfId="1" applyNumberFormat="1" applyFont="1" applyFill="1"/>
    <xf numFmtId="166" fontId="47" fillId="0" borderId="0" xfId="1" applyNumberFormat="1" applyFont="1"/>
    <xf numFmtId="9" fontId="39" fillId="0" borderId="0" xfId="0" applyNumberFormat="1" applyFont="1"/>
    <xf numFmtId="0" fontId="48" fillId="0" borderId="0" xfId="0" applyFont="1" applyAlignment="1">
      <alignment wrapText="1"/>
    </xf>
    <xf numFmtId="43" fontId="39" fillId="0" borderId="0" xfId="1" applyFont="1" applyFill="1"/>
    <xf numFmtId="166" fontId="47" fillId="0" borderId="0" xfId="1" applyNumberFormat="1" applyFont="1" applyFill="1"/>
    <xf numFmtId="0" fontId="47" fillId="0" borderId="0" xfId="0" applyFont="1"/>
    <xf numFmtId="17" fontId="47" fillId="0" borderId="0" xfId="0" applyNumberFormat="1" applyFont="1" applyAlignment="1">
      <alignment horizontal="left"/>
    </xf>
    <xf numFmtId="0" fontId="45" fillId="0" borderId="0" xfId="0" applyFont="1"/>
    <xf numFmtId="9" fontId="39" fillId="0" borderId="0" xfId="2" applyFont="1"/>
    <xf numFmtId="0" fontId="49" fillId="0" borderId="0" xfId="0" applyFont="1"/>
    <xf numFmtId="1" fontId="49" fillId="0" borderId="0" xfId="0" applyNumberFormat="1" applyFont="1"/>
    <xf numFmtId="1" fontId="39" fillId="0" borderId="0" xfId="0" applyNumberFormat="1" applyFont="1"/>
    <xf numFmtId="0" fontId="45" fillId="2" borderId="0" xfId="0" applyFont="1" applyFill="1"/>
    <xf numFmtId="2" fontId="45" fillId="2" borderId="0" xfId="0" applyNumberFormat="1" applyFont="1" applyFill="1"/>
    <xf numFmtId="165" fontId="45" fillId="0" borderId="0" xfId="0" applyNumberFormat="1" applyFont="1"/>
    <xf numFmtId="0" fontId="48" fillId="0" borderId="0" xfId="0" applyFont="1"/>
    <xf numFmtId="171" fontId="45" fillId="0" borderId="0" xfId="0" applyNumberFormat="1" applyFont="1"/>
    <xf numFmtId="171" fontId="45" fillId="0" borderId="0" xfId="1" applyNumberFormat="1" applyFont="1"/>
    <xf numFmtId="173" fontId="45" fillId="0" borderId="0" xfId="1" applyNumberFormat="1" applyFont="1"/>
    <xf numFmtId="0" fontId="45" fillId="4" borderId="0" xfId="0" applyFont="1" applyFill="1"/>
    <xf numFmtId="0" fontId="39" fillId="4" borderId="0" xfId="0" applyFont="1" applyFill="1"/>
    <xf numFmtId="171" fontId="50" fillId="0" borderId="0" xfId="1" applyNumberFormat="1" applyFont="1"/>
    <xf numFmtId="171" fontId="51" fillId="0" borderId="0" xfId="0" applyNumberFormat="1" applyFont="1"/>
    <xf numFmtId="43" fontId="50" fillId="0" borderId="0" xfId="1" applyFont="1"/>
    <xf numFmtId="173" fontId="45" fillId="0" borderId="0" xfId="0" applyNumberFormat="1" applyFont="1"/>
    <xf numFmtId="166" fontId="45" fillId="0" borderId="0" xfId="0" applyNumberFormat="1" applyFont="1"/>
    <xf numFmtId="166" fontId="39" fillId="0" borderId="0" xfId="0" applyNumberFormat="1" applyFont="1"/>
    <xf numFmtId="0" fontId="39" fillId="8" borderId="0" xfId="0" applyFont="1" applyFill="1" applyProtection="1">
      <protection hidden="1"/>
    </xf>
    <xf numFmtId="168" fontId="39" fillId="8" borderId="0" xfId="0" applyNumberFormat="1" applyFont="1" applyFill="1" applyProtection="1">
      <protection hidden="1"/>
    </xf>
    <xf numFmtId="168" fontId="39" fillId="0" borderId="0" xfId="0" applyNumberFormat="1" applyFont="1" applyProtection="1">
      <protection hidden="1"/>
    </xf>
    <xf numFmtId="0" fontId="39" fillId="0" borderId="0" xfId="0" applyFont="1" applyProtection="1">
      <protection hidden="1"/>
    </xf>
    <xf numFmtId="165" fontId="46" fillId="0" borderId="0" xfId="0" applyNumberFormat="1" applyFont="1" applyProtection="1">
      <protection hidden="1"/>
    </xf>
    <xf numFmtId="2" fontId="46" fillId="8" borderId="0" xfId="0" applyNumberFormat="1" applyFont="1" applyFill="1" applyProtection="1">
      <protection hidden="1"/>
    </xf>
    <xf numFmtId="2" fontId="39" fillId="8" borderId="0" xfId="0" applyNumberFormat="1" applyFont="1" applyFill="1" applyProtection="1">
      <protection hidden="1"/>
    </xf>
    <xf numFmtId="43" fontId="39" fillId="8" borderId="0" xfId="0" applyNumberFormat="1" applyFont="1" applyFill="1" applyProtection="1">
      <protection hidden="1"/>
    </xf>
    <xf numFmtId="165" fontId="39" fillId="0" borderId="0" xfId="0" applyNumberFormat="1" applyFont="1" applyProtection="1">
      <protection hidden="1"/>
    </xf>
    <xf numFmtId="9" fontId="39" fillId="8" borderId="0" xfId="0" applyNumberFormat="1" applyFont="1" applyFill="1" applyProtection="1">
      <protection hidden="1"/>
    </xf>
    <xf numFmtId="0" fontId="47" fillId="8" borderId="0" xfId="0" applyFont="1" applyFill="1" applyProtection="1">
      <protection hidden="1"/>
    </xf>
    <xf numFmtId="17" fontId="47" fillId="8" borderId="0" xfId="0" applyNumberFormat="1" applyFont="1" applyFill="1" applyAlignment="1" applyProtection="1">
      <alignment horizontal="left"/>
      <protection hidden="1"/>
    </xf>
    <xf numFmtId="171" fontId="39" fillId="8" borderId="0" xfId="1" applyNumberFormat="1" applyFont="1" applyFill="1" applyProtection="1">
      <protection hidden="1"/>
    </xf>
    <xf numFmtId="171" fontId="45" fillId="8" borderId="0" xfId="0" applyNumberFormat="1" applyFont="1" applyFill="1" applyProtection="1">
      <protection hidden="1"/>
    </xf>
    <xf numFmtId="43" fontId="39" fillId="0" borderId="0" xfId="0" applyNumberFormat="1" applyFont="1" applyProtection="1">
      <protection hidden="1"/>
    </xf>
    <xf numFmtId="171" fontId="50" fillId="8" borderId="0" xfId="1" applyNumberFormat="1" applyFont="1" applyFill="1" applyProtection="1">
      <protection hidden="1"/>
    </xf>
    <xf numFmtId="171" fontId="51" fillId="8" borderId="0" xfId="0" applyNumberFormat="1" applyFont="1" applyFill="1" applyProtection="1">
      <protection hidden="1"/>
    </xf>
    <xf numFmtId="10" fontId="4" fillId="0" borderId="0" xfId="0" applyNumberFormat="1" applyFont="1"/>
    <xf numFmtId="0" fontId="4" fillId="0" borderId="4" xfId="0" applyFont="1" applyBorder="1"/>
    <xf numFmtId="9" fontId="13" fillId="0" borderId="0" xfId="0" applyNumberFormat="1" applyFont="1"/>
    <xf numFmtId="0" fontId="3" fillId="0" borderId="11" xfId="0" applyFont="1" applyBorder="1" applyAlignment="1">
      <alignment horizontal="center"/>
    </xf>
    <xf numFmtId="164" fontId="3" fillId="0" borderId="11" xfId="0" applyNumberFormat="1" applyFont="1" applyBorder="1"/>
    <xf numFmtId="0" fontId="3" fillId="0" borderId="11" xfId="0" applyFont="1" applyBorder="1"/>
    <xf numFmtId="167" fontId="4" fillId="0" borderId="11" xfId="0" applyNumberFormat="1" applyFont="1" applyBorder="1"/>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8" xfId="0" applyFont="1" applyBorder="1" applyAlignment="1">
      <alignment horizontal="left" vertical="center" wrapText="1" indent="1"/>
    </xf>
    <xf numFmtId="0" fontId="6" fillId="0" borderId="9" xfId="0" applyFont="1" applyBorder="1" applyAlignment="1">
      <alignment vertical="center" wrapText="1"/>
    </xf>
    <xf numFmtId="6" fontId="7" fillId="0" borderId="10" xfId="0" applyNumberFormat="1" applyFont="1" applyBorder="1" applyAlignment="1">
      <alignment horizontal="center" vertical="center" wrapText="1"/>
    </xf>
    <xf numFmtId="6" fontId="7" fillId="0" borderId="11" xfId="0" applyNumberFormat="1" applyFont="1" applyBorder="1" applyAlignment="1">
      <alignment horizontal="center" vertical="center" wrapText="1"/>
    </xf>
    <xf numFmtId="6" fontId="7" fillId="0" borderId="12" xfId="0" applyNumberFormat="1" applyFont="1" applyBorder="1" applyAlignment="1">
      <alignment horizontal="center" vertical="center" wrapText="1"/>
    </xf>
    <xf numFmtId="8" fontId="3" fillId="0" borderId="0" xfId="0" applyNumberFormat="1" applyFont="1"/>
    <xf numFmtId="9" fontId="3" fillId="0" borderId="0" xfId="0" applyNumberFormat="1" applyFont="1"/>
    <xf numFmtId="6" fontId="3" fillId="0" borderId="0" xfId="0" applyNumberFormat="1" applyFont="1"/>
    <xf numFmtId="6" fontId="7" fillId="0" borderId="13" xfId="0" applyNumberFormat="1" applyFont="1" applyBorder="1" applyAlignment="1">
      <alignment horizontal="center" vertical="center" wrapText="1"/>
    </xf>
    <xf numFmtId="6" fontId="7" fillId="0" borderId="14" xfId="0" applyNumberFormat="1" applyFont="1" applyBorder="1" applyAlignment="1">
      <alignment horizontal="center" vertical="center" wrapText="1"/>
    </xf>
    <xf numFmtId="6" fontId="7" fillId="0" borderId="22" xfId="0" applyNumberFormat="1" applyFont="1" applyBorder="1" applyAlignment="1">
      <alignment horizontal="center" vertical="center" wrapText="1"/>
    </xf>
    <xf numFmtId="6" fontId="7" fillId="0" borderId="23" xfId="0" applyNumberFormat="1" applyFont="1" applyBorder="1" applyAlignment="1">
      <alignment horizontal="center" vertical="center" wrapText="1"/>
    </xf>
    <xf numFmtId="6" fontId="7" fillId="0" borderId="24"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38" fillId="0" borderId="11" xfId="0" applyFont="1" applyBorder="1" applyAlignment="1">
      <alignment horizontal="center"/>
    </xf>
    <xf numFmtId="0" fontId="4" fillId="0" borderId="1" xfId="0" applyFont="1" applyBorder="1" applyAlignment="1">
      <alignment vertical="center"/>
    </xf>
    <xf numFmtId="0" fontId="4" fillId="0" borderId="2" xfId="0" applyFont="1" applyBorder="1" applyAlignment="1">
      <alignment horizontal="center" vertical="center" wrapText="1"/>
    </xf>
    <xf numFmtId="0" fontId="4" fillId="0" borderId="0" xfId="0" applyFont="1" applyAlignment="1">
      <alignment horizontal="left" vertical="center"/>
    </xf>
    <xf numFmtId="0" fontId="4" fillId="0" borderId="3" xfId="0" applyFont="1" applyBorder="1" applyAlignment="1">
      <alignment vertical="center"/>
    </xf>
    <xf numFmtId="164" fontId="4" fillId="0" borderId="4" xfId="2" applyNumberFormat="1" applyFont="1" applyFill="1" applyBorder="1" applyAlignment="1">
      <alignment horizontal="center" vertical="center" wrapText="1"/>
    </xf>
    <xf numFmtId="0" fontId="3" fillId="0" borderId="1" xfId="0" applyFont="1" applyBorder="1" applyAlignment="1">
      <alignment vertical="center"/>
    </xf>
    <xf numFmtId="0" fontId="3" fillId="0" borderId="2" xfId="0" applyFont="1" applyBorder="1" applyAlignment="1">
      <alignment horizontal="center" vertical="center"/>
    </xf>
    <xf numFmtId="0" fontId="3" fillId="0" borderId="3" xfId="0" applyFont="1" applyBorder="1" applyAlignment="1">
      <alignment vertical="center"/>
    </xf>
    <xf numFmtId="10" fontId="3" fillId="0" borderId="4" xfId="0" applyNumberFormat="1" applyFont="1" applyBorder="1" applyAlignment="1">
      <alignment horizontal="center" vertical="center"/>
    </xf>
    <xf numFmtId="3" fontId="11" fillId="0" borderId="0" xfId="0" applyNumberFormat="1" applyFont="1"/>
    <xf numFmtId="0" fontId="11" fillId="0" borderId="0" xfId="0" applyFont="1" applyAlignment="1">
      <alignment horizontal="center"/>
    </xf>
    <xf numFmtId="0" fontId="4" fillId="0" borderId="11" xfId="0" applyFont="1" applyBorder="1" applyAlignment="1">
      <alignment horizontal="left" vertical="center"/>
    </xf>
    <xf numFmtId="166" fontId="4" fillId="0" borderId="11" xfId="1" applyNumberFormat="1" applyFont="1" applyFill="1" applyBorder="1" applyAlignment="1">
      <alignment horizontal="left" vertical="center"/>
    </xf>
    <xf numFmtId="164" fontId="3" fillId="0" borderId="11" xfId="0" applyNumberFormat="1" applyFont="1" applyBorder="1" applyAlignment="1">
      <alignment horizontal="center"/>
    </xf>
    <xf numFmtId="0" fontId="11" fillId="0" borderId="0" xfId="0" applyFont="1" applyAlignment="1">
      <alignment horizontal="left" vertical="center" wrapText="1"/>
    </xf>
    <xf numFmtId="0" fontId="4" fillId="0" borderId="0" xfId="0" applyFont="1" applyAlignment="1">
      <alignment horizontal="left" vertical="center" wrapText="1"/>
    </xf>
    <xf numFmtId="0" fontId="15" fillId="0" borderId="2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25" xfId="0" applyFont="1" applyBorder="1" applyAlignment="1">
      <alignment vertical="center"/>
    </xf>
    <xf numFmtId="0" fontId="15" fillId="0" borderId="6" xfId="0" applyFont="1" applyBorder="1" applyAlignment="1">
      <alignment horizontal="center" vertical="center"/>
    </xf>
    <xf numFmtId="0" fontId="15" fillId="0" borderId="26" xfId="0" applyFont="1" applyBorder="1" applyAlignment="1">
      <alignment vertical="center" wrapText="1"/>
    </xf>
    <xf numFmtId="0" fontId="15" fillId="0" borderId="5" xfId="0" applyFont="1" applyBorder="1" applyAlignment="1">
      <alignment horizontal="center" vertical="center"/>
    </xf>
    <xf numFmtId="0" fontId="15" fillId="0" borderId="26" xfId="0" applyFont="1" applyBorder="1" applyAlignment="1">
      <alignment vertical="center"/>
    </xf>
    <xf numFmtId="0" fontId="15" fillId="0" borderId="3" xfId="0" applyFont="1" applyBorder="1" applyAlignment="1">
      <alignment vertical="center"/>
    </xf>
    <xf numFmtId="0" fontId="15" fillId="0" borderId="4" xfId="0" applyFont="1" applyBorder="1" applyAlignment="1">
      <alignment horizontal="center" vertical="center"/>
    </xf>
    <xf numFmtId="0" fontId="23" fillId="0" borderId="17" xfId="0" applyFont="1" applyBorder="1" applyAlignment="1">
      <alignment vertical="center"/>
    </xf>
    <xf numFmtId="0" fontId="23" fillId="0" borderId="11" xfId="0" applyFont="1" applyBorder="1" applyAlignment="1">
      <alignment horizontal="left" vertical="center" wrapText="1"/>
    </xf>
    <xf numFmtId="0" fontId="23" fillId="0" borderId="19" xfId="0" applyFont="1" applyBorder="1" applyAlignment="1">
      <alignment horizontal="center" vertical="center"/>
    </xf>
    <xf numFmtId="0" fontId="23" fillId="0" borderId="17" xfId="0" applyFont="1" applyBorder="1" applyAlignment="1">
      <alignment horizontal="center" vertical="center"/>
    </xf>
    <xf numFmtId="0" fontId="23" fillId="0" borderId="11" xfId="0" applyFont="1" applyBorder="1" applyAlignment="1">
      <alignment horizontal="center" vertical="center"/>
    </xf>
    <xf numFmtId="0" fontId="23" fillId="0" borderId="20" xfId="0" applyFont="1" applyBorder="1" applyAlignment="1">
      <alignment horizontal="center" vertical="center"/>
    </xf>
    <xf numFmtId="0" fontId="23" fillId="0" borderId="18" xfId="0" applyFont="1" applyBorder="1" applyAlignment="1">
      <alignment vertical="center"/>
    </xf>
    <xf numFmtId="9" fontId="23" fillId="0" borderId="0" xfId="0" applyNumberFormat="1" applyFont="1" applyAlignment="1">
      <alignment horizontal="center" vertical="center"/>
    </xf>
    <xf numFmtId="9" fontId="23" fillId="0" borderId="18" xfId="0" applyNumberFormat="1" applyFont="1" applyBorder="1" applyAlignment="1">
      <alignment horizontal="center" vertical="center"/>
    </xf>
    <xf numFmtId="9" fontId="23" fillId="0" borderId="23" xfId="0" applyNumberFormat="1" applyFont="1" applyBorder="1" applyAlignment="1">
      <alignment horizontal="center" vertical="center"/>
    </xf>
    <xf numFmtId="9" fontId="23" fillId="0" borderId="22" xfId="0" applyNumberFormat="1" applyFont="1" applyBorder="1" applyAlignment="1">
      <alignment horizontal="center" vertical="center"/>
    </xf>
    <xf numFmtId="0" fontId="23" fillId="0" borderId="23" xfId="0" applyFont="1" applyBorder="1" applyAlignment="1">
      <alignment horizontal="center" vertical="center"/>
    </xf>
    <xf numFmtId="0" fontId="23" fillId="0" borderId="22" xfId="0" applyFont="1" applyBorder="1" applyAlignment="1">
      <alignment horizontal="center" vertical="center"/>
    </xf>
    <xf numFmtId="0" fontId="23" fillId="0" borderId="28" xfId="0" applyFont="1" applyBorder="1" applyAlignment="1">
      <alignment vertical="center"/>
    </xf>
    <xf numFmtId="9" fontId="23" fillId="0" borderId="15" xfId="0" applyNumberFormat="1" applyFont="1" applyBorder="1" applyAlignment="1">
      <alignment horizontal="center" vertical="center"/>
    </xf>
    <xf numFmtId="9" fontId="23" fillId="0" borderId="28" xfId="0" applyNumberFormat="1"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0" fillId="0" borderId="11" xfId="0" applyFont="1" applyBorder="1"/>
    <xf numFmtId="0" fontId="21" fillId="0" borderId="11" xfId="0" applyFont="1" applyBorder="1"/>
    <xf numFmtId="0" fontId="22" fillId="0" borderId="19" xfId="0" applyFont="1" applyBorder="1"/>
    <xf numFmtId="0" fontId="22" fillId="0" borderId="11" xfId="0" applyFont="1" applyBorder="1"/>
    <xf numFmtId="0" fontId="22" fillId="0" borderId="20" xfId="0" applyFont="1" applyBorder="1"/>
    <xf numFmtId="170" fontId="23" fillId="0" borderId="21" xfId="0" applyNumberFormat="1" applyFont="1" applyBorder="1"/>
    <xf numFmtId="9" fontId="23" fillId="0" borderId="23" xfId="0" applyNumberFormat="1" applyFont="1" applyBorder="1"/>
    <xf numFmtId="9" fontId="23" fillId="0" borderId="0" xfId="0" applyNumberFormat="1" applyFont="1"/>
    <xf numFmtId="9" fontId="23" fillId="0" borderId="22" xfId="0" applyNumberFormat="1" applyFont="1" applyBorder="1"/>
    <xf numFmtId="170" fontId="23" fillId="0" borderId="23" xfId="0" applyNumberFormat="1" applyFont="1" applyBorder="1"/>
    <xf numFmtId="0" fontId="23" fillId="0" borderId="23" xfId="0" applyFont="1" applyBorder="1"/>
    <xf numFmtId="0" fontId="23" fillId="0" borderId="22" xfId="0" applyFont="1" applyBorder="1"/>
    <xf numFmtId="170" fontId="23" fillId="0" borderId="27" xfId="0" applyNumberFormat="1" applyFont="1" applyBorder="1"/>
    <xf numFmtId="0" fontId="23" fillId="0" borderId="27" xfId="0" applyFont="1" applyBorder="1"/>
    <xf numFmtId="0" fontId="23" fillId="0" borderId="15" xfId="0" applyFont="1" applyBorder="1"/>
    <xf numFmtId="9" fontId="23" fillId="0" borderId="27" xfId="0" applyNumberFormat="1" applyFont="1" applyBorder="1"/>
    <xf numFmtId="9" fontId="23" fillId="0" borderId="16" xfId="0" applyNumberFormat="1" applyFont="1" applyBorder="1"/>
    <xf numFmtId="0" fontId="8" fillId="0" borderId="0" xfId="0" applyFont="1"/>
    <xf numFmtId="0" fontId="9" fillId="0" borderId="0" xfId="0" applyFont="1" applyAlignment="1">
      <alignment vertical="center"/>
    </xf>
    <xf numFmtId="0" fontId="9" fillId="0" borderId="11" xfId="0" applyFont="1" applyBorder="1" applyAlignment="1">
      <alignment horizontal="left" vertical="center" wrapText="1"/>
    </xf>
    <xf numFmtId="0" fontId="9" fillId="0" borderId="11"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1" xfId="0" applyFont="1" applyBorder="1" applyAlignment="1">
      <alignment horizontal="left" vertical="top" wrapText="1"/>
    </xf>
    <xf numFmtId="0" fontId="9" fillId="0" borderId="18" xfId="0" applyFont="1" applyBorder="1" applyAlignment="1">
      <alignment horizontal="center" vertical="center" wrapText="1"/>
    </xf>
    <xf numFmtId="0" fontId="8" fillId="0" borderId="11" xfId="0" applyFont="1" applyBorder="1" applyAlignment="1">
      <alignment horizontal="left" vertical="center" wrapText="1"/>
    </xf>
    <xf numFmtId="0" fontId="8" fillId="0" borderId="11" xfId="0" applyFont="1" applyBorder="1" applyAlignment="1">
      <alignment horizontal="center" vertical="center"/>
    </xf>
    <xf numFmtId="0" fontId="5" fillId="0" borderId="11" xfId="0" applyFont="1" applyBorder="1" applyAlignment="1">
      <alignment horizontal="left" vertical="center" wrapText="1"/>
    </xf>
    <xf numFmtId="0" fontId="52" fillId="0" borderId="0" xfId="0" applyFont="1" applyAlignment="1">
      <alignment horizontal="left" vertical="center" wrapText="1"/>
    </xf>
    <xf numFmtId="0" fontId="4" fillId="0" borderId="0" xfId="0" applyFont="1" applyAlignment="1">
      <alignment horizontal="center" vertical="center" wrapText="1"/>
    </xf>
    <xf numFmtId="0" fontId="5" fillId="0" borderId="11" xfId="0" applyFont="1" applyBorder="1" applyAlignment="1">
      <alignment horizontal="left" vertical="center"/>
    </xf>
    <xf numFmtId="0" fontId="8" fillId="0" borderId="17" xfId="0" applyFont="1" applyBorder="1" applyAlignment="1">
      <alignment vertical="center"/>
    </xf>
    <xf numFmtId="0" fontId="8" fillId="0" borderId="19" xfId="0" applyFont="1" applyBorder="1" applyAlignment="1">
      <alignment vertical="center"/>
    </xf>
    <xf numFmtId="0" fontId="8" fillId="0" borderId="20" xfId="0" applyFont="1" applyBorder="1" applyAlignment="1">
      <alignment vertical="center"/>
    </xf>
    <xf numFmtId="0" fontId="8" fillId="0" borderId="17" xfId="0" applyFont="1" applyBorder="1" applyAlignment="1">
      <alignment horizontal="center" vertical="center"/>
    </xf>
    <xf numFmtId="0" fontId="9" fillId="0" borderId="21" xfId="0" applyFont="1" applyBorder="1" applyAlignment="1">
      <alignment vertical="center"/>
    </xf>
    <xf numFmtId="0" fontId="8" fillId="0" borderId="20" xfId="0" applyFont="1" applyBorder="1" applyAlignment="1">
      <alignment horizontal="left" vertical="center" wrapText="1"/>
    </xf>
    <xf numFmtId="0" fontId="8" fillId="0" borderId="20" xfId="0" applyFont="1" applyBorder="1" applyAlignment="1">
      <alignment horizontal="center" vertical="center" wrapText="1"/>
    </xf>
    <xf numFmtId="0" fontId="5" fillId="0" borderId="20" xfId="0" applyFont="1" applyBorder="1" applyAlignment="1">
      <alignment horizontal="left" vertical="center" wrapText="1"/>
    </xf>
    <xf numFmtId="0" fontId="8" fillId="0" borderId="0" xfId="0" applyFont="1" applyAlignment="1">
      <alignment horizontal="center" vertical="center"/>
    </xf>
    <xf numFmtId="0" fontId="8" fillId="0" borderId="15" xfId="0" applyFont="1" applyBorder="1" applyAlignment="1">
      <alignment horizontal="left" vertical="center" wrapText="1"/>
    </xf>
    <xf numFmtId="0" fontId="9" fillId="0" borderId="11" xfId="0" applyFont="1" applyBorder="1" applyAlignment="1">
      <alignment vertical="center"/>
    </xf>
    <xf numFmtId="0" fontId="5" fillId="0" borderId="11" xfId="0" applyFont="1" applyBorder="1"/>
    <xf numFmtId="0" fontId="5" fillId="0" borderId="0" xfId="0" applyFont="1"/>
    <xf numFmtId="0" fontId="9" fillId="0" borderId="0" xfId="0" applyFont="1"/>
    <xf numFmtId="1" fontId="8" fillId="0" borderId="0" xfId="0" applyNumberFormat="1" applyFont="1"/>
    <xf numFmtId="0" fontId="9" fillId="0" borderId="0" xfId="0" applyFont="1" applyAlignment="1">
      <alignment horizontal="center"/>
    </xf>
    <xf numFmtId="17" fontId="9" fillId="0" borderId="0" xfId="0" applyNumberFormat="1" applyFont="1" applyAlignment="1">
      <alignment horizontal="center"/>
    </xf>
    <xf numFmtId="0" fontId="10" fillId="0" borderId="0" xfId="0" applyFont="1"/>
    <xf numFmtId="10" fontId="10" fillId="0" borderId="0" xfId="0" applyNumberFormat="1" applyFont="1"/>
    <xf numFmtId="165" fontId="10" fillId="0" borderId="0" xfId="0" applyNumberFormat="1" applyFont="1"/>
    <xf numFmtId="0" fontId="8" fillId="0" borderId="0" xfId="0" quotePrefix="1" applyFont="1"/>
    <xf numFmtId="166" fontId="8" fillId="0" borderId="0" xfId="1" applyNumberFormat="1" applyFont="1" applyFill="1"/>
    <xf numFmtId="166" fontId="10" fillId="0" borderId="0" xfId="1" applyNumberFormat="1" applyFont="1" applyFill="1"/>
    <xf numFmtId="43" fontId="10" fillId="0" borderId="0" xfId="0" applyNumberFormat="1" applyFont="1"/>
    <xf numFmtId="43" fontId="8" fillId="0" borderId="0" xfId="0" applyNumberFormat="1" applyFont="1"/>
    <xf numFmtId="0" fontId="16" fillId="0" borderId="0" xfId="0" applyFont="1" applyAlignment="1">
      <alignment horizontal="right"/>
    </xf>
    <xf numFmtId="0" fontId="45" fillId="0" borderId="0" xfId="0" applyFont="1" applyAlignment="1">
      <alignment horizontal="right"/>
    </xf>
    <xf numFmtId="0" fontId="16" fillId="0" borderId="0" xfId="0" applyFont="1" applyAlignment="1">
      <alignment horizontal="center"/>
    </xf>
    <xf numFmtId="0" fontId="2" fillId="0" borderId="21" xfId="0" applyFont="1" applyBorder="1" applyAlignment="1">
      <alignment vertical="center"/>
    </xf>
    <xf numFmtId="0" fontId="2" fillId="0" borderId="0" xfId="0" applyFont="1" applyAlignment="1">
      <alignment vertical="center"/>
    </xf>
    <xf numFmtId="168" fontId="2" fillId="0" borderId="0" xfId="0" applyNumberFormat="1" applyFont="1"/>
    <xf numFmtId="0" fontId="0" fillId="0" borderId="0" xfId="0" applyAlignment="1">
      <alignment horizontal="center"/>
    </xf>
    <xf numFmtId="0" fontId="0" fillId="0" borderId="15" xfId="0" applyBorder="1" applyAlignment="1">
      <alignment horizontal="left" vertical="center" wrapText="1"/>
    </xf>
    <xf numFmtId="0" fontId="0" fillId="0" borderId="11" xfId="0" applyBorder="1" applyAlignment="1">
      <alignment horizontal="center" vertical="center"/>
    </xf>
    <xf numFmtId="171" fontId="4" fillId="0" borderId="0" xfId="1" applyNumberFormat="1" applyFont="1" applyFill="1"/>
    <xf numFmtId="0" fontId="0" fillId="0" borderId="0" xfId="0" applyAlignment="1">
      <alignment horizontal="left" vertical="center" wrapText="1"/>
    </xf>
    <xf numFmtId="0" fontId="0" fillId="0" borderId="0" xfId="0" applyAlignment="1">
      <alignment horizontal="center" vertical="center"/>
    </xf>
    <xf numFmtId="173" fontId="4" fillId="0" borderId="0" xfId="1" applyNumberFormat="1" applyFont="1" applyFill="1"/>
    <xf numFmtId="0" fontId="0" fillId="0" borderId="0" xfId="0" applyAlignment="1">
      <alignment horizontal="right"/>
    </xf>
    <xf numFmtId="168" fontId="0" fillId="0" borderId="0" xfId="0" applyNumberFormat="1"/>
    <xf numFmtId="1" fontId="0" fillId="0" borderId="0" xfId="0" applyNumberFormat="1"/>
    <xf numFmtId="2" fontId="0" fillId="0" borderId="0" xfId="0" applyNumberFormat="1"/>
    <xf numFmtId="0" fontId="0" fillId="3" borderId="0" xfId="0" applyFill="1"/>
    <xf numFmtId="0" fontId="23" fillId="0" borderId="23" xfId="0" applyFont="1" applyBorder="1" applyAlignment="1">
      <alignment horizontal="left" vertical="center" wrapText="1"/>
    </xf>
    <xf numFmtId="0" fontId="23" fillId="0" borderId="27" xfId="0" applyFont="1" applyBorder="1" applyAlignment="1">
      <alignment horizontal="left"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4" fillId="0" borderId="0" xfId="0" applyFont="1" applyAlignment="1">
      <alignment horizontal="center"/>
    </xf>
    <xf numFmtId="0" fontId="34" fillId="0" borderId="0" xfId="0" applyFont="1" applyAlignment="1">
      <alignment horizontal="center" vertical="top" wrapText="1"/>
    </xf>
  </cellXfs>
  <cellStyles count="3">
    <cellStyle name="Comma" xfId="1" builtinId="3"/>
    <cellStyle name="Normal" xfId="0" builtinId="0"/>
    <cellStyle name="Percent" xfId="2" builtinId="5"/>
  </cellStyles>
  <dxfs count="0"/>
  <tableStyles count="0" defaultTableStyle="TableStyleMedium2" defaultPivotStyle="PivotStyleLight16"/>
  <colors>
    <mruColors>
      <color rgb="FFFFFFCC"/>
      <color rgb="FF808000"/>
      <color rgb="FF97BE8C"/>
      <color rgb="FFFFABAB"/>
      <color rgb="FFEEF4EC"/>
      <color rgb="FFCCDFC7"/>
      <color rgb="FFFFFFE7"/>
      <color rgb="FFFFFF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11</xdr:row>
      <xdr:rowOff>57150</xdr:rowOff>
    </xdr:from>
    <xdr:to>
      <xdr:col>3</xdr:col>
      <xdr:colOff>409575</xdr:colOff>
      <xdr:row>16</xdr:row>
      <xdr:rowOff>0</xdr:rowOff>
    </xdr:to>
    <xdr:pic>
      <xdr:nvPicPr>
        <xdr:cNvPr id="2" name="Picture 1">
          <a:extLst>
            <a:ext uri="{FF2B5EF4-FFF2-40B4-BE49-F238E27FC236}">
              <a16:creationId xmlns:a16="http://schemas.microsoft.com/office/drawing/2014/main" id="{10332FBD-940F-453B-9DE4-3868FE56AC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2152650"/>
          <a:ext cx="2009775" cy="8953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aklcouncil-my.sharepoint.com/personal/waket_aklc_govt_nz/Documents/Parks%20and%20Comm%20space/Cost%20projtn%20from%20May%202023%20-%20all%20region%20LTP/Cost%20projection%20modelling/FAs%20by%20MSM%20AGS_updated_employment_n_extended_4_IPA_FBO_.xlsx" TargetMode="External"/><Relationship Id="rId2" Type="http://schemas.microsoft.com/office/2019/04/relationships/externalLinkLongPath" Target="/personal/waket_aklc_govt_nz/Documents/Parks%20and%20Comm%20space/Cost%20projtn%20from%20May%202023%20-%20all%20region%20LTP/Cost%20projection%20modelling/Open%20space/FAs%20by%20MSM%20AGS_updated_employment_n_extended_4_IPA_FBO_.xlsx?5CFDCF71" TargetMode="External"/><Relationship Id="rId1" Type="http://schemas.openxmlformats.org/officeDocument/2006/relationships/externalLinkPath" Target="file:///\\5CFDCF71\FAs%20by%20MSM%20AGS_updated_employment_n_extended_4_IPA_FBO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heck w cost proj"/>
      <sheetName val="Funding_area_forecasts"/>
      <sheetName val="Sheet11"/>
      <sheetName val="MSM_mapping_table"/>
      <sheetName val="Funding_area_names"/>
      <sheetName val="Extended_AGS"/>
      <sheetName val="AGS_with_updated_employment"/>
      <sheetName val="FBO_years"/>
      <sheetName val="Drury"/>
      <sheetName val="Northwest"/>
      <sheetName val="AHP_Tamaki_Parks"/>
      <sheetName val="AHP_Mt_Roskill_Parks"/>
      <sheetName val="AHP_Mangere_Parks"/>
      <sheetName val="AHP_Tamaki_transport"/>
      <sheetName val="AHP_Mt_Roskill_transport"/>
      <sheetName val="AHP_Mangere_transport"/>
    </sheetNames>
    <sheetDataSet>
      <sheetData sheetId="0">
        <row r="46">
          <cell r="F46" t="str">
            <v>Kumeu / Huapai / Riverhead</v>
          </cell>
        </row>
      </sheetData>
      <sheetData sheetId="1">
        <row r="46">
          <cell r="D46" t="str">
            <v>Auckland wide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persons/person.xml><?xml version="1.0" encoding="utf-8"?>
<personList xmlns="http://schemas.microsoft.com/office/spreadsheetml/2018/threadedcomments" xmlns:x="http://schemas.openxmlformats.org/spreadsheetml/2006/main">
  <person displayName="Tim Wake" id="{BAE062A5-04E6-4DEA-9218-9F1CDC77F011}" userId="S::waket@aklc.govt.nz::9c2a5ff7-28e7-4965-b241-62215fdde4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I7" dT="2024-06-10T04:19:13.76" personId="{BAE062A5-04E6-4DEA-9218-9F1CDC77F011}" id="{C7D7A35E-289A-42FC-A5AF-FF6CBC438197}">
    <text>As Town centre 2000m2</text>
  </threadedComment>
  <threadedComment ref="M7" dT="2024-06-10T04:19:13.76" personId="{BAE062A5-04E6-4DEA-9218-9F1CDC77F011}" id="{84535203-9262-4EFF-8658-179B875C6864}">
    <text>As Town centre 2000m2</text>
  </threadedComment>
  <threadedComment ref="Q7" dT="2024-06-10T04:04:19.02" personId="{BAE062A5-04E6-4DEA-9218-9F1CDC77F011}" id="{9E34D009-669D-4587-893F-EC1EF8CD9CB6}">
    <text>If 2023, can signal has been SULs for some time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9CE3-806B-4B55-8279-709DE56D2982}">
  <dimension ref="A1:AI35"/>
  <sheetViews>
    <sheetView tabSelected="1" workbookViewId="0">
      <selection activeCell="F17" sqref="F17"/>
    </sheetView>
  </sheetViews>
  <sheetFormatPr defaultRowHeight="14.4" x14ac:dyDescent="0.3"/>
  <cols>
    <col min="5" max="5" width="10.109375" bestFit="1" customWidth="1"/>
  </cols>
  <sheetData>
    <row r="1" spans="1:4" x14ac:dyDescent="0.3">
      <c r="A1" t="s">
        <v>487</v>
      </c>
    </row>
    <row r="2" spans="1:4" x14ac:dyDescent="0.3">
      <c r="A2" t="s">
        <v>484</v>
      </c>
    </row>
    <row r="3" spans="1:4" x14ac:dyDescent="0.3">
      <c r="A3" t="s">
        <v>481</v>
      </c>
    </row>
    <row r="5" spans="1:4" x14ac:dyDescent="0.3">
      <c r="A5" t="s">
        <v>482</v>
      </c>
    </row>
    <row r="6" spans="1:4" x14ac:dyDescent="0.3">
      <c r="A6" t="s">
        <v>483</v>
      </c>
    </row>
    <row r="7" spans="1:4" x14ac:dyDescent="0.3">
      <c r="A7" t="s">
        <v>485</v>
      </c>
    </row>
    <row r="8" spans="1:4" x14ac:dyDescent="0.3">
      <c r="A8" t="s">
        <v>486</v>
      </c>
    </row>
    <row r="10" spans="1:4" x14ac:dyDescent="0.3">
      <c r="A10" t="s">
        <v>488</v>
      </c>
    </row>
    <row r="12" spans="1:4" x14ac:dyDescent="0.3">
      <c r="A12" s="300"/>
      <c r="B12" s="300"/>
      <c r="C12" s="300"/>
      <c r="D12" s="300"/>
    </row>
    <row r="13" spans="1:4" x14ac:dyDescent="0.3">
      <c r="A13" s="300"/>
      <c r="B13" s="300"/>
      <c r="C13" s="300"/>
      <c r="D13" s="300"/>
    </row>
    <row r="14" spans="1:4" x14ac:dyDescent="0.3">
      <c r="A14" s="300"/>
      <c r="B14" s="300"/>
      <c r="C14" s="300"/>
      <c r="D14" s="300"/>
    </row>
    <row r="15" spans="1:4" x14ac:dyDescent="0.3">
      <c r="A15" s="300"/>
      <c r="B15" s="300"/>
      <c r="C15" s="300"/>
      <c r="D15" s="300"/>
    </row>
    <row r="16" spans="1:4" x14ac:dyDescent="0.3">
      <c r="A16" s="300"/>
      <c r="B16" s="300"/>
      <c r="C16" s="300"/>
      <c r="D16" s="300"/>
    </row>
    <row r="22" spans="1:35" ht="15" thickBot="1" x14ac:dyDescent="0.35">
      <c r="A22" s="4" t="s">
        <v>473</v>
      </c>
    </row>
    <row r="23" spans="1:35" ht="15" thickBot="1" x14ac:dyDescent="0.35">
      <c r="A23" s="90" t="s">
        <v>462</v>
      </c>
      <c r="B23" s="91"/>
      <c r="C23" s="92" t="s">
        <v>1</v>
      </c>
      <c r="D23" s="92" t="s">
        <v>2</v>
      </c>
      <c r="E23" s="92" t="s">
        <v>3</v>
      </c>
      <c r="F23" s="92" t="s">
        <v>4</v>
      </c>
      <c r="G23" s="92" t="s">
        <v>463</v>
      </c>
    </row>
    <row r="24" spans="1:35" ht="15" thickBot="1" x14ac:dyDescent="0.35">
      <c r="A24" s="93" t="s">
        <v>11</v>
      </c>
      <c r="B24" s="94"/>
      <c r="C24" s="95">
        <v>1.4</v>
      </c>
      <c r="D24" s="96">
        <v>2.8</v>
      </c>
      <c r="E24" s="96">
        <v>7</v>
      </c>
      <c r="F24" s="96">
        <v>4.3</v>
      </c>
      <c r="G24" s="96">
        <v>7.1</v>
      </c>
    </row>
    <row r="25" spans="1:35" ht="15" thickBot="1" x14ac:dyDescent="0.35">
      <c r="A25" s="93" t="s">
        <v>12</v>
      </c>
      <c r="B25" s="94"/>
      <c r="C25" s="95">
        <v>2.8</v>
      </c>
      <c r="D25" s="96">
        <v>3.2</v>
      </c>
      <c r="E25" s="96">
        <v>3.2</v>
      </c>
      <c r="F25" s="96">
        <v>3.1</v>
      </c>
      <c r="G25" s="96">
        <v>3.1</v>
      </c>
    </row>
    <row r="26" spans="1:35" ht="15" thickBot="1" x14ac:dyDescent="0.35">
      <c r="A26" s="97"/>
    </row>
    <row r="27" spans="1:35" ht="15" thickBot="1" x14ac:dyDescent="0.35">
      <c r="A27" s="90" t="s">
        <v>472</v>
      </c>
      <c r="B27" s="91"/>
      <c r="C27" s="92" t="s">
        <v>1</v>
      </c>
      <c r="D27" s="92" t="s">
        <v>2</v>
      </c>
      <c r="E27" s="92" t="s">
        <v>3</v>
      </c>
      <c r="F27" s="92" t="s">
        <v>4</v>
      </c>
      <c r="G27" s="92" t="s">
        <v>463</v>
      </c>
    </row>
    <row r="28" spans="1:35" ht="15" thickBot="1" x14ac:dyDescent="0.35">
      <c r="A28" s="93" t="s">
        <v>11</v>
      </c>
      <c r="B28" s="94"/>
      <c r="C28" s="98">
        <v>2.75E-2</v>
      </c>
      <c r="D28" s="98">
        <v>4.1700000000000001E-2</v>
      </c>
      <c r="E28" s="98">
        <v>5.0799999999999998E-2</v>
      </c>
      <c r="F28" s="98">
        <v>6.3700000000000007E-2</v>
      </c>
      <c r="G28" s="98">
        <v>7.0999999999999994E-2</v>
      </c>
    </row>
    <row r="29" spans="1:35" ht="15" thickBot="1" x14ac:dyDescent="0.35">
      <c r="A29" s="93" t="s">
        <v>12</v>
      </c>
      <c r="B29" s="94"/>
      <c r="C29" s="98">
        <v>2.8799999999999999E-2</v>
      </c>
      <c r="D29" s="98">
        <v>2.76E-2</v>
      </c>
      <c r="E29" s="98">
        <v>2.87E-2</v>
      </c>
      <c r="F29" s="98">
        <v>2.98E-2</v>
      </c>
      <c r="G29" s="98">
        <v>3.1E-2</v>
      </c>
    </row>
    <row r="31" spans="1:35" x14ac:dyDescent="0.3">
      <c r="A31" s="4" t="s">
        <v>466</v>
      </c>
      <c r="D31">
        <v>2025</v>
      </c>
      <c r="E31">
        <v>2026</v>
      </c>
      <c r="F31">
        <v>2027</v>
      </c>
      <c r="G31">
        <v>2028</v>
      </c>
      <c r="H31">
        <v>2029</v>
      </c>
      <c r="I31">
        <v>2030</v>
      </c>
      <c r="J31">
        <v>2031</v>
      </c>
      <c r="K31">
        <v>2032</v>
      </c>
      <c r="L31">
        <v>2033</v>
      </c>
      <c r="M31">
        <v>2034</v>
      </c>
      <c r="N31">
        <v>2035</v>
      </c>
      <c r="O31">
        <v>2036</v>
      </c>
      <c r="P31">
        <v>2037</v>
      </c>
      <c r="Q31">
        <v>2038</v>
      </c>
      <c r="R31">
        <v>2039</v>
      </c>
      <c r="S31">
        <v>2040</v>
      </c>
      <c r="T31">
        <v>2041</v>
      </c>
      <c r="U31">
        <v>2042</v>
      </c>
      <c r="V31">
        <v>2043</v>
      </c>
      <c r="W31">
        <v>2044</v>
      </c>
      <c r="X31">
        <v>2045</v>
      </c>
      <c r="Y31">
        <v>2046</v>
      </c>
      <c r="Z31">
        <v>2047</v>
      </c>
      <c r="AA31">
        <v>2048</v>
      </c>
      <c r="AB31">
        <v>2049</v>
      </c>
      <c r="AC31">
        <v>2050</v>
      </c>
      <c r="AD31">
        <v>2051</v>
      </c>
      <c r="AE31">
        <v>2052</v>
      </c>
      <c r="AF31">
        <v>2053</v>
      </c>
      <c r="AG31">
        <v>2054</v>
      </c>
      <c r="AH31">
        <v>2055</v>
      </c>
      <c r="AI31">
        <v>2056</v>
      </c>
    </row>
    <row r="32" spans="1:35" x14ac:dyDescent="0.3">
      <c r="A32" s="4" t="s">
        <v>464</v>
      </c>
      <c r="D32" s="99">
        <f>1+D28</f>
        <v>1.0417000000000001</v>
      </c>
      <c r="E32" s="99">
        <f>D32*(1+E28)</f>
        <v>1.0946183600000001</v>
      </c>
      <c r="F32" s="99">
        <f t="shared" ref="F32:G32" si="0">E32*(1+F28)</f>
        <v>1.1643455495320003</v>
      </c>
      <c r="G32" s="99">
        <f t="shared" si="0"/>
        <v>1.2470140835487722</v>
      </c>
      <c r="H32" s="101">
        <f>G32*(1+$G$28)</f>
        <v>1.3355520834807351</v>
      </c>
      <c r="I32" s="101">
        <f t="shared" ref="I32:AI32" si="1">H32*(1+$G$28)</f>
        <v>1.4303762814078671</v>
      </c>
      <c r="J32" s="101">
        <f t="shared" si="1"/>
        <v>1.5319329973878255</v>
      </c>
      <c r="K32" s="101">
        <f t="shared" si="1"/>
        <v>1.6407002402023612</v>
      </c>
      <c r="L32" s="101">
        <f t="shared" si="1"/>
        <v>1.7571899572567287</v>
      </c>
      <c r="M32" s="101">
        <f t="shared" si="1"/>
        <v>1.8819504442219563</v>
      </c>
      <c r="N32" s="101">
        <f t="shared" si="1"/>
        <v>2.0155689257617153</v>
      </c>
      <c r="O32" s="101">
        <f t="shared" si="1"/>
        <v>2.1586743194907969</v>
      </c>
      <c r="P32" s="101">
        <f t="shared" si="1"/>
        <v>2.3119401961746435</v>
      </c>
      <c r="Q32" s="101">
        <f t="shared" si="1"/>
        <v>2.4760879501030431</v>
      </c>
      <c r="R32" s="101">
        <f t="shared" si="1"/>
        <v>2.6518901945603588</v>
      </c>
      <c r="S32" s="101">
        <f t="shared" si="1"/>
        <v>2.8401743983741441</v>
      </c>
      <c r="T32" s="101">
        <f t="shared" si="1"/>
        <v>3.0418267806587083</v>
      </c>
      <c r="U32" s="101">
        <f t="shared" si="1"/>
        <v>3.2577964820854763</v>
      </c>
      <c r="V32" s="101">
        <f t="shared" si="1"/>
        <v>3.4891000323135448</v>
      </c>
      <c r="W32" s="101">
        <f t="shared" si="1"/>
        <v>3.7368261346078064</v>
      </c>
      <c r="X32" s="101">
        <f t="shared" si="1"/>
        <v>4.0021407901649608</v>
      </c>
      <c r="Y32" s="101">
        <f t="shared" si="1"/>
        <v>4.2862927862666726</v>
      </c>
      <c r="Z32" s="101">
        <f t="shared" si="1"/>
        <v>4.5906195740916065</v>
      </c>
      <c r="AA32" s="101">
        <f t="shared" si="1"/>
        <v>4.9165535638521103</v>
      </c>
      <c r="AB32" s="101">
        <f t="shared" si="1"/>
        <v>5.2656288668856099</v>
      </c>
      <c r="AC32" s="101">
        <f t="shared" si="1"/>
        <v>5.6394885164344881</v>
      </c>
      <c r="AD32" s="101">
        <f t="shared" si="1"/>
        <v>6.0398922011013365</v>
      </c>
      <c r="AE32" s="101">
        <f t="shared" si="1"/>
        <v>6.468724547379531</v>
      </c>
      <c r="AF32" s="101">
        <f t="shared" si="1"/>
        <v>6.9280039902434769</v>
      </c>
      <c r="AG32" s="101">
        <f t="shared" si="1"/>
        <v>7.4198922735507633</v>
      </c>
      <c r="AH32" s="101">
        <f t="shared" si="1"/>
        <v>7.9467046249728668</v>
      </c>
      <c r="AI32" s="101">
        <f t="shared" si="1"/>
        <v>8.5109206533459396</v>
      </c>
    </row>
    <row r="33" spans="1:35" x14ac:dyDescent="0.3">
      <c r="A33" s="4" t="s">
        <v>465</v>
      </c>
      <c r="D33" s="101">
        <f>1+D24/100</f>
        <v>1.028</v>
      </c>
      <c r="E33" s="101">
        <f>D33*(1+E24/100)</f>
        <v>1.09996</v>
      </c>
      <c r="F33" s="101">
        <f t="shared" ref="F33:G33" si="2">E33*(1+F24/100)</f>
        <v>1.14725828</v>
      </c>
      <c r="G33" s="101">
        <f t="shared" si="2"/>
        <v>1.22871361788</v>
      </c>
      <c r="H33" s="101">
        <f>G33*(1+$G$24/100)</f>
        <v>1.31595228474948</v>
      </c>
      <c r="I33" s="101">
        <f t="shared" ref="I33:AI33" si="3">H33*(1+$G$24/100)</f>
        <v>1.4093848969666931</v>
      </c>
      <c r="J33" s="101">
        <f t="shared" si="3"/>
        <v>1.5094512246513283</v>
      </c>
      <c r="K33" s="101">
        <f t="shared" si="3"/>
        <v>1.6166222616015726</v>
      </c>
      <c r="L33" s="101">
        <f t="shared" si="3"/>
        <v>1.7314024421752843</v>
      </c>
      <c r="M33" s="101">
        <f t="shared" si="3"/>
        <v>1.8543320155697294</v>
      </c>
      <c r="N33" s="101">
        <f t="shared" si="3"/>
        <v>1.9859895886751802</v>
      </c>
      <c r="O33" s="101">
        <f t="shared" si="3"/>
        <v>2.1269948494711177</v>
      </c>
      <c r="P33" s="101">
        <f t="shared" si="3"/>
        <v>2.2780114837835668</v>
      </c>
      <c r="Q33" s="101">
        <f t="shared" si="3"/>
        <v>2.4397502991322</v>
      </c>
      <c r="R33" s="101">
        <f t="shared" si="3"/>
        <v>2.6129725703705859</v>
      </c>
      <c r="S33" s="101">
        <f t="shared" si="3"/>
        <v>2.7984936228668973</v>
      </c>
      <c r="T33" s="101">
        <f t="shared" si="3"/>
        <v>2.9971866700904468</v>
      </c>
      <c r="U33" s="101">
        <f t="shared" si="3"/>
        <v>3.2099869236668686</v>
      </c>
      <c r="V33" s="101">
        <f t="shared" si="3"/>
        <v>3.4378959952472159</v>
      </c>
      <c r="W33" s="101">
        <f t="shared" si="3"/>
        <v>3.6819866109097679</v>
      </c>
      <c r="X33" s="101">
        <f t="shared" si="3"/>
        <v>3.9434076602843611</v>
      </c>
      <c r="Y33" s="101">
        <f t="shared" si="3"/>
        <v>4.2233896041645504</v>
      </c>
      <c r="Z33" s="101">
        <f t="shared" si="3"/>
        <v>4.5232502660602334</v>
      </c>
      <c r="AA33" s="101">
        <f t="shared" si="3"/>
        <v>4.8444010349505096</v>
      </c>
      <c r="AB33" s="101">
        <f t="shared" si="3"/>
        <v>5.1883535084319954</v>
      </c>
      <c r="AC33" s="101">
        <f t="shared" si="3"/>
        <v>5.5567266075306669</v>
      </c>
      <c r="AD33" s="101">
        <f t="shared" si="3"/>
        <v>5.9512541966653441</v>
      </c>
      <c r="AE33" s="101">
        <f t="shared" si="3"/>
        <v>6.3737932446285832</v>
      </c>
      <c r="AF33" s="101">
        <f t="shared" si="3"/>
        <v>6.8263325649972124</v>
      </c>
      <c r="AG33" s="101">
        <f t="shared" si="3"/>
        <v>7.3110021771120142</v>
      </c>
      <c r="AH33" s="101">
        <f t="shared" si="3"/>
        <v>7.8300833316869669</v>
      </c>
      <c r="AI33" s="101">
        <f t="shared" si="3"/>
        <v>8.3860192482367406</v>
      </c>
    </row>
    <row r="34" spans="1:35" x14ac:dyDescent="0.3">
      <c r="A34" s="4" t="s">
        <v>467</v>
      </c>
      <c r="D34" s="102">
        <f>D33/D32-1</f>
        <v>-1.3151579149467296E-2</v>
      </c>
      <c r="E34" s="102">
        <f t="shared" ref="E34:AI34" si="4">E33/E32-1</f>
        <v>4.8799108394270707E-3</v>
      </c>
      <c r="F34" s="102">
        <f t="shared" si="4"/>
        <v>-1.4675428217051589E-2</v>
      </c>
      <c r="G34" s="102">
        <f t="shared" si="4"/>
        <v>-1.4675428217051478E-2</v>
      </c>
      <c r="H34" s="102">
        <f t="shared" si="4"/>
        <v>-1.4675428217051478E-2</v>
      </c>
      <c r="I34" s="102">
        <f t="shared" si="4"/>
        <v>-1.4675428217051367E-2</v>
      </c>
      <c r="J34" s="102">
        <f t="shared" si="4"/>
        <v>-1.4675428217051256E-2</v>
      </c>
      <c r="K34" s="102">
        <f t="shared" si="4"/>
        <v>-1.4675428217051256E-2</v>
      </c>
      <c r="L34" s="102">
        <f t="shared" si="4"/>
        <v>-1.4675428217051256E-2</v>
      </c>
      <c r="M34" s="102">
        <f t="shared" si="4"/>
        <v>-1.4675428217051256E-2</v>
      </c>
      <c r="N34" s="102">
        <f t="shared" si="4"/>
        <v>-1.4675428217051256E-2</v>
      </c>
      <c r="O34" s="102">
        <f t="shared" si="4"/>
        <v>-1.4675428217051256E-2</v>
      </c>
      <c r="P34" s="102">
        <f t="shared" si="4"/>
        <v>-1.4675428217051367E-2</v>
      </c>
      <c r="Q34" s="102">
        <f t="shared" si="4"/>
        <v>-1.4675428217051367E-2</v>
      </c>
      <c r="R34" s="102">
        <f t="shared" si="4"/>
        <v>-1.4675428217051367E-2</v>
      </c>
      <c r="S34" s="102">
        <f t="shared" si="4"/>
        <v>-1.4675428217051367E-2</v>
      </c>
      <c r="T34" s="102">
        <f t="shared" si="4"/>
        <v>-1.4675428217051367E-2</v>
      </c>
      <c r="U34" s="102">
        <f t="shared" si="4"/>
        <v>-1.4675428217051367E-2</v>
      </c>
      <c r="V34" s="102">
        <f t="shared" si="4"/>
        <v>-1.4675428217051367E-2</v>
      </c>
      <c r="W34" s="102">
        <f t="shared" si="4"/>
        <v>-1.4675428217051367E-2</v>
      </c>
      <c r="X34" s="102">
        <f t="shared" si="4"/>
        <v>-1.4675428217051478E-2</v>
      </c>
      <c r="Y34" s="102">
        <f t="shared" si="4"/>
        <v>-1.4675428217051478E-2</v>
      </c>
      <c r="Z34" s="102">
        <f t="shared" si="4"/>
        <v>-1.4675428217051589E-2</v>
      </c>
      <c r="AA34" s="102">
        <f t="shared" si="4"/>
        <v>-1.4675428217051589E-2</v>
      </c>
      <c r="AB34" s="102">
        <f t="shared" si="4"/>
        <v>-1.4675428217051589E-2</v>
      </c>
      <c r="AC34" s="102">
        <f t="shared" si="4"/>
        <v>-1.4675428217051589E-2</v>
      </c>
      <c r="AD34" s="102">
        <f t="shared" si="4"/>
        <v>-1.4675428217051589E-2</v>
      </c>
      <c r="AE34" s="102">
        <f t="shared" si="4"/>
        <v>-1.4675428217051589E-2</v>
      </c>
      <c r="AF34" s="102">
        <f t="shared" si="4"/>
        <v>-1.4675428217051478E-2</v>
      </c>
      <c r="AG34" s="102">
        <f t="shared" si="4"/>
        <v>-1.4675428217051478E-2</v>
      </c>
      <c r="AH34" s="102">
        <f t="shared" si="4"/>
        <v>-1.4675428217051478E-2</v>
      </c>
      <c r="AI34" s="102">
        <f t="shared" si="4"/>
        <v>-1.4675428217051478E-2</v>
      </c>
    </row>
    <row r="35" spans="1:35" x14ac:dyDescent="0.3">
      <c r="D35" s="100"/>
      <c r="E35" s="100"/>
      <c r="F35" s="100"/>
      <c r="G35" s="100"/>
      <c r="H35" s="100"/>
      <c r="I35" s="100"/>
      <c r="J35" s="100"/>
      <c r="K35" s="100"/>
    </row>
  </sheetData>
  <sheetProtection algorithmName="SHA-512" hashValue="oDvdz/EeiHp8+yM+cgN0u+vlklLVuLNuwoU9eRa6l0SEa7HmFllsOcWVYCdgKyKRwqmz/YBlz3HMka+9OXp0HQ==" saltValue="1GFpPv1HR6o9VuPGNXJP0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B9B9F-885D-421C-83E5-B6AF048025E1}">
  <dimension ref="A1:AQ65"/>
  <sheetViews>
    <sheetView workbookViewId="0">
      <selection activeCell="I16" sqref="I16"/>
    </sheetView>
  </sheetViews>
  <sheetFormatPr defaultColWidth="9.109375" defaultRowHeight="13.8" x14ac:dyDescent="0.3"/>
  <cols>
    <col min="1" max="1" width="17.5546875" style="2" customWidth="1"/>
    <col min="2" max="5" width="9.109375" style="2"/>
    <col min="6" max="6" width="11.33203125" style="2" customWidth="1"/>
    <col min="7" max="16384" width="9.109375" style="2"/>
  </cols>
  <sheetData>
    <row r="1" spans="1:43" ht="14.4" thickBot="1" x14ac:dyDescent="0.35"/>
    <row r="2" spans="1:43" ht="14.4" thickBot="1" x14ac:dyDescent="0.35">
      <c r="A2" s="185" t="s">
        <v>0</v>
      </c>
      <c r="B2" s="186" t="s">
        <v>1</v>
      </c>
      <c r="C2" s="186" t="s">
        <v>2</v>
      </c>
      <c r="D2" s="186" t="s">
        <v>3</v>
      </c>
      <c r="E2" s="186" t="s">
        <v>4</v>
      </c>
      <c r="F2" s="186" t="s">
        <v>6</v>
      </c>
      <c r="G2" s="187" t="s">
        <v>13</v>
      </c>
      <c r="K2" s="2" t="s">
        <v>175</v>
      </c>
    </row>
    <row r="3" spans="1:43" ht="14.4" thickBot="1" x14ac:dyDescent="0.35">
      <c r="A3" s="188" t="s">
        <v>5</v>
      </c>
      <c r="B3" s="189">
        <v>3.7999999999999999E-2</v>
      </c>
      <c r="C3" s="189">
        <v>3.5000000000000003E-2</v>
      </c>
      <c r="D3" s="189">
        <v>3.3000000000000002E-2</v>
      </c>
      <c r="E3" s="189">
        <v>3.2000000000000001E-2</v>
      </c>
      <c r="F3" s="189">
        <v>2.2000000000000002E-2</v>
      </c>
      <c r="K3" s="159">
        <v>4.2999999999999997E-2</v>
      </c>
      <c r="L3" s="2" t="s">
        <v>179</v>
      </c>
    </row>
    <row r="4" spans="1:43" ht="14.4" thickBot="1" x14ac:dyDescent="0.35"/>
    <row r="5" spans="1:43" ht="14.4" thickBot="1" x14ac:dyDescent="0.35">
      <c r="A5" s="190" t="s">
        <v>0</v>
      </c>
      <c r="B5" s="191" t="s">
        <v>7</v>
      </c>
      <c r="C5" s="191" t="s">
        <v>8</v>
      </c>
      <c r="D5" s="191" t="s">
        <v>9</v>
      </c>
      <c r="E5" s="191" t="s">
        <v>1</v>
      </c>
      <c r="F5" s="191" t="s">
        <v>2</v>
      </c>
      <c r="G5" s="191" t="s">
        <v>3</v>
      </c>
      <c r="H5" s="191" t="s">
        <v>4</v>
      </c>
      <c r="I5" s="191" t="s">
        <v>10</v>
      </c>
      <c r="O5" s="5"/>
      <c r="P5" s="5"/>
    </row>
    <row r="6" spans="1:43" ht="14.4" thickBot="1" x14ac:dyDescent="0.35">
      <c r="A6" s="192" t="s">
        <v>11</v>
      </c>
      <c r="B6" s="160"/>
      <c r="C6" s="193">
        <v>4.2000000000000003E-2</v>
      </c>
      <c r="D6" s="193">
        <v>-9.0200000000000002E-2</v>
      </c>
      <c r="E6" s="193">
        <v>2.75E-2</v>
      </c>
      <c r="F6" s="193">
        <v>4.1700000000000001E-2</v>
      </c>
      <c r="G6" s="193">
        <v>5.0799999999999998E-2</v>
      </c>
      <c r="H6" s="193">
        <v>6.3700000000000007E-2</v>
      </c>
      <c r="I6" s="193">
        <v>7.0999999999999994E-2</v>
      </c>
      <c r="O6" s="5"/>
      <c r="P6" s="194"/>
    </row>
    <row r="7" spans="1:43" ht="14.4" thickBot="1" x14ac:dyDescent="0.35">
      <c r="A7" s="192" t="s">
        <v>12</v>
      </c>
      <c r="B7" s="193">
        <v>3.1E-2</v>
      </c>
      <c r="C7" s="193">
        <v>0.127</v>
      </c>
      <c r="D7" s="193">
        <v>6.8000000000000005E-2</v>
      </c>
      <c r="E7" s="193">
        <v>2.8799999999999999E-2</v>
      </c>
      <c r="F7" s="193">
        <v>2.76E-2</v>
      </c>
      <c r="G7" s="193">
        <v>2.87E-2</v>
      </c>
      <c r="H7" s="193">
        <v>2.98E-2</v>
      </c>
      <c r="I7" s="193">
        <v>3.1E-2</v>
      </c>
      <c r="Q7" s="195"/>
      <c r="R7" s="195"/>
      <c r="T7" s="159"/>
    </row>
    <row r="8" spans="1:43" ht="14.4" x14ac:dyDescent="0.3">
      <c r="A8" s="187" t="s">
        <v>13</v>
      </c>
      <c r="B8" s="1"/>
      <c r="C8" s="1"/>
      <c r="D8" s="1"/>
      <c r="E8" s="1"/>
      <c r="F8" s="1"/>
      <c r="G8" s="1"/>
      <c r="H8" s="1"/>
      <c r="I8" s="1"/>
      <c r="Q8" s="195"/>
      <c r="R8" s="195"/>
      <c r="T8" s="161"/>
    </row>
    <row r="9" spans="1:43" ht="14.4" x14ac:dyDescent="0.3">
      <c r="A9" s="187"/>
      <c r="B9" s="1"/>
      <c r="C9" s="1"/>
      <c r="D9" s="1"/>
      <c r="E9" s="1"/>
      <c r="F9" s="1"/>
      <c r="G9" s="1"/>
      <c r="H9" s="1"/>
      <c r="I9" s="1"/>
      <c r="Q9" s="195"/>
      <c r="R9" s="195"/>
      <c r="T9" s="161"/>
    </row>
    <row r="10" spans="1:43" ht="14.4" x14ac:dyDescent="0.3">
      <c r="A10" s="196" t="s">
        <v>135</v>
      </c>
      <c r="B10" s="197">
        <v>30000</v>
      </c>
      <c r="C10" s="196" t="s">
        <v>136</v>
      </c>
      <c r="D10" s="162" t="s">
        <v>176</v>
      </c>
      <c r="E10" s="162" t="s">
        <v>177</v>
      </c>
      <c r="F10" s="162" t="s">
        <v>137</v>
      </c>
      <c r="G10" s="162" t="s">
        <v>138</v>
      </c>
      <c r="H10" s="162" t="s">
        <v>139</v>
      </c>
      <c r="I10" s="162" t="s">
        <v>140</v>
      </c>
      <c r="J10" s="162" t="s">
        <v>141</v>
      </c>
      <c r="K10" s="162" t="s">
        <v>142</v>
      </c>
      <c r="L10" s="162" t="s">
        <v>143</v>
      </c>
      <c r="M10" s="162" t="s">
        <v>144</v>
      </c>
      <c r="N10" s="162" t="s">
        <v>145</v>
      </c>
      <c r="O10" s="162" t="s">
        <v>146</v>
      </c>
      <c r="P10" s="162" t="s">
        <v>147</v>
      </c>
      <c r="Q10" s="162" t="s">
        <v>148</v>
      </c>
      <c r="R10" s="162" t="s">
        <v>149</v>
      </c>
      <c r="S10" s="162" t="s">
        <v>150</v>
      </c>
      <c r="T10" s="162" t="s">
        <v>151</v>
      </c>
      <c r="U10" s="162" t="s">
        <v>152</v>
      </c>
      <c r="V10" s="162" t="s">
        <v>153</v>
      </c>
      <c r="W10" s="162" t="s">
        <v>154</v>
      </c>
      <c r="X10" s="162" t="s">
        <v>155</v>
      </c>
      <c r="Y10" s="162" t="s">
        <v>156</v>
      </c>
      <c r="Z10" s="162" t="s">
        <v>157</v>
      </c>
      <c r="AA10" s="162" t="s">
        <v>158</v>
      </c>
      <c r="AB10" s="162" t="s">
        <v>159</v>
      </c>
      <c r="AC10" s="162" t="s">
        <v>160</v>
      </c>
      <c r="AD10" s="162" t="s">
        <v>161</v>
      </c>
      <c r="AE10" s="162" t="s">
        <v>162</v>
      </c>
      <c r="AF10" s="162" t="s">
        <v>163</v>
      </c>
      <c r="AG10" s="162" t="s">
        <v>164</v>
      </c>
      <c r="AH10" s="162" t="s">
        <v>165</v>
      </c>
      <c r="AI10" s="162" t="s">
        <v>166</v>
      </c>
      <c r="AJ10" s="162" t="s">
        <v>167</v>
      </c>
      <c r="AK10" s="162" t="s">
        <v>168</v>
      </c>
      <c r="AL10" s="162" t="s">
        <v>169</v>
      </c>
      <c r="AM10" s="162" t="s">
        <v>170</v>
      </c>
      <c r="AN10" s="162" t="s">
        <v>171</v>
      </c>
      <c r="AO10" s="162" t="s">
        <v>172</v>
      </c>
      <c r="AP10" s="162" t="s">
        <v>173</v>
      </c>
      <c r="AQ10" s="162" t="s">
        <v>174</v>
      </c>
    </row>
    <row r="11" spans="1:43" ht="14.4" x14ac:dyDescent="0.3">
      <c r="A11" s="196" t="s">
        <v>180</v>
      </c>
      <c r="B11" s="197"/>
      <c r="C11" s="196"/>
      <c r="D11" s="163">
        <f>IF(B12=1,K3,"0")</f>
        <v>4.2999999999999997E-2</v>
      </c>
      <c r="E11" s="163">
        <f>IF($B$12=1,B3,0)</f>
        <v>3.7999999999999999E-2</v>
      </c>
      <c r="F11" s="163">
        <f>IF($B$12=1,C3,0)</f>
        <v>3.5000000000000003E-2</v>
      </c>
      <c r="G11" s="163">
        <f>IF($B$12=1,D3,0)</f>
        <v>3.3000000000000002E-2</v>
      </c>
      <c r="H11" s="163">
        <f>IF($B$12=1,E3,0)</f>
        <v>3.2000000000000001E-2</v>
      </c>
      <c r="I11" s="163">
        <f>IF($B$12=1,F3,0)</f>
        <v>2.2000000000000002E-2</v>
      </c>
      <c r="J11" s="198">
        <f>I11</f>
        <v>2.2000000000000002E-2</v>
      </c>
      <c r="K11" s="198">
        <f t="shared" ref="K11:AQ11" si="0">J11</f>
        <v>2.2000000000000002E-2</v>
      </c>
      <c r="L11" s="198">
        <f t="shared" si="0"/>
        <v>2.2000000000000002E-2</v>
      </c>
      <c r="M11" s="198">
        <f t="shared" si="0"/>
        <v>2.2000000000000002E-2</v>
      </c>
      <c r="N11" s="198">
        <f t="shared" si="0"/>
        <v>2.2000000000000002E-2</v>
      </c>
      <c r="O11" s="198">
        <f t="shared" si="0"/>
        <v>2.2000000000000002E-2</v>
      </c>
      <c r="P11" s="198">
        <f t="shared" si="0"/>
        <v>2.2000000000000002E-2</v>
      </c>
      <c r="Q11" s="198">
        <f t="shared" si="0"/>
        <v>2.2000000000000002E-2</v>
      </c>
      <c r="R11" s="198">
        <f t="shared" si="0"/>
        <v>2.2000000000000002E-2</v>
      </c>
      <c r="S11" s="198">
        <f t="shared" si="0"/>
        <v>2.2000000000000002E-2</v>
      </c>
      <c r="T11" s="198">
        <f t="shared" si="0"/>
        <v>2.2000000000000002E-2</v>
      </c>
      <c r="U11" s="198">
        <f t="shared" si="0"/>
        <v>2.2000000000000002E-2</v>
      </c>
      <c r="V11" s="198">
        <f t="shared" si="0"/>
        <v>2.2000000000000002E-2</v>
      </c>
      <c r="W11" s="198">
        <f t="shared" si="0"/>
        <v>2.2000000000000002E-2</v>
      </c>
      <c r="X11" s="198">
        <f t="shared" si="0"/>
        <v>2.2000000000000002E-2</v>
      </c>
      <c r="Y11" s="198">
        <f t="shared" si="0"/>
        <v>2.2000000000000002E-2</v>
      </c>
      <c r="Z11" s="198">
        <f t="shared" si="0"/>
        <v>2.2000000000000002E-2</v>
      </c>
      <c r="AA11" s="198">
        <f t="shared" si="0"/>
        <v>2.2000000000000002E-2</v>
      </c>
      <c r="AB11" s="198">
        <f t="shared" si="0"/>
        <v>2.2000000000000002E-2</v>
      </c>
      <c r="AC11" s="198">
        <f t="shared" si="0"/>
        <v>2.2000000000000002E-2</v>
      </c>
      <c r="AD11" s="198">
        <f t="shared" si="0"/>
        <v>2.2000000000000002E-2</v>
      </c>
      <c r="AE11" s="198">
        <f t="shared" si="0"/>
        <v>2.2000000000000002E-2</v>
      </c>
      <c r="AF11" s="198">
        <f t="shared" si="0"/>
        <v>2.2000000000000002E-2</v>
      </c>
      <c r="AG11" s="198">
        <f t="shared" si="0"/>
        <v>2.2000000000000002E-2</v>
      </c>
      <c r="AH11" s="198">
        <f t="shared" si="0"/>
        <v>2.2000000000000002E-2</v>
      </c>
      <c r="AI11" s="198">
        <f t="shared" si="0"/>
        <v>2.2000000000000002E-2</v>
      </c>
      <c r="AJ11" s="198">
        <f t="shared" si="0"/>
        <v>2.2000000000000002E-2</v>
      </c>
      <c r="AK11" s="198">
        <f t="shared" si="0"/>
        <v>2.2000000000000002E-2</v>
      </c>
      <c r="AL11" s="198">
        <f t="shared" si="0"/>
        <v>2.2000000000000002E-2</v>
      </c>
      <c r="AM11" s="198">
        <f t="shared" si="0"/>
        <v>2.2000000000000002E-2</v>
      </c>
      <c r="AN11" s="198">
        <f t="shared" si="0"/>
        <v>2.2000000000000002E-2</v>
      </c>
      <c r="AO11" s="198">
        <f t="shared" si="0"/>
        <v>2.2000000000000002E-2</v>
      </c>
      <c r="AP11" s="198">
        <f t="shared" si="0"/>
        <v>2.2000000000000002E-2</v>
      </c>
      <c r="AQ11" s="198">
        <f t="shared" si="0"/>
        <v>2.2000000000000002E-2</v>
      </c>
    </row>
    <row r="12" spans="1:43" ht="14.4" x14ac:dyDescent="0.3">
      <c r="A12" s="196" t="s">
        <v>178</v>
      </c>
      <c r="B12" s="184">
        <v>1</v>
      </c>
      <c r="C12" s="164"/>
      <c r="D12" s="165">
        <f>B10*(1+D11)</f>
        <v>31289.999999999996</v>
      </c>
      <c r="E12" s="165">
        <f>D12*(1+E11)</f>
        <v>32479.019999999997</v>
      </c>
      <c r="F12" s="165">
        <f>E12*(1+F11)</f>
        <v>33615.785699999993</v>
      </c>
      <c r="G12" s="165">
        <f t="shared" ref="G12:AQ12" si="1">F12*(1+G11)</f>
        <v>34725.106628099988</v>
      </c>
      <c r="H12" s="165">
        <f t="shared" si="1"/>
        <v>35836.310040199191</v>
      </c>
      <c r="I12" s="165">
        <f t="shared" si="1"/>
        <v>36624.708861083571</v>
      </c>
      <c r="J12" s="165">
        <f t="shared" si="1"/>
        <v>37430.452456027408</v>
      </c>
      <c r="K12" s="165">
        <f t="shared" si="1"/>
        <v>38253.922410060011</v>
      </c>
      <c r="L12" s="165">
        <f t="shared" si="1"/>
        <v>39095.50870308133</v>
      </c>
      <c r="M12" s="165">
        <f t="shared" si="1"/>
        <v>39955.609894549118</v>
      </c>
      <c r="N12" s="165">
        <f t="shared" si="1"/>
        <v>40834.633312229198</v>
      </c>
      <c r="O12" s="165">
        <f t="shared" si="1"/>
        <v>41732.995245098238</v>
      </c>
      <c r="P12" s="165">
        <f t="shared" si="1"/>
        <v>42651.121140490402</v>
      </c>
      <c r="Q12" s="165">
        <f t="shared" si="1"/>
        <v>43589.445805581192</v>
      </c>
      <c r="R12" s="165">
        <f t="shared" si="1"/>
        <v>44548.413613303979</v>
      </c>
      <c r="S12" s="165">
        <f t="shared" si="1"/>
        <v>45528.47871279667</v>
      </c>
      <c r="T12" s="165">
        <f t="shared" si="1"/>
        <v>46530.105244478196</v>
      </c>
      <c r="U12" s="165">
        <f t="shared" si="1"/>
        <v>47553.767559856715</v>
      </c>
      <c r="V12" s="165">
        <f t="shared" si="1"/>
        <v>48599.950446173563</v>
      </c>
      <c r="W12" s="165">
        <f t="shared" si="1"/>
        <v>49669.149355989386</v>
      </c>
      <c r="X12" s="165">
        <f t="shared" si="1"/>
        <v>50761.870641821151</v>
      </c>
      <c r="Y12" s="165">
        <f t="shared" si="1"/>
        <v>51878.631795941219</v>
      </c>
      <c r="Z12" s="165">
        <f t="shared" si="1"/>
        <v>53019.96169545193</v>
      </c>
      <c r="AA12" s="165">
        <f t="shared" si="1"/>
        <v>54186.400852751874</v>
      </c>
      <c r="AB12" s="165">
        <f t="shared" si="1"/>
        <v>55378.501671512415</v>
      </c>
      <c r="AC12" s="165">
        <f t="shared" si="1"/>
        <v>56596.828708285691</v>
      </c>
      <c r="AD12" s="165">
        <f t="shared" si="1"/>
        <v>57841.958939867975</v>
      </c>
      <c r="AE12" s="165">
        <f t="shared" si="1"/>
        <v>59114.482036545072</v>
      </c>
      <c r="AF12" s="165">
        <f t="shared" si="1"/>
        <v>60415.000641349063</v>
      </c>
      <c r="AG12" s="165">
        <f t="shared" si="1"/>
        <v>61744.130655458743</v>
      </c>
      <c r="AH12" s="165">
        <f t="shared" si="1"/>
        <v>63102.501529878835</v>
      </c>
      <c r="AI12" s="165">
        <f t="shared" si="1"/>
        <v>64490.756563536168</v>
      </c>
      <c r="AJ12" s="165">
        <f t="shared" si="1"/>
        <v>65909.553207933961</v>
      </c>
      <c r="AK12" s="165">
        <f t="shared" si="1"/>
        <v>67359.563378508508</v>
      </c>
      <c r="AL12" s="165">
        <f t="shared" si="1"/>
        <v>68841.473772835699</v>
      </c>
      <c r="AM12" s="165">
        <f t="shared" si="1"/>
        <v>70355.986195838093</v>
      </c>
      <c r="AN12" s="165">
        <f t="shared" si="1"/>
        <v>71903.81789214653</v>
      </c>
      <c r="AO12" s="165">
        <f t="shared" si="1"/>
        <v>73485.701885773757</v>
      </c>
      <c r="AP12" s="165">
        <f t="shared" si="1"/>
        <v>75102.387327260774</v>
      </c>
      <c r="AQ12" s="165">
        <f t="shared" si="1"/>
        <v>76754.639848460516</v>
      </c>
    </row>
    <row r="13" spans="1:43" ht="14.4" x14ac:dyDescent="0.3">
      <c r="A13" s="187"/>
      <c r="B13" s="1"/>
      <c r="C13" s="1"/>
      <c r="D13" s="1"/>
      <c r="E13" s="1"/>
      <c r="F13" s="1"/>
      <c r="G13" s="1"/>
      <c r="H13" s="1"/>
      <c r="I13" s="1"/>
      <c r="Q13" s="195"/>
      <c r="R13" s="195"/>
      <c r="T13" s="161"/>
    </row>
    <row r="14" spans="1:43" x14ac:dyDescent="0.3">
      <c r="T14" s="6"/>
    </row>
    <row r="15" spans="1:43" ht="14.4" thickBot="1" x14ac:dyDescent="0.35"/>
    <row r="16" spans="1:43" ht="31.2" thickBot="1" x14ac:dyDescent="0.35">
      <c r="A16" s="1"/>
      <c r="B16" s="166" t="s">
        <v>14</v>
      </c>
      <c r="C16" s="167" t="s">
        <v>15</v>
      </c>
      <c r="D16" s="168" t="s">
        <v>16</v>
      </c>
      <c r="E16" s="167" t="s">
        <v>17</v>
      </c>
      <c r="F16" s="169" t="s">
        <v>18</v>
      </c>
      <c r="G16" s="1" t="s">
        <v>234</v>
      </c>
    </row>
    <row r="17" spans="1:14" ht="14.4" x14ac:dyDescent="0.3">
      <c r="A17" s="1" t="s">
        <v>47</v>
      </c>
      <c r="B17" s="166" t="s">
        <v>42</v>
      </c>
      <c r="C17" s="167" t="s">
        <v>43</v>
      </c>
      <c r="D17" s="168" t="s">
        <v>44</v>
      </c>
      <c r="E17" s="167" t="s">
        <v>45</v>
      </c>
      <c r="F17" s="169" t="s">
        <v>46</v>
      </c>
      <c r="G17" s="1"/>
    </row>
    <row r="18" spans="1:14" ht="14.4" x14ac:dyDescent="0.3">
      <c r="A18" s="199" t="s">
        <v>19</v>
      </c>
      <c r="B18" s="170">
        <v>85</v>
      </c>
      <c r="C18" s="171">
        <v>183</v>
      </c>
      <c r="D18" s="171">
        <v>500</v>
      </c>
      <c r="E18" s="171">
        <v>1450</v>
      </c>
      <c r="F18" s="172">
        <v>1688</v>
      </c>
      <c r="G18" s="1"/>
      <c r="H18" s="1"/>
      <c r="I18" s="1"/>
      <c r="J18" s="1"/>
      <c r="K18" s="1"/>
      <c r="L18" s="1"/>
    </row>
    <row r="19" spans="1:14" ht="14.4" x14ac:dyDescent="0.3">
      <c r="A19" s="200" t="s">
        <v>20</v>
      </c>
      <c r="B19" s="170">
        <f>B20</f>
        <v>75</v>
      </c>
      <c r="C19" s="170">
        <f t="shared" ref="C19:F19" si="2">C20</f>
        <v>130</v>
      </c>
      <c r="D19" s="170">
        <f t="shared" si="2"/>
        <v>230</v>
      </c>
      <c r="E19" s="170">
        <f t="shared" si="2"/>
        <v>750</v>
      </c>
      <c r="F19" s="170">
        <f t="shared" si="2"/>
        <v>1000</v>
      </c>
      <c r="G19" s="1" t="s">
        <v>345</v>
      </c>
      <c r="H19" s="173"/>
      <c r="I19" s="173"/>
      <c r="J19" s="173"/>
      <c r="K19" s="173"/>
      <c r="L19" s="1"/>
    </row>
    <row r="20" spans="1:14" ht="14.4" x14ac:dyDescent="0.3">
      <c r="A20" s="200" t="s">
        <v>22</v>
      </c>
      <c r="B20" s="170">
        <v>75</v>
      </c>
      <c r="C20" s="171">
        <v>130</v>
      </c>
      <c r="D20" s="171">
        <v>230</v>
      </c>
      <c r="E20" s="171">
        <v>750</v>
      </c>
      <c r="F20" s="172">
        <v>1000</v>
      </c>
      <c r="K20" s="173"/>
    </row>
    <row r="21" spans="1:14" ht="14.4" x14ac:dyDescent="0.3">
      <c r="A21" s="200" t="s">
        <v>23</v>
      </c>
      <c r="B21" s="170">
        <v>85</v>
      </c>
      <c r="C21" s="171">
        <f>C22</f>
        <v>225</v>
      </c>
      <c r="D21" s="171">
        <f>D22</f>
        <v>400</v>
      </c>
      <c r="E21" s="171">
        <f>E22</f>
        <v>1200</v>
      </c>
      <c r="F21" s="171">
        <f>F22</f>
        <v>1350</v>
      </c>
      <c r="G21" s="1" t="s">
        <v>119</v>
      </c>
      <c r="H21" s="1"/>
      <c r="I21" s="1"/>
      <c r="J21" s="1"/>
      <c r="K21" s="1"/>
      <c r="L21" s="1"/>
    </row>
    <row r="22" spans="1:14" ht="14.4" x14ac:dyDescent="0.3">
      <c r="A22" s="200" t="s">
        <v>24</v>
      </c>
      <c r="B22" s="170">
        <f>B18</f>
        <v>85</v>
      </c>
      <c r="C22" s="171">
        <v>225</v>
      </c>
      <c r="D22" s="171">
        <v>400</v>
      </c>
      <c r="E22" s="171">
        <v>1200</v>
      </c>
      <c r="F22" s="172">
        <v>1350</v>
      </c>
      <c r="G22" s="1" t="s">
        <v>101</v>
      </c>
      <c r="H22" s="1"/>
      <c r="I22" s="1"/>
      <c r="J22" s="1"/>
      <c r="K22" s="1"/>
      <c r="L22" s="174"/>
      <c r="M22" s="3"/>
      <c r="N22" s="3"/>
    </row>
    <row r="23" spans="1:14" ht="14.4" x14ac:dyDescent="0.3">
      <c r="A23" s="200" t="s">
        <v>25</v>
      </c>
      <c r="B23" s="170" t="s">
        <v>21</v>
      </c>
      <c r="C23" s="171">
        <f>C26/D26*D23</f>
        <v>444.91525423728814</v>
      </c>
      <c r="D23" s="171">
        <v>700</v>
      </c>
      <c r="E23" s="171">
        <v>2000</v>
      </c>
      <c r="F23" s="172">
        <v>2250</v>
      </c>
      <c r="G23" s="1" t="s">
        <v>129</v>
      </c>
      <c r="H23" s="1"/>
      <c r="I23" s="1"/>
      <c r="J23" s="1"/>
      <c r="K23" s="1"/>
      <c r="L23" s="1"/>
    </row>
    <row r="24" spans="1:14" ht="27.6" x14ac:dyDescent="0.3">
      <c r="A24" s="199" t="s">
        <v>26</v>
      </c>
      <c r="B24" s="170">
        <v>200</v>
      </c>
      <c r="C24" s="171">
        <v>313</v>
      </c>
      <c r="D24" s="171">
        <v>500</v>
      </c>
      <c r="E24" s="171">
        <v>1425</v>
      </c>
      <c r="F24" s="172">
        <v>1638</v>
      </c>
      <c r="G24" s="1"/>
      <c r="H24" s="1"/>
      <c r="I24" s="1"/>
      <c r="J24" s="1"/>
      <c r="K24" s="1"/>
      <c r="L24" s="1"/>
    </row>
    <row r="25" spans="1:14" ht="14.4" x14ac:dyDescent="0.3">
      <c r="A25" s="200" t="s">
        <v>27</v>
      </c>
      <c r="B25" s="170">
        <v>210</v>
      </c>
      <c r="C25" s="171">
        <v>260</v>
      </c>
      <c r="D25" s="171">
        <v>500</v>
      </c>
      <c r="E25" s="171">
        <v>1425</v>
      </c>
      <c r="F25" s="172">
        <v>1575</v>
      </c>
      <c r="G25" s="1"/>
      <c r="H25" s="1"/>
      <c r="I25" s="1"/>
      <c r="J25" s="173"/>
      <c r="K25" s="173"/>
      <c r="L25" s="1"/>
    </row>
    <row r="26" spans="1:14" ht="14.4" x14ac:dyDescent="0.3">
      <c r="A26" s="200" t="s">
        <v>28</v>
      </c>
      <c r="B26" s="170">
        <v>250</v>
      </c>
      <c r="C26" s="171">
        <v>375</v>
      </c>
      <c r="D26" s="171">
        <v>590</v>
      </c>
      <c r="E26" s="171">
        <v>1550</v>
      </c>
      <c r="F26" s="172">
        <v>1725</v>
      </c>
      <c r="G26" s="1"/>
      <c r="H26" s="1"/>
      <c r="I26" s="1"/>
      <c r="J26" s="1"/>
      <c r="K26" s="1"/>
      <c r="L26" s="1"/>
    </row>
    <row r="27" spans="1:14" ht="27.6" x14ac:dyDescent="0.3">
      <c r="A27" s="200" t="s">
        <v>29</v>
      </c>
      <c r="B27" s="170">
        <v>140</v>
      </c>
      <c r="C27" s="171">
        <v>275</v>
      </c>
      <c r="D27" s="171">
        <v>410</v>
      </c>
      <c r="E27" s="171">
        <v>1325</v>
      </c>
      <c r="F27" s="172">
        <v>1600</v>
      </c>
      <c r="G27" s="1"/>
      <c r="H27" s="1"/>
      <c r="I27" s="1"/>
      <c r="J27" s="1"/>
      <c r="K27" s="1"/>
      <c r="L27" s="1"/>
    </row>
    <row r="28" spans="1:14" ht="14.4" x14ac:dyDescent="0.3">
      <c r="A28" s="200" t="s">
        <v>30</v>
      </c>
      <c r="B28" s="170">
        <f>B38</f>
        <v>95</v>
      </c>
      <c r="C28" s="170">
        <f t="shared" ref="C28:F28" si="3">C38</f>
        <v>130</v>
      </c>
      <c r="D28" s="170">
        <f t="shared" si="3"/>
        <v>215</v>
      </c>
      <c r="E28" s="170">
        <f t="shared" si="3"/>
        <v>900</v>
      </c>
      <c r="F28" s="170">
        <f t="shared" si="3"/>
        <v>1000</v>
      </c>
      <c r="G28" s="1" t="s">
        <v>102</v>
      </c>
      <c r="H28" s="1"/>
      <c r="I28" s="1"/>
      <c r="J28" s="1"/>
      <c r="K28" s="1"/>
      <c r="L28" s="1"/>
    </row>
    <row r="29" spans="1:14" ht="14.4" x14ac:dyDescent="0.3">
      <c r="A29" s="199" t="s">
        <v>31</v>
      </c>
      <c r="B29" s="170" t="s">
        <v>21</v>
      </c>
      <c r="C29" s="171" t="s">
        <v>21</v>
      </c>
      <c r="D29" s="171">
        <v>613</v>
      </c>
      <c r="E29" s="171">
        <v>1650</v>
      </c>
      <c r="F29" s="172">
        <v>1850</v>
      </c>
      <c r="G29" s="1"/>
      <c r="H29" s="1"/>
      <c r="I29" s="1"/>
      <c r="J29" s="1"/>
      <c r="K29" s="1"/>
      <c r="L29" s="1"/>
    </row>
    <row r="30" spans="1:14" ht="14.4" x14ac:dyDescent="0.3">
      <c r="A30" s="200" t="s">
        <v>32</v>
      </c>
      <c r="B30" s="170" t="s">
        <v>21</v>
      </c>
      <c r="C30" s="171" t="s">
        <v>21</v>
      </c>
      <c r="D30" s="171">
        <v>600</v>
      </c>
      <c r="E30" s="171">
        <v>1650</v>
      </c>
      <c r="F30" s="172">
        <v>1850</v>
      </c>
      <c r="G30" s="1" t="s">
        <v>104</v>
      </c>
      <c r="H30" s="1"/>
      <c r="I30" s="1"/>
      <c r="J30" s="1"/>
      <c r="K30" s="1"/>
      <c r="L30" s="1"/>
    </row>
    <row r="31" spans="1:14" ht="14.4" x14ac:dyDescent="0.3">
      <c r="A31" s="200" t="s">
        <v>33</v>
      </c>
      <c r="B31" s="170" t="s">
        <v>21</v>
      </c>
      <c r="C31" s="171" t="s">
        <v>21</v>
      </c>
      <c r="D31" s="171">
        <v>675</v>
      </c>
      <c r="E31" s="171">
        <v>1550</v>
      </c>
      <c r="F31" s="172">
        <v>1925</v>
      </c>
      <c r="G31" s="1" t="s">
        <v>104</v>
      </c>
      <c r="H31" s="1"/>
      <c r="I31" s="1"/>
      <c r="J31" s="1" t="s">
        <v>106</v>
      </c>
      <c r="K31" s="1" t="s">
        <v>107</v>
      </c>
      <c r="L31" s="1"/>
    </row>
    <row r="32" spans="1:14" ht="14.4" x14ac:dyDescent="0.3">
      <c r="A32" s="200" t="s">
        <v>34</v>
      </c>
      <c r="B32" s="170">
        <f>B38/D38*D32</f>
        <v>121.51162790697674</v>
      </c>
      <c r="C32" s="171">
        <f>C38/D38*D32</f>
        <v>166.27906976744185</v>
      </c>
      <c r="D32" s="171">
        <v>275</v>
      </c>
      <c r="E32" s="171">
        <f>L32</f>
        <v>1014.3313953488373</v>
      </c>
      <c r="F32" s="172">
        <v>975</v>
      </c>
      <c r="G32" s="1" t="s">
        <v>105</v>
      </c>
      <c r="H32" s="1"/>
      <c r="I32" s="1"/>
      <c r="J32" s="173">
        <f>E38/D38*D32</f>
        <v>1151.1627906976746</v>
      </c>
      <c r="K32" s="173">
        <f>E38/F38*F32</f>
        <v>877.5</v>
      </c>
      <c r="L32" s="173">
        <f>AVERAGE(J32:K32)</f>
        <v>1014.3313953488373</v>
      </c>
    </row>
    <row r="33" spans="1:12" ht="14.4" x14ac:dyDescent="0.3">
      <c r="A33" s="199" t="s">
        <v>35</v>
      </c>
      <c r="B33" s="170">
        <v>120</v>
      </c>
      <c r="C33" s="171">
        <v>220</v>
      </c>
      <c r="D33" s="171">
        <v>318</v>
      </c>
      <c r="E33" s="171">
        <v>1013</v>
      </c>
      <c r="F33" s="172">
        <v>1225</v>
      </c>
      <c r="G33" s="1"/>
      <c r="H33" s="1"/>
      <c r="I33" s="1"/>
      <c r="J33" s="1"/>
      <c r="K33" s="1"/>
      <c r="L33" s="1"/>
    </row>
    <row r="34" spans="1:12" ht="14.4" x14ac:dyDescent="0.3">
      <c r="A34" s="200" t="s">
        <v>36</v>
      </c>
      <c r="B34" s="171">
        <f>B35/C35*C34</f>
        <v>126.11940298507461</v>
      </c>
      <c r="C34" s="171">
        <f>C35/D35*D34</f>
        <v>232.83582089552237</v>
      </c>
      <c r="D34" s="171">
        <v>325</v>
      </c>
      <c r="E34" s="171">
        <v>1075</v>
      </c>
      <c r="F34" s="172">
        <v>1300</v>
      </c>
      <c r="G34" s="1" t="s">
        <v>128</v>
      </c>
      <c r="H34" s="1"/>
      <c r="I34" s="1"/>
      <c r="J34" s="1"/>
      <c r="K34" s="1"/>
      <c r="L34" s="1"/>
    </row>
    <row r="35" spans="1:12" ht="14.4" x14ac:dyDescent="0.3">
      <c r="A35" s="200" t="s">
        <v>37</v>
      </c>
      <c r="B35" s="170">
        <v>130</v>
      </c>
      <c r="C35" s="171">
        <v>240</v>
      </c>
      <c r="D35" s="171">
        <v>335</v>
      </c>
      <c r="E35" s="171">
        <v>1000</v>
      </c>
      <c r="F35" s="172">
        <v>1300</v>
      </c>
      <c r="G35" s="1"/>
      <c r="H35" s="1"/>
      <c r="I35" s="1"/>
      <c r="J35" s="1"/>
      <c r="K35" s="1"/>
      <c r="L35" s="1"/>
    </row>
    <row r="36" spans="1:12" ht="14.4" x14ac:dyDescent="0.3">
      <c r="A36" s="200" t="s">
        <v>38</v>
      </c>
      <c r="B36" s="170" t="s">
        <v>21</v>
      </c>
      <c r="C36" s="171" t="s">
        <v>21</v>
      </c>
      <c r="D36" s="171" t="s">
        <v>21</v>
      </c>
      <c r="E36" s="171" t="s">
        <v>21</v>
      </c>
      <c r="F36" s="172" t="s">
        <v>21</v>
      </c>
      <c r="G36" s="1" t="s">
        <v>103</v>
      </c>
      <c r="H36" s="1"/>
      <c r="I36" s="1"/>
      <c r="J36" s="1"/>
      <c r="K36" s="1"/>
      <c r="L36" s="1"/>
    </row>
    <row r="37" spans="1:12" ht="14.4" x14ac:dyDescent="0.3">
      <c r="A37" s="200" t="s">
        <v>39</v>
      </c>
      <c r="B37" s="170">
        <f>B35/C35*C37</f>
        <v>146.25</v>
      </c>
      <c r="C37" s="171">
        <v>270</v>
      </c>
      <c r="D37" s="171">
        <v>385</v>
      </c>
      <c r="E37" s="171">
        <v>1150</v>
      </c>
      <c r="F37" s="172">
        <v>1625</v>
      </c>
      <c r="G37" s="1" t="s">
        <v>108</v>
      </c>
      <c r="H37" s="1"/>
      <c r="I37" s="1"/>
      <c r="J37" s="1"/>
      <c r="K37" s="1"/>
      <c r="L37" s="1"/>
    </row>
    <row r="38" spans="1:12" ht="14.4" x14ac:dyDescent="0.3">
      <c r="A38" s="200" t="s">
        <v>40</v>
      </c>
      <c r="B38" s="170">
        <v>95</v>
      </c>
      <c r="C38" s="171">
        <v>130</v>
      </c>
      <c r="D38" s="171">
        <v>215</v>
      </c>
      <c r="E38" s="171">
        <v>900</v>
      </c>
      <c r="F38" s="172">
        <v>1000</v>
      </c>
      <c r="G38" s="1" t="s">
        <v>110</v>
      </c>
      <c r="H38" s="175">
        <f>AVERAGE(E38:F38)</f>
        <v>950</v>
      </c>
      <c r="I38" s="1"/>
      <c r="J38" s="1"/>
      <c r="K38" s="1"/>
      <c r="L38" s="1"/>
    </row>
    <row r="39" spans="1:12" ht="28.2" thickBot="1" x14ac:dyDescent="0.35">
      <c r="A39" s="200" t="s">
        <v>41</v>
      </c>
      <c r="B39" s="176">
        <f t="shared" ref="B39:C39" si="4">B38/$H$38*$H$39</f>
        <v>87.5</v>
      </c>
      <c r="C39" s="176">
        <f t="shared" si="4"/>
        <v>119.73684210526316</v>
      </c>
      <c r="D39" s="176">
        <f>D38/$H$38*$H$39</f>
        <v>198.0263157894737</v>
      </c>
      <c r="E39" s="176">
        <v>750</v>
      </c>
      <c r="F39" s="177">
        <v>1000</v>
      </c>
      <c r="G39" s="1" t="s">
        <v>109</v>
      </c>
      <c r="H39" s="175">
        <f>AVERAGE(E39:F39)</f>
        <v>875</v>
      </c>
      <c r="I39" s="1"/>
      <c r="J39" s="1"/>
      <c r="K39" s="1"/>
      <c r="L39" s="1"/>
    </row>
    <row r="40" spans="1:12" ht="15" thickBot="1" x14ac:dyDescent="0.35">
      <c r="A40" s="200"/>
      <c r="B40" s="178"/>
      <c r="C40" s="179"/>
      <c r="D40" s="179"/>
      <c r="E40" s="179"/>
      <c r="F40" s="180"/>
      <c r="G40" s="1"/>
      <c r="H40" s="175"/>
      <c r="I40" s="1"/>
      <c r="J40" s="1"/>
      <c r="K40" s="1"/>
      <c r="L40" s="1"/>
    </row>
    <row r="41" spans="1:12" ht="14.4" thickBot="1" x14ac:dyDescent="0.35">
      <c r="A41" s="2" t="s">
        <v>100</v>
      </c>
      <c r="B41" s="181" t="s">
        <v>42</v>
      </c>
      <c r="C41" s="182" t="s">
        <v>43</v>
      </c>
      <c r="D41" s="182" t="s">
        <v>44</v>
      </c>
      <c r="E41" s="182" t="s">
        <v>45</v>
      </c>
      <c r="F41" s="183" t="s">
        <v>46</v>
      </c>
    </row>
    <row r="42" spans="1:12" x14ac:dyDescent="0.3">
      <c r="B42" s="181">
        <v>2</v>
      </c>
      <c r="C42" s="182">
        <v>3</v>
      </c>
      <c r="D42" s="182">
        <v>4</v>
      </c>
      <c r="E42" s="182">
        <v>5</v>
      </c>
      <c r="F42" s="183">
        <v>6</v>
      </c>
    </row>
    <row r="46" spans="1:12" x14ac:dyDescent="0.3">
      <c r="A46" s="2" t="s">
        <v>218</v>
      </c>
    </row>
    <row r="47" spans="1:12" x14ac:dyDescent="0.3">
      <c r="A47" s="2" t="s">
        <v>215</v>
      </c>
      <c r="B47" s="2">
        <v>12974</v>
      </c>
      <c r="C47" s="2" t="s">
        <v>219</v>
      </c>
    </row>
    <row r="48" spans="1:12" x14ac:dyDescent="0.3">
      <c r="A48" s="2" t="s">
        <v>216</v>
      </c>
      <c r="B48" s="2">
        <v>1725</v>
      </c>
      <c r="C48" s="2">
        <v>2300</v>
      </c>
      <c r="D48" s="2" t="s">
        <v>217</v>
      </c>
    </row>
    <row r="49" spans="1:3" x14ac:dyDescent="0.3">
      <c r="B49" s="2" t="s">
        <v>221</v>
      </c>
      <c r="C49" s="2" t="s">
        <v>222</v>
      </c>
    </row>
    <row r="50" spans="1:3" x14ac:dyDescent="0.3">
      <c r="A50" s="2" t="s">
        <v>220</v>
      </c>
      <c r="B50" s="3">
        <v>0.35</v>
      </c>
      <c r="C50" s="3">
        <v>0.55000000000000004</v>
      </c>
    </row>
    <row r="51" spans="1:3" x14ac:dyDescent="0.3">
      <c r="A51" s="2" t="s">
        <v>223</v>
      </c>
      <c r="B51" s="14">
        <v>0.625</v>
      </c>
      <c r="C51" s="2" t="s">
        <v>310</v>
      </c>
    </row>
    <row r="55" spans="1:3" x14ac:dyDescent="0.3">
      <c r="A55" s="2" t="s">
        <v>301</v>
      </c>
    </row>
    <row r="56" spans="1:3" x14ac:dyDescent="0.3">
      <c r="A56" s="2" t="s">
        <v>302</v>
      </c>
      <c r="B56" s="2" t="s">
        <v>309</v>
      </c>
    </row>
    <row r="57" spans="1:3" x14ac:dyDescent="0.3">
      <c r="A57" s="2" t="s">
        <v>303</v>
      </c>
      <c r="B57" s="13">
        <v>725.91405521770662</v>
      </c>
    </row>
    <row r="58" spans="1:3" x14ac:dyDescent="0.3">
      <c r="A58" s="2" t="s">
        <v>304</v>
      </c>
      <c r="B58" s="13">
        <v>692.89877611904012</v>
      </c>
    </row>
    <row r="59" spans="1:3" x14ac:dyDescent="0.3">
      <c r="A59" s="2" t="s">
        <v>305</v>
      </c>
      <c r="B59" s="13">
        <v>131.33719736248318</v>
      </c>
    </row>
    <row r="60" spans="1:3" x14ac:dyDescent="0.3">
      <c r="A60" s="2" t="s">
        <v>306</v>
      </c>
      <c r="B60" s="13">
        <v>275.51688604689923</v>
      </c>
    </row>
    <row r="61" spans="1:3" x14ac:dyDescent="0.3">
      <c r="A61" s="2" t="s">
        <v>307</v>
      </c>
    </row>
    <row r="62" spans="1:3" x14ac:dyDescent="0.3">
      <c r="A62" s="2" t="s">
        <v>308</v>
      </c>
    </row>
    <row r="65" spans="3:3" x14ac:dyDescent="0.3">
      <c r="C65" s="3"/>
    </row>
  </sheetData>
  <sheetProtection algorithmName="SHA-512" hashValue="lMb0eDmJPlo2k7ZPabU1xKm1mlp++54VVESia8DT9j7koxfNMl2X6yEOmk/bRMOqsrHaIXBJ2O8VqD/4SJxVZA==" saltValue="Ur5wcNIsG4w+yn+3mvc2Vw==" spinCount="100000" sheet="1" objects="1" scenarios="1"/>
  <phoneticPr fontId="14"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7561C-868F-41A4-8911-788C4864A605}">
  <dimension ref="A1:M26"/>
  <sheetViews>
    <sheetView workbookViewId="0">
      <selection activeCell="G7" sqref="G7"/>
    </sheetView>
  </sheetViews>
  <sheetFormatPr defaultRowHeight="14.4" x14ac:dyDescent="0.3"/>
  <cols>
    <col min="1" max="1" width="16.5546875" customWidth="1"/>
    <col min="8" max="8" width="10.109375" customWidth="1"/>
    <col min="12" max="12" width="8.33203125" customWidth="1"/>
  </cols>
  <sheetData>
    <row r="1" spans="1:6" ht="15" thickBot="1" x14ac:dyDescent="0.35"/>
    <row r="2" spans="1:6" ht="15" thickBot="1" x14ac:dyDescent="0.35">
      <c r="A2" s="201" t="s">
        <v>208</v>
      </c>
      <c r="B2" s="202" t="s">
        <v>209</v>
      </c>
    </row>
    <row r="3" spans="1:6" x14ac:dyDescent="0.3">
      <c r="A3" s="203" t="s">
        <v>210</v>
      </c>
      <c r="B3" s="204">
        <v>30000</v>
      </c>
    </row>
    <row r="4" spans="1:6" ht="27.6" x14ac:dyDescent="0.3">
      <c r="A4" s="205" t="s">
        <v>211</v>
      </c>
      <c r="B4" s="206">
        <v>4000</v>
      </c>
    </row>
    <row r="5" spans="1:6" x14ac:dyDescent="0.3">
      <c r="A5" s="207" t="s">
        <v>212</v>
      </c>
      <c r="B5" s="206">
        <v>100000</v>
      </c>
    </row>
    <row r="6" spans="1:6" x14ac:dyDescent="0.3">
      <c r="A6" s="207" t="s">
        <v>213</v>
      </c>
      <c r="B6" s="206">
        <v>1000</v>
      </c>
    </row>
    <row r="7" spans="1:6" ht="15" thickBot="1" x14ac:dyDescent="0.35">
      <c r="A7" s="208" t="s">
        <v>214</v>
      </c>
      <c r="B7" s="209">
        <v>2000</v>
      </c>
    </row>
    <row r="8" spans="1:6" x14ac:dyDescent="0.3">
      <c r="A8" s="2"/>
      <c r="B8" s="2"/>
    </row>
    <row r="9" spans="1:6" x14ac:dyDescent="0.3">
      <c r="A9" s="2"/>
      <c r="B9" s="2"/>
    </row>
    <row r="10" spans="1:6" x14ac:dyDescent="0.3">
      <c r="A10" s="4" t="s">
        <v>321</v>
      </c>
    </row>
    <row r="11" spans="1:6" x14ac:dyDescent="0.3">
      <c r="A11" s="210" t="s">
        <v>312</v>
      </c>
      <c r="B11" s="211" t="s">
        <v>322</v>
      </c>
      <c r="C11" s="212" t="s">
        <v>323</v>
      </c>
      <c r="D11" s="213" t="s">
        <v>324</v>
      </c>
      <c r="E11" s="214" t="s">
        <v>325</v>
      </c>
      <c r="F11" s="215" t="s">
        <v>326</v>
      </c>
    </row>
    <row r="12" spans="1:6" x14ac:dyDescent="0.3">
      <c r="A12" s="216" t="s">
        <v>317</v>
      </c>
      <c r="B12" s="301" t="s">
        <v>327</v>
      </c>
      <c r="C12" s="217">
        <v>0.1</v>
      </c>
      <c r="D12" s="218">
        <v>0.1</v>
      </c>
      <c r="E12" s="219">
        <v>0.4</v>
      </c>
      <c r="F12" s="220">
        <v>0.4</v>
      </c>
    </row>
    <row r="13" spans="1:6" x14ac:dyDescent="0.3">
      <c r="A13" s="216" t="s">
        <v>204</v>
      </c>
      <c r="B13" s="301"/>
      <c r="C13" s="217">
        <v>0.1</v>
      </c>
      <c r="D13" s="218">
        <v>0.9</v>
      </c>
      <c r="E13" s="221"/>
      <c r="F13" s="222"/>
    </row>
    <row r="14" spans="1:6" x14ac:dyDescent="0.3">
      <c r="A14" s="216" t="s">
        <v>318</v>
      </c>
      <c r="B14" s="301"/>
      <c r="C14" s="217">
        <f>C12</f>
        <v>0.1</v>
      </c>
      <c r="D14" s="218">
        <f t="shared" ref="D14:F14" si="0">D12</f>
        <v>0.1</v>
      </c>
      <c r="E14" s="219">
        <f t="shared" si="0"/>
        <v>0.4</v>
      </c>
      <c r="F14" s="220">
        <f t="shared" si="0"/>
        <v>0.4</v>
      </c>
    </row>
    <row r="15" spans="1:6" x14ac:dyDescent="0.3">
      <c r="A15" s="216" t="s">
        <v>319</v>
      </c>
      <c r="B15" s="301"/>
      <c r="C15" s="217">
        <f>C13</f>
        <v>0.1</v>
      </c>
      <c r="D15" s="218">
        <f>D13</f>
        <v>0.9</v>
      </c>
      <c r="E15" s="221"/>
      <c r="F15" s="222"/>
    </row>
    <row r="16" spans="1:6" x14ac:dyDescent="0.3">
      <c r="A16" s="223" t="s">
        <v>320</v>
      </c>
      <c r="B16" s="302"/>
      <c r="C16" s="224">
        <f>C15</f>
        <v>0.1</v>
      </c>
      <c r="D16" s="225">
        <f>D15</f>
        <v>0.9</v>
      </c>
      <c r="E16" s="226"/>
      <c r="F16" s="227"/>
    </row>
    <row r="19" spans="1:13" x14ac:dyDescent="0.3">
      <c r="A19" t="s">
        <v>311</v>
      </c>
      <c r="H19" t="s">
        <v>329</v>
      </c>
      <c r="L19" t="s">
        <v>328</v>
      </c>
    </row>
    <row r="20" spans="1:13" x14ac:dyDescent="0.3">
      <c r="A20" s="228" t="s">
        <v>208</v>
      </c>
      <c r="B20" s="228" t="s">
        <v>312</v>
      </c>
      <c r="C20" s="229" t="s">
        <v>313</v>
      </c>
      <c r="D20" s="230" t="s">
        <v>314</v>
      </c>
      <c r="E20" s="231" t="s">
        <v>315</v>
      </c>
      <c r="F20" s="232" t="s">
        <v>316</v>
      </c>
      <c r="H20" s="230" t="s">
        <v>331</v>
      </c>
      <c r="I20" s="231" t="s">
        <v>330</v>
      </c>
      <c r="J20" s="232" t="s">
        <v>332</v>
      </c>
      <c r="L20" s="231" t="s">
        <v>330</v>
      </c>
      <c r="M20" s="232" t="s">
        <v>333</v>
      </c>
    </row>
    <row r="21" spans="1:13" x14ac:dyDescent="0.3">
      <c r="A21" s="233" t="s">
        <v>210</v>
      </c>
      <c r="B21" s="233" t="s">
        <v>317</v>
      </c>
      <c r="C21" s="234">
        <v>0.15</v>
      </c>
      <c r="D21" s="235">
        <v>0.5</v>
      </c>
      <c r="E21" s="234">
        <v>0.25</v>
      </c>
      <c r="F21" s="236">
        <v>0.1</v>
      </c>
      <c r="H21" s="235">
        <f>D21/SUM($D21:$F21)</f>
        <v>0.58823529411764708</v>
      </c>
      <c r="I21" s="234">
        <f t="shared" ref="I21:J21" si="1">E21/SUM($D21:$F21)</f>
        <v>0.29411764705882354</v>
      </c>
      <c r="J21" s="236">
        <f t="shared" si="1"/>
        <v>0.11764705882352942</v>
      </c>
      <c r="L21" s="234">
        <f>E21/SUM($E21:$F21)</f>
        <v>0.7142857142857143</v>
      </c>
      <c r="M21" s="236">
        <f>F21/SUM($E21:$F21)</f>
        <v>0.28571428571428575</v>
      </c>
    </row>
    <row r="22" spans="1:13" x14ac:dyDescent="0.3">
      <c r="A22" s="237" t="s">
        <v>211</v>
      </c>
      <c r="B22" s="237" t="s">
        <v>204</v>
      </c>
      <c r="C22" s="238"/>
      <c r="D22" s="235">
        <v>0.2</v>
      </c>
      <c r="E22" s="234">
        <v>0.3</v>
      </c>
      <c r="F22" s="236">
        <v>0.5</v>
      </c>
      <c r="H22" s="235">
        <f t="shared" ref="H22:H25" si="2">D22/SUM($D22:$F22)</f>
        <v>0.2</v>
      </c>
      <c r="I22" s="234">
        <f t="shared" ref="I22:I25" si="3">E22/SUM($D22:$F22)</f>
        <v>0.3</v>
      </c>
      <c r="J22" s="236">
        <f t="shared" ref="J22:J25" si="4">F22/SUM($D22:$F22)</f>
        <v>0.5</v>
      </c>
      <c r="L22" s="234">
        <f t="shared" ref="L22:L25" si="5">E22/SUM($E22:$F22)</f>
        <v>0.37499999999999994</v>
      </c>
      <c r="M22" s="236">
        <f t="shared" ref="M22:M25" si="6">F22/SUM($E22:$F22)</f>
        <v>0.625</v>
      </c>
    </row>
    <row r="23" spans="1:13" x14ac:dyDescent="0.3">
      <c r="A23" s="237" t="s">
        <v>212</v>
      </c>
      <c r="B23" s="237" t="s">
        <v>318</v>
      </c>
      <c r="C23" s="234">
        <v>0.4</v>
      </c>
      <c r="D23" s="235">
        <v>0.4</v>
      </c>
      <c r="E23" s="234">
        <v>0.2</v>
      </c>
      <c r="F23" s="239"/>
      <c r="H23" s="235">
        <f t="shared" si="2"/>
        <v>0.66666666666666663</v>
      </c>
      <c r="I23" s="234">
        <f t="shared" si="3"/>
        <v>0.33333333333333331</v>
      </c>
      <c r="J23" s="239">
        <f t="shared" si="4"/>
        <v>0</v>
      </c>
      <c r="L23" s="234">
        <f t="shared" si="5"/>
        <v>1</v>
      </c>
      <c r="M23" s="239">
        <f t="shared" si="6"/>
        <v>0</v>
      </c>
    </row>
    <row r="24" spans="1:13" x14ac:dyDescent="0.3">
      <c r="A24" s="237" t="s">
        <v>213</v>
      </c>
      <c r="B24" s="237" t="s">
        <v>319</v>
      </c>
      <c r="C24" s="234"/>
      <c r="D24" s="235"/>
      <c r="E24" s="234">
        <v>0.5</v>
      </c>
      <c r="F24" s="236">
        <v>0.5</v>
      </c>
      <c r="H24" s="235">
        <f t="shared" si="2"/>
        <v>0</v>
      </c>
      <c r="I24" s="234">
        <f t="shared" si="3"/>
        <v>0.5</v>
      </c>
      <c r="J24" s="236">
        <f t="shared" si="4"/>
        <v>0.5</v>
      </c>
      <c r="L24" s="234">
        <f t="shared" si="5"/>
        <v>0.5</v>
      </c>
      <c r="M24" s="236">
        <f t="shared" si="6"/>
        <v>0.5</v>
      </c>
    </row>
    <row r="25" spans="1:13" x14ac:dyDescent="0.3">
      <c r="A25" s="240" t="s">
        <v>214</v>
      </c>
      <c r="B25" s="240" t="s">
        <v>320</v>
      </c>
      <c r="C25" s="241"/>
      <c r="D25" s="242"/>
      <c r="E25" s="243">
        <v>0.5</v>
      </c>
      <c r="F25" s="244">
        <v>0.5</v>
      </c>
      <c r="H25" s="242">
        <f t="shared" si="2"/>
        <v>0</v>
      </c>
      <c r="I25" s="243">
        <f t="shared" si="3"/>
        <v>0.5</v>
      </c>
      <c r="J25" s="244">
        <f t="shared" si="4"/>
        <v>0.5</v>
      </c>
      <c r="L25" s="243">
        <f t="shared" si="5"/>
        <v>0.5</v>
      </c>
      <c r="M25" s="244">
        <f t="shared" si="6"/>
        <v>0.5</v>
      </c>
    </row>
    <row r="26" spans="1:13" x14ac:dyDescent="0.3">
      <c r="A26" s="2"/>
      <c r="B26" s="2"/>
      <c r="C26" s="2"/>
      <c r="D26" s="2"/>
      <c r="E26" s="2"/>
      <c r="F26" s="2"/>
    </row>
  </sheetData>
  <sheetProtection algorithmName="SHA-512" hashValue="tQrlG20gSJIgBK2CkrYfyQlP/8YHj/S2arU+wecMHwTdsGqpB60ME64ReVLd/Duddbd6kvTyAxVaTLT7czRAEA==" saltValue="/5ZVKdlPbL9ypiZRqexKhw==" spinCount="100000" sheet="1" objects="1" scenarios="1"/>
  <mergeCells count="1">
    <mergeCell ref="B12:B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A1A52-7671-417E-917B-DBEBFF72C993}">
  <dimension ref="A1:DX170"/>
  <sheetViews>
    <sheetView zoomScale="90" zoomScaleNormal="90" workbookViewId="0">
      <selection activeCell="A12" sqref="A12"/>
    </sheetView>
  </sheetViews>
  <sheetFormatPr defaultColWidth="64" defaultRowHeight="13.8" x14ac:dyDescent="0.3"/>
  <cols>
    <col min="1" max="1" width="16.5546875" style="245" customWidth="1"/>
    <col min="2" max="2" width="25.5546875" style="245" customWidth="1"/>
    <col min="3" max="6" width="9.5546875" style="245" customWidth="1"/>
    <col min="7" max="7" width="39.5546875" style="245" customWidth="1"/>
    <col min="8" max="8" width="14" style="245" customWidth="1"/>
    <col min="9" max="24" width="7.44140625" style="245" bestFit="1" customWidth="1"/>
    <col min="25" max="25" width="7.109375" style="245" customWidth="1"/>
    <col min="26" max="40" width="7.44140625" style="245" bestFit="1" customWidth="1"/>
    <col min="41" max="47" width="7.33203125" style="245" customWidth="1"/>
    <col min="48" max="48" width="5.88671875" style="245" customWidth="1"/>
    <col min="49" max="49" width="26" style="245" customWidth="1"/>
    <col min="50" max="77" width="6.44140625" style="245" customWidth="1"/>
    <col min="78" max="78" width="7.33203125" style="245" customWidth="1"/>
    <col min="79" max="88" width="7.44140625" style="245" customWidth="1"/>
    <col min="89" max="89" width="6.44140625" style="245" customWidth="1"/>
    <col min="90" max="104" width="6.5546875" style="245" customWidth="1"/>
    <col min="105" max="105" width="7.6640625" style="245" customWidth="1"/>
    <col min="106" max="128" width="6.5546875" style="245" customWidth="1"/>
    <col min="129" max="16384" width="64" style="245"/>
  </cols>
  <sheetData>
    <row r="1" spans="1:47" x14ac:dyDescent="0.3">
      <c r="D1" s="245" t="s">
        <v>43</v>
      </c>
      <c r="E1" s="245" t="s">
        <v>44</v>
      </c>
      <c r="F1" s="245" t="s">
        <v>45</v>
      </c>
    </row>
    <row r="2" spans="1:47" x14ac:dyDescent="0.3">
      <c r="A2" s="246"/>
      <c r="B2" s="303" t="s">
        <v>48</v>
      </c>
      <c r="C2" s="303"/>
      <c r="D2" s="303"/>
      <c r="E2" s="303"/>
      <c r="F2" s="303"/>
      <c r="G2" s="304"/>
      <c r="I2" s="245" t="s">
        <v>111</v>
      </c>
    </row>
    <row r="3" spans="1:47" ht="41.4" x14ac:dyDescent="0.3">
      <c r="A3" s="246"/>
      <c r="B3" s="247" t="s">
        <v>49</v>
      </c>
      <c r="C3" s="248" t="s">
        <v>50</v>
      </c>
      <c r="D3" s="248" t="s">
        <v>51</v>
      </c>
      <c r="E3" s="248" t="s">
        <v>52</v>
      </c>
      <c r="F3" s="249" t="s">
        <v>53</v>
      </c>
      <c r="G3" s="250" t="s">
        <v>54</v>
      </c>
      <c r="H3" s="251" t="s">
        <v>55</v>
      </c>
      <c r="I3" s="245">
        <v>2024</v>
      </c>
      <c r="J3" s="245">
        <v>2025</v>
      </c>
      <c r="K3" s="245">
        <v>2026</v>
      </c>
      <c r="L3" s="245">
        <v>2027</v>
      </c>
      <c r="M3" s="245">
        <v>2028</v>
      </c>
      <c r="N3" s="245">
        <v>2029</v>
      </c>
      <c r="O3" s="245">
        <v>2030</v>
      </c>
      <c r="P3" s="245">
        <v>2031</v>
      </c>
      <c r="Q3" s="245">
        <v>2032</v>
      </c>
      <c r="R3" s="245">
        <v>2033</v>
      </c>
      <c r="S3" s="245">
        <v>2034</v>
      </c>
      <c r="T3" s="245">
        <v>2035</v>
      </c>
      <c r="U3" s="245">
        <v>2036</v>
      </c>
      <c r="V3" s="245">
        <v>2037</v>
      </c>
      <c r="W3" s="245">
        <v>2038</v>
      </c>
      <c r="X3" s="245">
        <v>2039</v>
      </c>
      <c r="Y3" s="245">
        <v>2040</v>
      </c>
      <c r="Z3" s="245">
        <v>2041</v>
      </c>
      <c r="AA3" s="245">
        <v>2042</v>
      </c>
      <c r="AB3" s="245">
        <v>2043</v>
      </c>
      <c r="AC3" s="245">
        <v>2044</v>
      </c>
      <c r="AD3" s="245">
        <v>2045</v>
      </c>
      <c r="AE3" s="245">
        <v>2046</v>
      </c>
      <c r="AF3" s="245">
        <v>2047</v>
      </c>
      <c r="AG3" s="245">
        <v>2048</v>
      </c>
      <c r="AH3" s="245">
        <v>2049</v>
      </c>
      <c r="AI3" s="245">
        <v>2050</v>
      </c>
      <c r="AJ3" s="245">
        <v>2051</v>
      </c>
      <c r="AK3" s="245">
        <v>2052</v>
      </c>
      <c r="AL3" s="245">
        <v>2053</v>
      </c>
      <c r="AM3" s="245">
        <v>2054</v>
      </c>
      <c r="AN3" s="245">
        <v>2055</v>
      </c>
      <c r="AO3" s="245">
        <v>2056</v>
      </c>
      <c r="AP3" s="245">
        <v>2057</v>
      </c>
      <c r="AQ3" s="245">
        <v>2058</v>
      </c>
      <c r="AR3" s="245">
        <v>2059</v>
      </c>
      <c r="AS3" s="245">
        <v>2060</v>
      </c>
      <c r="AT3" s="245">
        <v>2061</v>
      </c>
      <c r="AU3" s="245">
        <v>2062</v>
      </c>
    </row>
    <row r="4" spans="1:47" ht="54" x14ac:dyDescent="0.3">
      <c r="A4" s="246" t="s">
        <v>48</v>
      </c>
      <c r="B4" s="252" t="s">
        <v>56</v>
      </c>
      <c r="C4" s="253">
        <v>2024</v>
      </c>
      <c r="D4" s="253">
        <f>E4-4</f>
        <v>2020</v>
      </c>
      <c r="E4" s="253">
        <f>C4</f>
        <v>2024</v>
      </c>
      <c r="F4" s="253">
        <f>E4+4</f>
        <v>2028</v>
      </c>
      <c r="G4" s="254" t="s">
        <v>57</v>
      </c>
      <c r="H4" s="255" t="s">
        <v>27</v>
      </c>
      <c r="I4" s="256">
        <f>CHOOSE((I$3&gt;=2024)+(I$3&gt;=$D4)+(I$3&gt;=$E4)+(I$3&gt;=$F4),1,2,3,4)</f>
        <v>3</v>
      </c>
      <c r="J4" s="256">
        <f t="shared" ref="J4:AU10" si="0">CHOOSE((J$3&gt;=2024)+(J$3&gt;=$D4)+(J$3&gt;=$E4)+(J$3&gt;=$F4),1,2,3,4)</f>
        <v>3</v>
      </c>
      <c r="K4" s="256">
        <f t="shared" si="0"/>
        <v>3</v>
      </c>
      <c r="L4" s="256">
        <f t="shared" si="0"/>
        <v>3</v>
      </c>
      <c r="M4" s="256">
        <f t="shared" si="0"/>
        <v>4</v>
      </c>
      <c r="N4" s="256">
        <f t="shared" si="0"/>
        <v>4</v>
      </c>
      <c r="O4" s="256">
        <f t="shared" si="0"/>
        <v>4</v>
      </c>
      <c r="P4" s="256">
        <f t="shared" si="0"/>
        <v>4</v>
      </c>
      <c r="Q4" s="256">
        <f t="shared" si="0"/>
        <v>4</v>
      </c>
      <c r="R4" s="256">
        <f t="shared" si="0"/>
        <v>4</v>
      </c>
      <c r="S4" s="256">
        <f t="shared" si="0"/>
        <v>4</v>
      </c>
      <c r="T4" s="256">
        <f t="shared" si="0"/>
        <v>4</v>
      </c>
      <c r="U4" s="256">
        <f t="shared" si="0"/>
        <v>4</v>
      </c>
      <c r="V4" s="256">
        <f t="shared" si="0"/>
        <v>4</v>
      </c>
      <c r="W4" s="256">
        <f t="shared" si="0"/>
        <v>4</v>
      </c>
      <c r="X4" s="256">
        <f t="shared" si="0"/>
        <v>4</v>
      </c>
      <c r="Y4" s="256">
        <f t="shared" si="0"/>
        <v>4</v>
      </c>
      <c r="Z4" s="256">
        <f t="shared" si="0"/>
        <v>4</v>
      </c>
      <c r="AA4" s="256">
        <f t="shared" si="0"/>
        <v>4</v>
      </c>
      <c r="AB4" s="256">
        <f t="shared" si="0"/>
        <v>4</v>
      </c>
      <c r="AC4" s="256">
        <f t="shared" si="0"/>
        <v>4</v>
      </c>
      <c r="AD4" s="256">
        <f t="shared" si="0"/>
        <v>4</v>
      </c>
      <c r="AE4" s="256">
        <f t="shared" si="0"/>
        <v>4</v>
      </c>
      <c r="AF4" s="256">
        <f t="shared" si="0"/>
        <v>4</v>
      </c>
      <c r="AG4" s="256">
        <f t="shared" si="0"/>
        <v>4</v>
      </c>
      <c r="AH4" s="256">
        <f t="shared" si="0"/>
        <v>4</v>
      </c>
      <c r="AI4" s="256">
        <f t="shared" si="0"/>
        <v>4</v>
      </c>
      <c r="AJ4" s="256">
        <f t="shared" si="0"/>
        <v>4</v>
      </c>
      <c r="AK4" s="256">
        <f t="shared" si="0"/>
        <v>4</v>
      </c>
      <c r="AL4" s="256">
        <f>CHOOSE((AL$3&gt;=2024)+(AL$3&gt;=$D4)+(AL$3&gt;=$E4)+(AL$3&gt;=$F4),1,2,3,4)</f>
        <v>4</v>
      </c>
      <c r="AM4" s="256">
        <f t="shared" si="0"/>
        <v>4</v>
      </c>
      <c r="AN4" s="256">
        <f t="shared" si="0"/>
        <v>4</v>
      </c>
      <c r="AO4" s="256">
        <f t="shared" si="0"/>
        <v>4</v>
      </c>
      <c r="AP4" s="256">
        <f t="shared" si="0"/>
        <v>4</v>
      </c>
      <c r="AQ4" s="256">
        <f t="shared" si="0"/>
        <v>4</v>
      </c>
      <c r="AR4" s="256">
        <f t="shared" si="0"/>
        <v>4</v>
      </c>
      <c r="AS4" s="256">
        <f t="shared" si="0"/>
        <v>4</v>
      </c>
      <c r="AT4" s="256">
        <f t="shared" si="0"/>
        <v>4</v>
      </c>
      <c r="AU4" s="256">
        <f t="shared" si="0"/>
        <v>4</v>
      </c>
    </row>
    <row r="5" spans="1:47" x14ac:dyDescent="0.3">
      <c r="A5" s="246" t="s">
        <v>48</v>
      </c>
      <c r="B5" s="252" t="s">
        <v>253</v>
      </c>
      <c r="C5" s="253">
        <v>2035</v>
      </c>
      <c r="D5" s="253">
        <f t="shared" ref="D5:D11" si="1">E5-4</f>
        <v>2031</v>
      </c>
      <c r="E5" s="253">
        <f t="shared" ref="E5:E11" si="2">C5</f>
        <v>2035</v>
      </c>
      <c r="F5" s="253">
        <f t="shared" ref="F5:F11" si="3">E5+4</f>
        <v>2039</v>
      </c>
      <c r="G5" s="257"/>
      <c r="H5" s="255" t="s">
        <v>27</v>
      </c>
      <c r="I5" s="256">
        <f t="shared" ref="I5:X26" si="4">CHOOSE((I$3&gt;=2024)+(I$3&gt;=$D5)+(I$3&gt;=$E5)+(I$3&gt;=$F5),1,2,3,4)</f>
        <v>1</v>
      </c>
      <c r="J5" s="256">
        <f t="shared" si="0"/>
        <v>1</v>
      </c>
      <c r="K5" s="256">
        <f t="shared" si="0"/>
        <v>1</v>
      </c>
      <c r="L5" s="256">
        <f t="shared" si="0"/>
        <v>1</v>
      </c>
      <c r="M5" s="256">
        <f t="shared" si="0"/>
        <v>1</v>
      </c>
      <c r="N5" s="256">
        <f t="shared" si="0"/>
        <v>1</v>
      </c>
      <c r="O5" s="256">
        <f t="shared" si="0"/>
        <v>1</v>
      </c>
      <c r="P5" s="256">
        <f t="shared" si="0"/>
        <v>2</v>
      </c>
      <c r="Q5" s="256">
        <f t="shared" si="0"/>
        <v>2</v>
      </c>
      <c r="R5" s="256">
        <f t="shared" si="0"/>
        <v>2</v>
      </c>
      <c r="S5" s="256">
        <f t="shared" si="0"/>
        <v>2</v>
      </c>
      <c r="T5" s="256">
        <f t="shared" si="0"/>
        <v>3</v>
      </c>
      <c r="U5" s="256">
        <f t="shared" si="0"/>
        <v>3</v>
      </c>
      <c r="V5" s="256">
        <f t="shared" si="0"/>
        <v>3</v>
      </c>
      <c r="W5" s="256">
        <f t="shared" si="0"/>
        <v>3</v>
      </c>
      <c r="X5" s="256">
        <f t="shared" si="0"/>
        <v>4</v>
      </c>
      <c r="Y5" s="256">
        <f t="shared" si="0"/>
        <v>4</v>
      </c>
      <c r="Z5" s="256">
        <f t="shared" si="0"/>
        <v>4</v>
      </c>
      <c r="AA5" s="256">
        <f t="shared" si="0"/>
        <v>4</v>
      </c>
      <c r="AB5" s="256">
        <f t="shared" si="0"/>
        <v>4</v>
      </c>
      <c r="AC5" s="256">
        <f t="shared" si="0"/>
        <v>4</v>
      </c>
      <c r="AD5" s="256">
        <f t="shared" si="0"/>
        <v>4</v>
      </c>
      <c r="AE5" s="256">
        <f t="shared" si="0"/>
        <v>4</v>
      </c>
      <c r="AF5" s="256">
        <f t="shared" si="0"/>
        <v>4</v>
      </c>
      <c r="AG5" s="256">
        <f t="shared" si="0"/>
        <v>4</v>
      </c>
      <c r="AH5" s="256">
        <f t="shared" si="0"/>
        <v>4</v>
      </c>
      <c r="AI5" s="256">
        <f t="shared" si="0"/>
        <v>4</v>
      </c>
      <c r="AJ5" s="256">
        <f t="shared" si="0"/>
        <v>4</v>
      </c>
      <c r="AK5" s="256">
        <f t="shared" si="0"/>
        <v>4</v>
      </c>
      <c r="AL5" s="256">
        <f t="shared" si="0"/>
        <v>4</v>
      </c>
      <c r="AM5" s="256">
        <f t="shared" si="0"/>
        <v>4</v>
      </c>
      <c r="AN5" s="256">
        <f t="shared" si="0"/>
        <v>4</v>
      </c>
      <c r="AO5" s="256">
        <f t="shared" si="0"/>
        <v>4</v>
      </c>
      <c r="AP5" s="256">
        <f t="shared" si="0"/>
        <v>4</v>
      </c>
      <c r="AQ5" s="256">
        <f t="shared" si="0"/>
        <v>4</v>
      </c>
      <c r="AR5" s="256">
        <f t="shared" si="0"/>
        <v>4</v>
      </c>
      <c r="AS5" s="256">
        <f t="shared" si="0"/>
        <v>4</v>
      </c>
      <c r="AT5" s="256">
        <f t="shared" si="0"/>
        <v>4</v>
      </c>
      <c r="AU5" s="256">
        <f t="shared" si="0"/>
        <v>4</v>
      </c>
    </row>
    <row r="6" spans="1:47" x14ac:dyDescent="0.3">
      <c r="A6" s="246" t="s">
        <v>48</v>
      </c>
      <c r="B6" s="252" t="s">
        <v>98</v>
      </c>
      <c r="C6" s="253">
        <v>2035</v>
      </c>
      <c r="D6" s="253">
        <f t="shared" si="1"/>
        <v>2031</v>
      </c>
      <c r="E6" s="253">
        <f t="shared" si="2"/>
        <v>2035</v>
      </c>
      <c r="F6" s="253">
        <f t="shared" si="3"/>
        <v>2039</v>
      </c>
      <c r="G6" s="257"/>
      <c r="H6" s="255" t="s">
        <v>28</v>
      </c>
      <c r="I6" s="256">
        <f t="shared" si="4"/>
        <v>1</v>
      </c>
      <c r="J6" s="256">
        <f t="shared" si="0"/>
        <v>1</v>
      </c>
      <c r="K6" s="256">
        <f t="shared" si="0"/>
        <v>1</v>
      </c>
      <c r="L6" s="256">
        <f t="shared" si="0"/>
        <v>1</v>
      </c>
      <c r="M6" s="256">
        <f t="shared" si="0"/>
        <v>1</v>
      </c>
      <c r="N6" s="256">
        <f t="shared" si="0"/>
        <v>1</v>
      </c>
      <c r="O6" s="256">
        <f t="shared" si="0"/>
        <v>1</v>
      </c>
      <c r="P6" s="256">
        <f t="shared" si="0"/>
        <v>2</v>
      </c>
      <c r="Q6" s="256">
        <f t="shared" si="0"/>
        <v>2</v>
      </c>
      <c r="R6" s="256">
        <f t="shared" si="0"/>
        <v>2</v>
      </c>
      <c r="S6" s="256">
        <f t="shared" si="0"/>
        <v>2</v>
      </c>
      <c r="T6" s="256">
        <f t="shared" si="0"/>
        <v>3</v>
      </c>
      <c r="U6" s="256">
        <f t="shared" si="0"/>
        <v>3</v>
      </c>
      <c r="V6" s="256">
        <f t="shared" si="0"/>
        <v>3</v>
      </c>
      <c r="W6" s="256">
        <f t="shared" si="0"/>
        <v>3</v>
      </c>
      <c r="X6" s="256">
        <f t="shared" si="0"/>
        <v>4</v>
      </c>
      <c r="Y6" s="256">
        <f t="shared" si="0"/>
        <v>4</v>
      </c>
      <c r="Z6" s="256">
        <f t="shared" si="0"/>
        <v>4</v>
      </c>
      <c r="AA6" s="256">
        <f t="shared" si="0"/>
        <v>4</v>
      </c>
      <c r="AB6" s="256">
        <f t="shared" si="0"/>
        <v>4</v>
      </c>
      <c r="AC6" s="256">
        <f t="shared" si="0"/>
        <v>4</v>
      </c>
      <c r="AD6" s="256">
        <f t="shared" si="0"/>
        <v>4</v>
      </c>
      <c r="AE6" s="256">
        <f t="shared" si="0"/>
        <v>4</v>
      </c>
      <c r="AF6" s="256">
        <f t="shared" si="0"/>
        <v>4</v>
      </c>
      <c r="AG6" s="256">
        <f t="shared" si="0"/>
        <v>4</v>
      </c>
      <c r="AH6" s="256">
        <f t="shared" si="0"/>
        <v>4</v>
      </c>
      <c r="AI6" s="256">
        <f t="shared" si="0"/>
        <v>4</v>
      </c>
      <c r="AJ6" s="256">
        <f t="shared" si="0"/>
        <v>4</v>
      </c>
      <c r="AK6" s="256">
        <f t="shared" si="0"/>
        <v>4</v>
      </c>
      <c r="AL6" s="256">
        <f t="shared" si="0"/>
        <v>4</v>
      </c>
      <c r="AM6" s="256">
        <f t="shared" si="0"/>
        <v>4</v>
      </c>
      <c r="AN6" s="256">
        <f t="shared" si="0"/>
        <v>4</v>
      </c>
      <c r="AO6" s="256">
        <f t="shared" si="0"/>
        <v>4</v>
      </c>
      <c r="AP6" s="256">
        <f t="shared" si="0"/>
        <v>4</v>
      </c>
      <c r="AQ6" s="256">
        <f t="shared" si="0"/>
        <v>4</v>
      </c>
      <c r="AR6" s="256">
        <f t="shared" si="0"/>
        <v>4</v>
      </c>
      <c r="AS6" s="256">
        <f t="shared" si="0"/>
        <v>4</v>
      </c>
      <c r="AT6" s="256">
        <f t="shared" si="0"/>
        <v>4</v>
      </c>
      <c r="AU6" s="256">
        <f t="shared" si="0"/>
        <v>4</v>
      </c>
    </row>
    <row r="7" spans="1:47" x14ac:dyDescent="0.3">
      <c r="A7" s="246" t="str">
        <f>A6</f>
        <v>Inner North-West</v>
      </c>
      <c r="B7" s="252" t="s">
        <v>113</v>
      </c>
      <c r="C7" s="253">
        <f>C6</f>
        <v>2035</v>
      </c>
      <c r="D7" s="253">
        <f t="shared" ref="D7:F7" si="5">D6</f>
        <v>2031</v>
      </c>
      <c r="E7" s="253">
        <f t="shared" si="5"/>
        <v>2035</v>
      </c>
      <c r="F7" s="253">
        <f t="shared" si="5"/>
        <v>2039</v>
      </c>
      <c r="G7" s="257" t="s">
        <v>114</v>
      </c>
      <c r="H7" s="255" t="str">
        <f>H6</f>
        <v>Whenuapai</v>
      </c>
      <c r="I7" s="256">
        <f t="shared" ref="I7:AU7" si="6">CHOOSE((I$3&gt;=2024)+(I$3&gt;=$D7)+(I$3&gt;=$E7)+(I$3&gt;=$F7),1,2,3,4)</f>
        <v>1</v>
      </c>
      <c r="J7" s="256">
        <f t="shared" si="6"/>
        <v>1</v>
      </c>
      <c r="K7" s="256">
        <f t="shared" si="6"/>
        <v>1</v>
      </c>
      <c r="L7" s="256">
        <f t="shared" si="6"/>
        <v>1</v>
      </c>
      <c r="M7" s="256">
        <f t="shared" si="6"/>
        <v>1</v>
      </c>
      <c r="N7" s="256">
        <f t="shared" si="6"/>
        <v>1</v>
      </c>
      <c r="O7" s="256">
        <f t="shared" si="6"/>
        <v>1</v>
      </c>
      <c r="P7" s="256">
        <f t="shared" si="6"/>
        <v>2</v>
      </c>
      <c r="Q7" s="256">
        <f t="shared" si="6"/>
        <v>2</v>
      </c>
      <c r="R7" s="256">
        <f t="shared" si="6"/>
        <v>2</v>
      </c>
      <c r="S7" s="256">
        <f t="shared" si="6"/>
        <v>2</v>
      </c>
      <c r="T7" s="256">
        <f t="shared" si="6"/>
        <v>3</v>
      </c>
      <c r="U7" s="256">
        <f t="shared" si="6"/>
        <v>3</v>
      </c>
      <c r="V7" s="256">
        <f t="shared" si="6"/>
        <v>3</v>
      </c>
      <c r="W7" s="256">
        <f t="shared" si="6"/>
        <v>3</v>
      </c>
      <c r="X7" s="256">
        <f t="shared" si="6"/>
        <v>4</v>
      </c>
      <c r="Y7" s="256">
        <f t="shared" si="6"/>
        <v>4</v>
      </c>
      <c r="Z7" s="256">
        <f t="shared" si="6"/>
        <v>4</v>
      </c>
      <c r="AA7" s="256">
        <f t="shared" si="6"/>
        <v>4</v>
      </c>
      <c r="AB7" s="256">
        <f t="shared" si="6"/>
        <v>4</v>
      </c>
      <c r="AC7" s="256">
        <f t="shared" si="6"/>
        <v>4</v>
      </c>
      <c r="AD7" s="256">
        <f t="shared" si="6"/>
        <v>4</v>
      </c>
      <c r="AE7" s="256">
        <f t="shared" si="6"/>
        <v>4</v>
      </c>
      <c r="AF7" s="256">
        <f t="shared" si="6"/>
        <v>4</v>
      </c>
      <c r="AG7" s="256">
        <f t="shared" si="6"/>
        <v>4</v>
      </c>
      <c r="AH7" s="256">
        <f t="shared" si="6"/>
        <v>4</v>
      </c>
      <c r="AI7" s="256">
        <f t="shared" si="6"/>
        <v>4</v>
      </c>
      <c r="AJ7" s="256">
        <f t="shared" si="6"/>
        <v>4</v>
      </c>
      <c r="AK7" s="256">
        <f t="shared" si="6"/>
        <v>4</v>
      </c>
      <c r="AL7" s="256">
        <f t="shared" si="6"/>
        <v>4</v>
      </c>
      <c r="AM7" s="256">
        <f t="shared" si="6"/>
        <v>4</v>
      </c>
      <c r="AN7" s="256">
        <f t="shared" si="6"/>
        <v>4</v>
      </c>
      <c r="AO7" s="256">
        <f t="shared" si="6"/>
        <v>4</v>
      </c>
      <c r="AP7" s="256">
        <f t="shared" si="6"/>
        <v>4</v>
      </c>
      <c r="AQ7" s="256">
        <f t="shared" si="6"/>
        <v>4</v>
      </c>
      <c r="AR7" s="256">
        <f t="shared" si="6"/>
        <v>4</v>
      </c>
      <c r="AS7" s="256">
        <f t="shared" si="6"/>
        <v>4</v>
      </c>
      <c r="AT7" s="256">
        <f t="shared" si="6"/>
        <v>4</v>
      </c>
      <c r="AU7" s="256">
        <f t="shared" si="6"/>
        <v>4</v>
      </c>
    </row>
    <row r="8" spans="1:47" x14ac:dyDescent="0.3">
      <c r="A8" s="246" t="s">
        <v>48</v>
      </c>
      <c r="B8" s="252" t="s">
        <v>58</v>
      </c>
      <c r="C8" s="253">
        <v>2050</v>
      </c>
      <c r="D8" s="253">
        <f t="shared" si="1"/>
        <v>2046</v>
      </c>
      <c r="E8" s="253">
        <f t="shared" si="2"/>
        <v>2050</v>
      </c>
      <c r="F8" s="253">
        <f t="shared" si="3"/>
        <v>2054</v>
      </c>
      <c r="G8" s="257" t="s">
        <v>115</v>
      </c>
      <c r="H8" s="255" t="s">
        <v>28</v>
      </c>
      <c r="I8" s="256">
        <f t="shared" si="4"/>
        <v>1</v>
      </c>
      <c r="J8" s="256">
        <f t="shared" si="0"/>
        <v>1</v>
      </c>
      <c r="K8" s="256">
        <f t="shared" si="0"/>
        <v>1</v>
      </c>
      <c r="L8" s="256">
        <f t="shared" si="0"/>
        <v>1</v>
      </c>
      <c r="M8" s="256">
        <f t="shared" si="0"/>
        <v>1</v>
      </c>
      <c r="N8" s="256">
        <f t="shared" si="0"/>
        <v>1</v>
      </c>
      <c r="O8" s="256">
        <f t="shared" si="0"/>
        <v>1</v>
      </c>
      <c r="P8" s="256">
        <f t="shared" si="0"/>
        <v>1</v>
      </c>
      <c r="Q8" s="256">
        <f t="shared" si="0"/>
        <v>1</v>
      </c>
      <c r="R8" s="256">
        <f t="shared" si="0"/>
        <v>1</v>
      </c>
      <c r="S8" s="256">
        <f t="shared" si="0"/>
        <v>1</v>
      </c>
      <c r="T8" s="256">
        <f t="shared" si="0"/>
        <v>1</v>
      </c>
      <c r="U8" s="256">
        <f t="shared" si="0"/>
        <v>1</v>
      </c>
      <c r="V8" s="256">
        <f t="shared" si="0"/>
        <v>1</v>
      </c>
      <c r="W8" s="256">
        <f t="shared" si="0"/>
        <v>1</v>
      </c>
      <c r="X8" s="256">
        <f t="shared" si="0"/>
        <v>1</v>
      </c>
      <c r="Y8" s="256">
        <f t="shared" si="0"/>
        <v>1</v>
      </c>
      <c r="Z8" s="256">
        <f t="shared" si="0"/>
        <v>1</v>
      </c>
      <c r="AA8" s="256">
        <f t="shared" si="0"/>
        <v>1</v>
      </c>
      <c r="AB8" s="256">
        <f t="shared" si="0"/>
        <v>1</v>
      </c>
      <c r="AC8" s="256">
        <f t="shared" si="0"/>
        <v>1</v>
      </c>
      <c r="AD8" s="256">
        <f t="shared" si="0"/>
        <v>1</v>
      </c>
      <c r="AE8" s="256">
        <f t="shared" si="0"/>
        <v>2</v>
      </c>
      <c r="AF8" s="256">
        <f t="shared" si="0"/>
        <v>2</v>
      </c>
      <c r="AG8" s="256">
        <f t="shared" si="0"/>
        <v>2</v>
      </c>
      <c r="AH8" s="256">
        <f t="shared" si="0"/>
        <v>2</v>
      </c>
      <c r="AI8" s="256">
        <f t="shared" si="0"/>
        <v>3</v>
      </c>
      <c r="AJ8" s="256">
        <f t="shared" si="0"/>
        <v>3</v>
      </c>
      <c r="AK8" s="256">
        <f t="shared" si="0"/>
        <v>3</v>
      </c>
      <c r="AL8" s="256">
        <f t="shared" si="0"/>
        <v>3</v>
      </c>
      <c r="AM8" s="256">
        <f t="shared" si="0"/>
        <v>4</v>
      </c>
      <c r="AN8" s="256">
        <f t="shared" si="0"/>
        <v>4</v>
      </c>
      <c r="AO8" s="256">
        <f t="shared" si="0"/>
        <v>4</v>
      </c>
      <c r="AP8" s="256">
        <f t="shared" si="0"/>
        <v>4</v>
      </c>
      <c r="AQ8" s="256">
        <f t="shared" si="0"/>
        <v>4</v>
      </c>
      <c r="AR8" s="256">
        <f t="shared" si="0"/>
        <v>4</v>
      </c>
      <c r="AS8" s="256">
        <f t="shared" si="0"/>
        <v>4</v>
      </c>
      <c r="AT8" s="256">
        <f t="shared" si="0"/>
        <v>4</v>
      </c>
      <c r="AU8" s="256">
        <f t="shared" si="0"/>
        <v>4</v>
      </c>
    </row>
    <row r="9" spans="1:47" x14ac:dyDescent="0.3">
      <c r="A9" s="246" t="s">
        <v>48</v>
      </c>
      <c r="B9" s="252" t="s">
        <v>59</v>
      </c>
      <c r="C9" s="253">
        <v>2025</v>
      </c>
      <c r="D9" s="253">
        <f t="shared" si="1"/>
        <v>2021</v>
      </c>
      <c r="E9" s="253">
        <f t="shared" si="2"/>
        <v>2025</v>
      </c>
      <c r="F9" s="253">
        <f t="shared" si="3"/>
        <v>2029</v>
      </c>
      <c r="G9" s="257"/>
      <c r="H9" s="255" t="s">
        <v>28</v>
      </c>
      <c r="I9" s="256">
        <f t="shared" si="4"/>
        <v>2</v>
      </c>
      <c r="J9" s="256">
        <f t="shared" si="0"/>
        <v>3</v>
      </c>
      <c r="K9" s="256">
        <f t="shared" si="0"/>
        <v>3</v>
      </c>
      <c r="L9" s="256">
        <f t="shared" si="0"/>
        <v>3</v>
      </c>
      <c r="M9" s="256">
        <f t="shared" si="0"/>
        <v>3</v>
      </c>
      <c r="N9" s="256">
        <f t="shared" si="0"/>
        <v>4</v>
      </c>
      <c r="O9" s="256">
        <f t="shared" si="0"/>
        <v>4</v>
      </c>
      <c r="P9" s="256">
        <f t="shared" si="0"/>
        <v>4</v>
      </c>
      <c r="Q9" s="256">
        <f t="shared" si="0"/>
        <v>4</v>
      </c>
      <c r="R9" s="256">
        <f t="shared" si="0"/>
        <v>4</v>
      </c>
      <c r="S9" s="256">
        <f t="shared" si="0"/>
        <v>4</v>
      </c>
      <c r="T9" s="256">
        <f t="shared" si="0"/>
        <v>4</v>
      </c>
      <c r="U9" s="256">
        <f t="shared" si="0"/>
        <v>4</v>
      </c>
      <c r="V9" s="256">
        <f t="shared" si="0"/>
        <v>4</v>
      </c>
      <c r="W9" s="256">
        <f t="shared" si="0"/>
        <v>4</v>
      </c>
      <c r="X9" s="256">
        <f t="shared" si="0"/>
        <v>4</v>
      </c>
      <c r="Y9" s="256">
        <f t="shared" si="0"/>
        <v>4</v>
      </c>
      <c r="Z9" s="256">
        <f t="shared" si="0"/>
        <v>4</v>
      </c>
      <c r="AA9" s="256">
        <f t="shared" si="0"/>
        <v>4</v>
      </c>
      <c r="AB9" s="256">
        <f t="shared" si="0"/>
        <v>4</v>
      </c>
      <c r="AC9" s="256">
        <f t="shared" si="0"/>
        <v>4</v>
      </c>
      <c r="AD9" s="256">
        <f t="shared" si="0"/>
        <v>4</v>
      </c>
      <c r="AE9" s="256">
        <f t="shared" si="0"/>
        <v>4</v>
      </c>
      <c r="AF9" s="256">
        <f t="shared" si="0"/>
        <v>4</v>
      </c>
      <c r="AG9" s="256">
        <f t="shared" si="0"/>
        <v>4</v>
      </c>
      <c r="AH9" s="256">
        <f t="shared" si="0"/>
        <v>4</v>
      </c>
      <c r="AI9" s="256">
        <f t="shared" si="0"/>
        <v>4</v>
      </c>
      <c r="AJ9" s="256">
        <f t="shared" si="0"/>
        <v>4</v>
      </c>
      <c r="AK9" s="256">
        <f t="shared" si="0"/>
        <v>4</v>
      </c>
      <c r="AL9" s="256">
        <f t="shared" si="0"/>
        <v>4</v>
      </c>
      <c r="AM9" s="256">
        <f t="shared" si="0"/>
        <v>4</v>
      </c>
      <c r="AN9" s="256">
        <f t="shared" si="0"/>
        <v>4</v>
      </c>
      <c r="AO9" s="256">
        <f t="shared" si="0"/>
        <v>4</v>
      </c>
      <c r="AP9" s="256">
        <f t="shared" si="0"/>
        <v>4</v>
      </c>
      <c r="AQ9" s="256">
        <f t="shared" si="0"/>
        <v>4</v>
      </c>
      <c r="AR9" s="256">
        <f t="shared" si="0"/>
        <v>4</v>
      </c>
      <c r="AS9" s="256">
        <f t="shared" si="0"/>
        <v>4</v>
      </c>
      <c r="AT9" s="256">
        <f t="shared" si="0"/>
        <v>4</v>
      </c>
      <c r="AU9" s="256">
        <f t="shared" si="0"/>
        <v>4</v>
      </c>
    </row>
    <row r="10" spans="1:47" x14ac:dyDescent="0.3">
      <c r="A10" s="246" t="s">
        <v>48</v>
      </c>
      <c r="B10" s="252" t="s">
        <v>117</v>
      </c>
      <c r="C10" s="253">
        <v>2035</v>
      </c>
      <c r="D10" s="253">
        <f t="shared" si="1"/>
        <v>2031</v>
      </c>
      <c r="E10" s="253">
        <f t="shared" si="2"/>
        <v>2035</v>
      </c>
      <c r="F10" s="253">
        <f t="shared" si="3"/>
        <v>2039</v>
      </c>
      <c r="G10" s="257" t="s">
        <v>118</v>
      </c>
      <c r="H10" s="255" t="s">
        <v>28</v>
      </c>
      <c r="I10" s="256">
        <f t="shared" si="4"/>
        <v>1</v>
      </c>
      <c r="J10" s="256">
        <f t="shared" si="0"/>
        <v>1</v>
      </c>
      <c r="K10" s="256">
        <f t="shared" si="0"/>
        <v>1</v>
      </c>
      <c r="L10" s="256">
        <f t="shared" si="0"/>
        <v>1</v>
      </c>
      <c r="M10" s="256">
        <f t="shared" si="0"/>
        <v>1</v>
      </c>
      <c r="N10" s="256">
        <f t="shared" si="0"/>
        <v>1</v>
      </c>
      <c r="O10" s="256">
        <f t="shared" si="0"/>
        <v>1</v>
      </c>
      <c r="P10" s="256">
        <f t="shared" si="0"/>
        <v>2</v>
      </c>
      <c r="Q10" s="256">
        <f t="shared" si="0"/>
        <v>2</v>
      </c>
      <c r="R10" s="256">
        <f t="shared" si="0"/>
        <v>2</v>
      </c>
      <c r="S10" s="256">
        <f t="shared" si="0"/>
        <v>2</v>
      </c>
      <c r="T10" s="256">
        <f t="shared" si="0"/>
        <v>3</v>
      </c>
      <c r="U10" s="256">
        <f t="shared" si="0"/>
        <v>3</v>
      </c>
      <c r="V10" s="256">
        <f t="shared" si="0"/>
        <v>3</v>
      </c>
      <c r="W10" s="256">
        <f t="shared" si="0"/>
        <v>3</v>
      </c>
      <c r="X10" s="256">
        <f t="shared" si="0"/>
        <v>4</v>
      </c>
      <c r="Y10" s="256">
        <f t="shared" si="0"/>
        <v>4</v>
      </c>
      <c r="Z10" s="256">
        <f t="shared" si="0"/>
        <v>4</v>
      </c>
      <c r="AA10" s="256">
        <f t="shared" si="0"/>
        <v>4</v>
      </c>
      <c r="AB10" s="256">
        <f t="shared" si="0"/>
        <v>4</v>
      </c>
      <c r="AC10" s="256">
        <f t="shared" si="0"/>
        <v>4</v>
      </c>
      <c r="AD10" s="256">
        <f t="shared" si="0"/>
        <v>4</v>
      </c>
      <c r="AE10" s="256">
        <f t="shared" si="0"/>
        <v>4</v>
      </c>
      <c r="AF10" s="256">
        <f t="shared" si="0"/>
        <v>4</v>
      </c>
      <c r="AG10" s="256">
        <f t="shared" si="0"/>
        <v>4</v>
      </c>
      <c r="AH10" s="256">
        <f t="shared" si="0"/>
        <v>4</v>
      </c>
      <c r="AI10" s="256">
        <f t="shared" si="0"/>
        <v>4</v>
      </c>
      <c r="AJ10" s="256">
        <f t="shared" si="0"/>
        <v>4</v>
      </c>
      <c r="AK10" s="256">
        <f t="shared" si="0"/>
        <v>4</v>
      </c>
      <c r="AL10" s="256">
        <f t="shared" si="0"/>
        <v>4</v>
      </c>
      <c r="AM10" s="256">
        <f t="shared" si="0"/>
        <v>4</v>
      </c>
      <c r="AN10" s="256">
        <f t="shared" si="0"/>
        <v>4</v>
      </c>
      <c r="AO10" s="256">
        <f t="shared" si="0"/>
        <v>4</v>
      </c>
      <c r="AP10" s="256">
        <f t="shared" si="0"/>
        <v>4</v>
      </c>
      <c r="AQ10" s="256">
        <f t="shared" si="0"/>
        <v>4</v>
      </c>
      <c r="AR10" s="256">
        <f t="shared" si="0"/>
        <v>4</v>
      </c>
      <c r="AS10" s="256">
        <f t="shared" si="0"/>
        <v>4</v>
      </c>
      <c r="AT10" s="256">
        <f t="shared" si="0"/>
        <v>4</v>
      </c>
      <c r="AU10" s="256">
        <f t="shared" si="0"/>
        <v>4</v>
      </c>
    </row>
    <row r="11" spans="1:47" ht="32.4" x14ac:dyDescent="0.3">
      <c r="A11" s="246" t="s">
        <v>48</v>
      </c>
      <c r="B11" s="252" t="s">
        <v>60</v>
      </c>
      <c r="C11" s="253">
        <v>2028</v>
      </c>
      <c r="D11" s="253">
        <f t="shared" si="1"/>
        <v>2024</v>
      </c>
      <c r="E11" s="253">
        <f t="shared" si="2"/>
        <v>2028</v>
      </c>
      <c r="F11" s="253">
        <f t="shared" si="3"/>
        <v>2032</v>
      </c>
      <c r="G11" s="254" t="s">
        <v>61</v>
      </c>
      <c r="H11" s="255" t="s">
        <v>21</v>
      </c>
      <c r="I11" s="256">
        <f t="shared" si="4"/>
        <v>2</v>
      </c>
      <c r="J11" s="256">
        <f t="shared" si="4"/>
        <v>2</v>
      </c>
      <c r="K11" s="256">
        <f t="shared" si="4"/>
        <v>2</v>
      </c>
      <c r="L11" s="256">
        <f t="shared" si="4"/>
        <v>2</v>
      </c>
      <c r="M11" s="256">
        <f t="shared" si="4"/>
        <v>3</v>
      </c>
      <c r="N11" s="256">
        <f t="shared" si="4"/>
        <v>3</v>
      </c>
      <c r="O11" s="256">
        <f t="shared" si="4"/>
        <v>3</v>
      </c>
      <c r="P11" s="256">
        <f t="shared" si="4"/>
        <v>3</v>
      </c>
      <c r="Q11" s="256">
        <f t="shared" si="4"/>
        <v>4</v>
      </c>
      <c r="R11" s="256">
        <f t="shared" si="4"/>
        <v>4</v>
      </c>
      <c r="S11" s="256">
        <f t="shared" si="4"/>
        <v>4</v>
      </c>
      <c r="T11" s="256">
        <f t="shared" si="4"/>
        <v>4</v>
      </c>
      <c r="U11" s="256">
        <f t="shared" si="4"/>
        <v>4</v>
      </c>
      <c r="V11" s="256">
        <f t="shared" si="4"/>
        <v>4</v>
      </c>
      <c r="W11" s="256">
        <f t="shared" si="4"/>
        <v>4</v>
      </c>
      <c r="X11" s="256">
        <f t="shared" si="4"/>
        <v>4</v>
      </c>
      <c r="Y11" s="256">
        <f t="shared" ref="Y11:AN30" si="7">CHOOSE((Y$3&gt;=2024)+(Y$3&gt;=$D11)+(Y$3&gt;=$E11)+(Y$3&gt;=$F11),1,2,3,4)</f>
        <v>4</v>
      </c>
      <c r="Z11" s="256">
        <f t="shared" si="7"/>
        <v>4</v>
      </c>
      <c r="AA11" s="256">
        <f t="shared" si="7"/>
        <v>4</v>
      </c>
      <c r="AB11" s="256">
        <f t="shared" si="7"/>
        <v>4</v>
      </c>
      <c r="AC11" s="256">
        <f t="shared" si="7"/>
        <v>4</v>
      </c>
      <c r="AD11" s="256">
        <f t="shared" si="7"/>
        <v>4</v>
      </c>
      <c r="AE11" s="256">
        <f t="shared" si="7"/>
        <v>4</v>
      </c>
      <c r="AF11" s="256">
        <f t="shared" si="7"/>
        <v>4</v>
      </c>
      <c r="AG11" s="256">
        <f t="shared" si="7"/>
        <v>4</v>
      </c>
      <c r="AH11" s="256">
        <f t="shared" si="7"/>
        <v>4</v>
      </c>
      <c r="AI11" s="256">
        <f t="shared" si="7"/>
        <v>4</v>
      </c>
      <c r="AJ11" s="256">
        <f t="shared" si="7"/>
        <v>4</v>
      </c>
      <c r="AK11" s="256">
        <f t="shared" si="7"/>
        <v>4</v>
      </c>
      <c r="AL11" s="256">
        <f t="shared" ref="AL11:AU50" si="8">CHOOSE((AL$3&gt;=2024)+(AL$3&gt;=$D11)+(AL$3&gt;=$E11)+(AL$3&gt;=$F11),1,2,3,4)</f>
        <v>4</v>
      </c>
      <c r="AM11" s="256">
        <f t="shared" si="7"/>
        <v>4</v>
      </c>
      <c r="AN11" s="256">
        <f t="shared" si="7"/>
        <v>4</v>
      </c>
      <c r="AO11" s="256">
        <f t="shared" si="8"/>
        <v>4</v>
      </c>
      <c r="AP11" s="256">
        <f t="shared" si="8"/>
        <v>4</v>
      </c>
      <c r="AQ11" s="256">
        <f t="shared" si="8"/>
        <v>4</v>
      </c>
      <c r="AR11" s="256">
        <f t="shared" si="8"/>
        <v>4</v>
      </c>
      <c r="AS11" s="256">
        <f t="shared" si="8"/>
        <v>4</v>
      </c>
      <c r="AT11" s="256">
        <f t="shared" si="8"/>
        <v>4</v>
      </c>
      <c r="AU11" s="256">
        <f t="shared" si="8"/>
        <v>4</v>
      </c>
    </row>
    <row r="12" spans="1:47" ht="32.4" x14ac:dyDescent="0.3">
      <c r="A12" s="246" t="s">
        <v>48</v>
      </c>
      <c r="B12" s="252" t="s">
        <v>62</v>
      </c>
      <c r="C12" s="258" t="s">
        <v>63</v>
      </c>
      <c r="D12" s="259"/>
      <c r="E12" s="259"/>
      <c r="F12" s="260">
        <v>2024</v>
      </c>
      <c r="G12" s="254" t="s">
        <v>64</v>
      </c>
      <c r="H12" s="255" t="s">
        <v>27</v>
      </c>
      <c r="I12" s="256">
        <f t="shared" si="4"/>
        <v>4</v>
      </c>
      <c r="J12" s="256">
        <f t="shared" si="4"/>
        <v>4</v>
      </c>
      <c r="K12" s="256">
        <f t="shared" si="4"/>
        <v>4</v>
      </c>
      <c r="L12" s="256">
        <f t="shared" si="4"/>
        <v>4</v>
      </c>
      <c r="M12" s="256">
        <f t="shared" si="4"/>
        <v>4</v>
      </c>
      <c r="N12" s="256">
        <f t="shared" si="4"/>
        <v>4</v>
      </c>
      <c r="O12" s="256">
        <f t="shared" si="4"/>
        <v>4</v>
      </c>
      <c r="P12" s="256">
        <f t="shared" si="4"/>
        <v>4</v>
      </c>
      <c r="Q12" s="256">
        <f t="shared" si="4"/>
        <v>4</v>
      </c>
      <c r="R12" s="256">
        <f t="shared" si="4"/>
        <v>4</v>
      </c>
      <c r="S12" s="256">
        <f t="shared" si="4"/>
        <v>4</v>
      </c>
      <c r="T12" s="256">
        <f t="shared" si="4"/>
        <v>4</v>
      </c>
      <c r="U12" s="256">
        <f t="shared" si="4"/>
        <v>4</v>
      </c>
      <c r="V12" s="256">
        <f t="shared" si="4"/>
        <v>4</v>
      </c>
      <c r="W12" s="256">
        <f t="shared" si="4"/>
        <v>4</v>
      </c>
      <c r="X12" s="256">
        <f t="shared" si="4"/>
        <v>4</v>
      </c>
      <c r="Y12" s="256">
        <f t="shared" si="7"/>
        <v>4</v>
      </c>
      <c r="Z12" s="256">
        <f t="shared" si="7"/>
        <v>4</v>
      </c>
      <c r="AA12" s="256">
        <f t="shared" si="7"/>
        <v>4</v>
      </c>
      <c r="AB12" s="256">
        <f t="shared" si="7"/>
        <v>4</v>
      </c>
      <c r="AC12" s="256">
        <f t="shared" si="7"/>
        <v>4</v>
      </c>
      <c r="AD12" s="256">
        <f t="shared" si="7"/>
        <v>4</v>
      </c>
      <c r="AE12" s="256">
        <f t="shared" si="7"/>
        <v>4</v>
      </c>
      <c r="AF12" s="256">
        <f t="shared" si="7"/>
        <v>4</v>
      </c>
      <c r="AG12" s="256">
        <f t="shared" si="7"/>
        <v>4</v>
      </c>
      <c r="AH12" s="256">
        <f t="shared" si="7"/>
        <v>4</v>
      </c>
      <c r="AI12" s="256">
        <f t="shared" si="7"/>
        <v>4</v>
      </c>
      <c r="AJ12" s="256">
        <f t="shared" si="7"/>
        <v>4</v>
      </c>
      <c r="AK12" s="256">
        <f t="shared" si="7"/>
        <v>4</v>
      </c>
      <c r="AL12" s="256">
        <f t="shared" si="8"/>
        <v>4</v>
      </c>
      <c r="AM12" s="256">
        <f t="shared" si="7"/>
        <v>4</v>
      </c>
      <c r="AN12" s="256">
        <f t="shared" si="7"/>
        <v>4</v>
      </c>
      <c r="AO12" s="256">
        <f t="shared" si="8"/>
        <v>4</v>
      </c>
      <c r="AP12" s="256">
        <f t="shared" si="8"/>
        <v>4</v>
      </c>
      <c r="AQ12" s="256">
        <f t="shared" si="8"/>
        <v>4</v>
      </c>
      <c r="AR12" s="256">
        <f t="shared" si="8"/>
        <v>4</v>
      </c>
      <c r="AS12" s="256">
        <f t="shared" si="8"/>
        <v>4</v>
      </c>
      <c r="AT12" s="256">
        <f t="shared" si="8"/>
        <v>4</v>
      </c>
      <c r="AU12" s="256">
        <f t="shared" si="8"/>
        <v>4</v>
      </c>
    </row>
    <row r="13" spans="1:47" ht="26.4" x14ac:dyDescent="0.3">
      <c r="A13" s="246" t="s">
        <v>65</v>
      </c>
      <c r="B13" s="252" t="s">
        <v>66</v>
      </c>
      <c r="C13" s="253">
        <v>2050</v>
      </c>
      <c r="D13" s="253">
        <f>E13-4</f>
        <v>2046</v>
      </c>
      <c r="E13" s="253">
        <f>C13</f>
        <v>2050</v>
      </c>
      <c r="F13" s="261">
        <f>E13+4</f>
        <v>2054</v>
      </c>
      <c r="G13" s="257"/>
      <c r="H13" s="255" t="s">
        <v>29</v>
      </c>
      <c r="I13" s="256">
        <f t="shared" si="4"/>
        <v>1</v>
      </c>
      <c r="J13" s="256">
        <f t="shared" si="4"/>
        <v>1</v>
      </c>
      <c r="K13" s="256">
        <f t="shared" si="4"/>
        <v>1</v>
      </c>
      <c r="L13" s="256">
        <f t="shared" si="4"/>
        <v>1</v>
      </c>
      <c r="M13" s="256">
        <f t="shared" si="4"/>
        <v>1</v>
      </c>
      <c r="N13" s="256">
        <f t="shared" si="4"/>
        <v>1</v>
      </c>
      <c r="O13" s="256">
        <f t="shared" si="4"/>
        <v>1</v>
      </c>
      <c r="P13" s="256">
        <f t="shared" si="4"/>
        <v>1</v>
      </c>
      <c r="Q13" s="256">
        <f t="shared" si="4"/>
        <v>1</v>
      </c>
      <c r="R13" s="256">
        <f t="shared" si="4"/>
        <v>1</v>
      </c>
      <c r="S13" s="256">
        <f t="shared" si="4"/>
        <v>1</v>
      </c>
      <c r="T13" s="256">
        <f t="shared" si="4"/>
        <v>1</v>
      </c>
      <c r="U13" s="256">
        <f t="shared" si="4"/>
        <v>1</v>
      </c>
      <c r="V13" s="256">
        <f t="shared" si="4"/>
        <v>1</v>
      </c>
      <c r="W13" s="256">
        <f t="shared" si="4"/>
        <v>1</v>
      </c>
      <c r="X13" s="256">
        <f t="shared" si="4"/>
        <v>1</v>
      </c>
      <c r="Y13" s="256">
        <f t="shared" si="7"/>
        <v>1</v>
      </c>
      <c r="Z13" s="256">
        <f t="shared" si="7"/>
        <v>1</v>
      </c>
      <c r="AA13" s="256">
        <f t="shared" si="7"/>
        <v>1</v>
      </c>
      <c r="AB13" s="256">
        <f t="shared" si="7"/>
        <v>1</v>
      </c>
      <c r="AC13" s="256">
        <f t="shared" si="7"/>
        <v>1</v>
      </c>
      <c r="AD13" s="256">
        <f t="shared" si="7"/>
        <v>1</v>
      </c>
      <c r="AE13" s="256">
        <f t="shared" si="7"/>
        <v>2</v>
      </c>
      <c r="AF13" s="256">
        <f t="shared" si="7"/>
        <v>2</v>
      </c>
      <c r="AG13" s="256">
        <f t="shared" si="7"/>
        <v>2</v>
      </c>
      <c r="AH13" s="256">
        <f t="shared" si="7"/>
        <v>2</v>
      </c>
      <c r="AI13" s="256">
        <f t="shared" si="7"/>
        <v>3</v>
      </c>
      <c r="AJ13" s="256">
        <f t="shared" si="7"/>
        <v>3</v>
      </c>
      <c r="AK13" s="256">
        <f t="shared" si="7"/>
        <v>3</v>
      </c>
      <c r="AL13" s="256">
        <f t="shared" si="8"/>
        <v>3</v>
      </c>
      <c r="AM13" s="256">
        <f t="shared" si="7"/>
        <v>4</v>
      </c>
      <c r="AN13" s="256">
        <f t="shared" si="7"/>
        <v>4</v>
      </c>
      <c r="AO13" s="256">
        <f t="shared" si="8"/>
        <v>4</v>
      </c>
      <c r="AP13" s="256">
        <f t="shared" si="8"/>
        <v>4</v>
      </c>
      <c r="AQ13" s="256">
        <f t="shared" si="8"/>
        <v>4</v>
      </c>
      <c r="AR13" s="256">
        <f t="shared" si="8"/>
        <v>4</v>
      </c>
      <c r="AS13" s="256">
        <f t="shared" si="8"/>
        <v>4</v>
      </c>
      <c r="AT13" s="256">
        <f t="shared" si="8"/>
        <v>4</v>
      </c>
      <c r="AU13" s="256">
        <f t="shared" si="8"/>
        <v>4</v>
      </c>
    </row>
    <row r="14" spans="1:47" ht="26.4" x14ac:dyDescent="0.3">
      <c r="A14" s="246" t="s">
        <v>65</v>
      </c>
      <c r="B14" s="252" t="s">
        <v>67</v>
      </c>
      <c r="C14" s="253">
        <v>2050</v>
      </c>
      <c r="D14" s="253">
        <f>E14-4</f>
        <v>2046</v>
      </c>
      <c r="E14" s="253">
        <f>C14</f>
        <v>2050</v>
      </c>
      <c r="F14" s="261">
        <f>E14+4</f>
        <v>2054</v>
      </c>
      <c r="G14" s="257"/>
      <c r="H14" s="255" t="s">
        <v>29</v>
      </c>
      <c r="I14" s="256">
        <f t="shared" si="4"/>
        <v>1</v>
      </c>
      <c r="J14" s="256">
        <f t="shared" si="4"/>
        <v>1</v>
      </c>
      <c r="K14" s="256">
        <f t="shared" si="4"/>
        <v>1</v>
      </c>
      <c r="L14" s="256">
        <f t="shared" si="4"/>
        <v>1</v>
      </c>
      <c r="M14" s="256">
        <f t="shared" si="4"/>
        <v>1</v>
      </c>
      <c r="N14" s="256">
        <f t="shared" si="4"/>
        <v>1</v>
      </c>
      <c r="O14" s="256">
        <f t="shared" si="4"/>
        <v>1</v>
      </c>
      <c r="P14" s="256">
        <f t="shared" si="4"/>
        <v>1</v>
      </c>
      <c r="Q14" s="256">
        <f t="shared" si="4"/>
        <v>1</v>
      </c>
      <c r="R14" s="256">
        <f t="shared" si="4"/>
        <v>1</v>
      </c>
      <c r="S14" s="256">
        <f t="shared" si="4"/>
        <v>1</v>
      </c>
      <c r="T14" s="256">
        <f t="shared" si="4"/>
        <v>1</v>
      </c>
      <c r="U14" s="256">
        <f t="shared" si="4"/>
        <v>1</v>
      </c>
      <c r="V14" s="256">
        <f t="shared" si="4"/>
        <v>1</v>
      </c>
      <c r="W14" s="256">
        <f t="shared" si="4"/>
        <v>1</v>
      </c>
      <c r="X14" s="256">
        <f t="shared" si="4"/>
        <v>1</v>
      </c>
      <c r="Y14" s="256">
        <f t="shared" si="7"/>
        <v>1</v>
      </c>
      <c r="Z14" s="256">
        <f t="shared" si="7"/>
        <v>1</v>
      </c>
      <c r="AA14" s="256">
        <f t="shared" si="7"/>
        <v>1</v>
      </c>
      <c r="AB14" s="256">
        <f t="shared" si="7"/>
        <v>1</v>
      </c>
      <c r="AC14" s="256">
        <f t="shared" si="7"/>
        <v>1</v>
      </c>
      <c r="AD14" s="256">
        <f t="shared" si="7"/>
        <v>1</v>
      </c>
      <c r="AE14" s="256">
        <f t="shared" si="7"/>
        <v>2</v>
      </c>
      <c r="AF14" s="256">
        <f t="shared" si="7"/>
        <v>2</v>
      </c>
      <c r="AG14" s="256">
        <f t="shared" si="7"/>
        <v>2</v>
      </c>
      <c r="AH14" s="256">
        <f t="shared" si="7"/>
        <v>2</v>
      </c>
      <c r="AI14" s="256">
        <f t="shared" si="7"/>
        <v>3</v>
      </c>
      <c r="AJ14" s="256">
        <f t="shared" si="7"/>
        <v>3</v>
      </c>
      <c r="AK14" s="256">
        <f t="shared" si="7"/>
        <v>3</v>
      </c>
      <c r="AL14" s="256">
        <f t="shared" si="8"/>
        <v>3</v>
      </c>
      <c r="AM14" s="256">
        <f t="shared" si="7"/>
        <v>4</v>
      </c>
      <c r="AN14" s="256">
        <f t="shared" si="7"/>
        <v>4</v>
      </c>
      <c r="AO14" s="256">
        <f t="shared" si="8"/>
        <v>4</v>
      </c>
      <c r="AP14" s="256">
        <f t="shared" si="8"/>
        <v>4</v>
      </c>
      <c r="AQ14" s="256">
        <f t="shared" si="8"/>
        <v>4</v>
      </c>
      <c r="AR14" s="256">
        <f t="shared" si="8"/>
        <v>4</v>
      </c>
      <c r="AS14" s="256">
        <f t="shared" si="8"/>
        <v>4</v>
      </c>
      <c r="AT14" s="256">
        <f t="shared" si="8"/>
        <v>4</v>
      </c>
      <c r="AU14" s="256">
        <f t="shared" si="8"/>
        <v>4</v>
      </c>
    </row>
    <row r="15" spans="1:47" x14ac:dyDescent="0.3">
      <c r="A15" s="262" t="s">
        <v>22</v>
      </c>
      <c r="B15" s="263" t="s">
        <v>68</v>
      </c>
      <c r="C15" s="264">
        <v>2035</v>
      </c>
      <c r="D15" s="264">
        <f>E15-4</f>
        <v>2031</v>
      </c>
      <c r="E15" s="264">
        <f>C15</f>
        <v>2035</v>
      </c>
      <c r="F15" s="264">
        <f>E15+4</f>
        <v>2039</v>
      </c>
      <c r="G15" s="265"/>
      <c r="H15" s="255" t="s">
        <v>22</v>
      </c>
      <c r="I15" s="256">
        <f t="shared" si="4"/>
        <v>1</v>
      </c>
      <c r="J15" s="256">
        <f t="shared" si="4"/>
        <v>1</v>
      </c>
      <c r="K15" s="256">
        <f t="shared" si="4"/>
        <v>1</v>
      </c>
      <c r="L15" s="256">
        <f t="shared" si="4"/>
        <v>1</v>
      </c>
      <c r="M15" s="256">
        <f t="shared" si="4"/>
        <v>1</v>
      </c>
      <c r="N15" s="256">
        <f t="shared" si="4"/>
        <v>1</v>
      </c>
      <c r="O15" s="256">
        <f t="shared" si="4"/>
        <v>1</v>
      </c>
      <c r="P15" s="256">
        <f t="shared" si="4"/>
        <v>2</v>
      </c>
      <c r="Q15" s="256">
        <f t="shared" si="4"/>
        <v>2</v>
      </c>
      <c r="R15" s="256">
        <f t="shared" si="4"/>
        <v>2</v>
      </c>
      <c r="S15" s="256">
        <f t="shared" si="4"/>
        <v>2</v>
      </c>
      <c r="T15" s="256">
        <f t="shared" si="4"/>
        <v>3</v>
      </c>
      <c r="U15" s="256">
        <f t="shared" si="4"/>
        <v>3</v>
      </c>
      <c r="V15" s="256">
        <f t="shared" si="4"/>
        <v>3</v>
      </c>
      <c r="W15" s="256">
        <f t="shared" si="4"/>
        <v>3</v>
      </c>
      <c r="X15" s="256">
        <f t="shared" si="4"/>
        <v>4</v>
      </c>
      <c r="Y15" s="256">
        <f t="shared" si="7"/>
        <v>4</v>
      </c>
      <c r="Z15" s="256">
        <f t="shared" si="7"/>
        <v>4</v>
      </c>
      <c r="AA15" s="256">
        <f t="shared" si="7"/>
        <v>4</v>
      </c>
      <c r="AB15" s="256">
        <f t="shared" si="7"/>
        <v>4</v>
      </c>
      <c r="AC15" s="256">
        <f t="shared" si="7"/>
        <v>4</v>
      </c>
      <c r="AD15" s="256">
        <f t="shared" si="7"/>
        <v>4</v>
      </c>
      <c r="AE15" s="256">
        <f t="shared" si="7"/>
        <v>4</v>
      </c>
      <c r="AF15" s="256">
        <f t="shared" si="7"/>
        <v>4</v>
      </c>
      <c r="AG15" s="256">
        <f t="shared" si="7"/>
        <v>4</v>
      </c>
      <c r="AH15" s="256">
        <f t="shared" si="7"/>
        <v>4</v>
      </c>
      <c r="AI15" s="256">
        <f t="shared" si="7"/>
        <v>4</v>
      </c>
      <c r="AJ15" s="256">
        <f t="shared" si="7"/>
        <v>4</v>
      </c>
      <c r="AK15" s="256">
        <f t="shared" si="7"/>
        <v>4</v>
      </c>
      <c r="AL15" s="256">
        <f t="shared" si="8"/>
        <v>4</v>
      </c>
      <c r="AM15" s="256">
        <f t="shared" si="7"/>
        <v>4</v>
      </c>
      <c r="AN15" s="256">
        <f t="shared" si="7"/>
        <v>4</v>
      </c>
      <c r="AO15" s="256">
        <f t="shared" si="8"/>
        <v>4</v>
      </c>
      <c r="AP15" s="256">
        <f t="shared" si="8"/>
        <v>4</v>
      </c>
      <c r="AQ15" s="256">
        <f t="shared" si="8"/>
        <v>4</v>
      </c>
      <c r="AR15" s="256">
        <f t="shared" si="8"/>
        <v>4</v>
      </c>
      <c r="AS15" s="256">
        <f t="shared" si="8"/>
        <v>4</v>
      </c>
      <c r="AT15" s="256">
        <f t="shared" si="8"/>
        <v>4</v>
      </c>
      <c r="AU15" s="256">
        <f t="shared" si="8"/>
        <v>4</v>
      </c>
    </row>
    <row r="16" spans="1:47" x14ac:dyDescent="0.3">
      <c r="A16" s="262" t="s">
        <v>22</v>
      </c>
      <c r="B16" s="263" t="s">
        <v>69</v>
      </c>
      <c r="C16" s="264">
        <v>2040</v>
      </c>
      <c r="D16" s="264">
        <f t="shared" ref="D16:D19" si="9">E16-4</f>
        <v>2036</v>
      </c>
      <c r="E16" s="264">
        <f t="shared" ref="E16:E19" si="10">C16</f>
        <v>2040</v>
      </c>
      <c r="F16" s="264">
        <f t="shared" ref="F16:F19" si="11">E16+4</f>
        <v>2044</v>
      </c>
      <c r="G16" s="265"/>
      <c r="H16" s="255" t="s">
        <v>22</v>
      </c>
      <c r="I16" s="256">
        <f t="shared" si="4"/>
        <v>1</v>
      </c>
      <c r="J16" s="256">
        <f t="shared" si="4"/>
        <v>1</v>
      </c>
      <c r="K16" s="256">
        <f t="shared" si="4"/>
        <v>1</v>
      </c>
      <c r="L16" s="256">
        <f t="shared" si="4"/>
        <v>1</v>
      </c>
      <c r="M16" s="256">
        <f t="shared" si="4"/>
        <v>1</v>
      </c>
      <c r="N16" s="256">
        <f t="shared" si="4"/>
        <v>1</v>
      </c>
      <c r="O16" s="256">
        <f t="shared" si="4"/>
        <v>1</v>
      </c>
      <c r="P16" s="256">
        <f t="shared" si="4"/>
        <v>1</v>
      </c>
      <c r="Q16" s="256">
        <f t="shared" si="4"/>
        <v>1</v>
      </c>
      <c r="R16" s="256">
        <f t="shared" si="4"/>
        <v>1</v>
      </c>
      <c r="S16" s="256">
        <f t="shared" si="4"/>
        <v>1</v>
      </c>
      <c r="T16" s="256">
        <f t="shared" si="4"/>
        <v>1</v>
      </c>
      <c r="U16" s="256">
        <f t="shared" si="4"/>
        <v>2</v>
      </c>
      <c r="V16" s="256">
        <f t="shared" si="4"/>
        <v>2</v>
      </c>
      <c r="W16" s="256">
        <f t="shared" si="4"/>
        <v>2</v>
      </c>
      <c r="X16" s="256">
        <f t="shared" si="4"/>
        <v>2</v>
      </c>
      <c r="Y16" s="256">
        <f t="shared" si="7"/>
        <v>3</v>
      </c>
      <c r="Z16" s="256">
        <f t="shared" si="7"/>
        <v>3</v>
      </c>
      <c r="AA16" s="256">
        <f t="shared" si="7"/>
        <v>3</v>
      </c>
      <c r="AB16" s="256">
        <f t="shared" si="7"/>
        <v>3</v>
      </c>
      <c r="AC16" s="256">
        <f t="shared" si="7"/>
        <v>4</v>
      </c>
      <c r="AD16" s="256">
        <f t="shared" si="7"/>
        <v>4</v>
      </c>
      <c r="AE16" s="256">
        <f t="shared" si="7"/>
        <v>4</v>
      </c>
      <c r="AF16" s="256">
        <f t="shared" si="7"/>
        <v>4</v>
      </c>
      <c r="AG16" s="256">
        <f t="shared" si="7"/>
        <v>4</v>
      </c>
      <c r="AH16" s="256">
        <f t="shared" si="7"/>
        <v>4</v>
      </c>
      <c r="AI16" s="256">
        <f t="shared" si="7"/>
        <v>4</v>
      </c>
      <c r="AJ16" s="256">
        <f t="shared" si="7"/>
        <v>4</v>
      </c>
      <c r="AK16" s="256">
        <f t="shared" si="7"/>
        <v>4</v>
      </c>
      <c r="AL16" s="256">
        <f t="shared" si="8"/>
        <v>4</v>
      </c>
      <c r="AM16" s="256">
        <f t="shared" si="7"/>
        <v>4</v>
      </c>
      <c r="AN16" s="256">
        <f t="shared" si="7"/>
        <v>4</v>
      </c>
      <c r="AO16" s="256">
        <f t="shared" si="8"/>
        <v>4</v>
      </c>
      <c r="AP16" s="256">
        <f t="shared" si="8"/>
        <v>4</v>
      </c>
      <c r="AQ16" s="256">
        <f t="shared" si="8"/>
        <v>4</v>
      </c>
      <c r="AR16" s="256">
        <f t="shared" si="8"/>
        <v>4</v>
      </c>
      <c r="AS16" s="256">
        <f t="shared" si="8"/>
        <v>4</v>
      </c>
      <c r="AT16" s="256">
        <f t="shared" si="8"/>
        <v>4</v>
      </c>
      <c r="AU16" s="256">
        <f t="shared" si="8"/>
        <v>4</v>
      </c>
    </row>
    <row r="17" spans="1:47" x14ac:dyDescent="0.3">
      <c r="A17" s="262" t="s">
        <v>22</v>
      </c>
      <c r="B17" s="263" t="s">
        <v>70</v>
      </c>
      <c r="C17" s="264">
        <v>2045</v>
      </c>
      <c r="D17" s="264">
        <f t="shared" si="9"/>
        <v>2041</v>
      </c>
      <c r="E17" s="264">
        <f t="shared" si="10"/>
        <v>2045</v>
      </c>
      <c r="F17" s="264">
        <f t="shared" si="11"/>
        <v>2049</v>
      </c>
      <c r="G17" s="265"/>
      <c r="H17" s="255" t="s">
        <v>22</v>
      </c>
      <c r="I17" s="256">
        <f t="shared" si="4"/>
        <v>1</v>
      </c>
      <c r="J17" s="256">
        <f t="shared" si="4"/>
        <v>1</v>
      </c>
      <c r="K17" s="256">
        <f t="shared" si="4"/>
        <v>1</v>
      </c>
      <c r="L17" s="256">
        <f t="shared" si="4"/>
        <v>1</v>
      </c>
      <c r="M17" s="256">
        <f t="shared" si="4"/>
        <v>1</v>
      </c>
      <c r="N17" s="256">
        <f t="shared" si="4"/>
        <v>1</v>
      </c>
      <c r="O17" s="256">
        <f t="shared" si="4"/>
        <v>1</v>
      </c>
      <c r="P17" s="256">
        <f t="shared" si="4"/>
        <v>1</v>
      </c>
      <c r="Q17" s="256">
        <f t="shared" si="4"/>
        <v>1</v>
      </c>
      <c r="R17" s="256">
        <f t="shared" si="4"/>
        <v>1</v>
      </c>
      <c r="S17" s="256">
        <f t="shared" si="4"/>
        <v>1</v>
      </c>
      <c r="T17" s="256">
        <f t="shared" si="4"/>
        <v>1</v>
      </c>
      <c r="U17" s="256">
        <f t="shared" si="4"/>
        <v>1</v>
      </c>
      <c r="V17" s="256">
        <f t="shared" si="4"/>
        <v>1</v>
      </c>
      <c r="W17" s="256">
        <f t="shared" si="4"/>
        <v>1</v>
      </c>
      <c r="X17" s="256">
        <f t="shared" si="4"/>
        <v>1</v>
      </c>
      <c r="Y17" s="256">
        <f t="shared" si="7"/>
        <v>1</v>
      </c>
      <c r="Z17" s="256">
        <f t="shared" si="7"/>
        <v>2</v>
      </c>
      <c r="AA17" s="256">
        <f t="shared" si="7"/>
        <v>2</v>
      </c>
      <c r="AB17" s="256">
        <f t="shared" si="7"/>
        <v>2</v>
      </c>
      <c r="AC17" s="256">
        <f t="shared" si="7"/>
        <v>2</v>
      </c>
      <c r="AD17" s="256">
        <f t="shared" si="7"/>
        <v>3</v>
      </c>
      <c r="AE17" s="256">
        <f t="shared" si="7"/>
        <v>3</v>
      </c>
      <c r="AF17" s="256">
        <f t="shared" si="7"/>
        <v>3</v>
      </c>
      <c r="AG17" s="256">
        <f t="shared" si="7"/>
        <v>3</v>
      </c>
      <c r="AH17" s="256">
        <f t="shared" si="7"/>
        <v>4</v>
      </c>
      <c r="AI17" s="256">
        <f t="shared" si="7"/>
        <v>4</v>
      </c>
      <c r="AJ17" s="256">
        <f t="shared" si="7"/>
        <v>4</v>
      </c>
      <c r="AK17" s="256">
        <f t="shared" si="7"/>
        <v>4</v>
      </c>
      <c r="AL17" s="256">
        <f t="shared" si="8"/>
        <v>4</v>
      </c>
      <c r="AM17" s="256">
        <f t="shared" si="7"/>
        <v>4</v>
      </c>
      <c r="AN17" s="256">
        <f t="shared" si="7"/>
        <v>4</v>
      </c>
      <c r="AO17" s="256">
        <f t="shared" si="8"/>
        <v>4</v>
      </c>
      <c r="AP17" s="256">
        <f t="shared" si="8"/>
        <v>4</v>
      </c>
      <c r="AQ17" s="256">
        <f t="shared" si="8"/>
        <v>4</v>
      </c>
      <c r="AR17" s="256">
        <f t="shared" si="8"/>
        <v>4</v>
      </c>
      <c r="AS17" s="256">
        <f t="shared" si="8"/>
        <v>4</v>
      </c>
      <c r="AT17" s="256">
        <f t="shared" si="8"/>
        <v>4</v>
      </c>
      <c r="AU17" s="256">
        <f t="shared" si="8"/>
        <v>4</v>
      </c>
    </row>
    <row r="18" spans="1:47" x14ac:dyDescent="0.3">
      <c r="A18" s="262" t="s">
        <v>22</v>
      </c>
      <c r="B18" s="263" t="s">
        <v>71</v>
      </c>
      <c r="C18" s="264">
        <v>2040</v>
      </c>
      <c r="D18" s="264">
        <f t="shared" si="9"/>
        <v>2036</v>
      </c>
      <c r="E18" s="264">
        <f t="shared" si="10"/>
        <v>2040</v>
      </c>
      <c r="F18" s="264">
        <f t="shared" si="11"/>
        <v>2044</v>
      </c>
      <c r="G18" s="265"/>
      <c r="H18" s="255" t="s">
        <v>22</v>
      </c>
      <c r="I18" s="256">
        <f t="shared" si="4"/>
        <v>1</v>
      </c>
      <c r="J18" s="256">
        <f t="shared" si="4"/>
        <v>1</v>
      </c>
      <c r="K18" s="256">
        <f t="shared" si="4"/>
        <v>1</v>
      </c>
      <c r="L18" s="256">
        <f t="shared" si="4"/>
        <v>1</v>
      </c>
      <c r="M18" s="256">
        <f t="shared" si="4"/>
        <v>1</v>
      </c>
      <c r="N18" s="256">
        <f t="shared" si="4"/>
        <v>1</v>
      </c>
      <c r="O18" s="256">
        <f t="shared" si="4"/>
        <v>1</v>
      </c>
      <c r="P18" s="256">
        <f t="shared" si="4"/>
        <v>1</v>
      </c>
      <c r="Q18" s="256">
        <f t="shared" si="4"/>
        <v>1</v>
      </c>
      <c r="R18" s="256">
        <f t="shared" si="4"/>
        <v>1</v>
      </c>
      <c r="S18" s="256">
        <f t="shared" si="4"/>
        <v>1</v>
      </c>
      <c r="T18" s="256">
        <f t="shared" si="4"/>
        <v>1</v>
      </c>
      <c r="U18" s="256">
        <f t="shared" si="4"/>
        <v>2</v>
      </c>
      <c r="V18" s="256">
        <f t="shared" si="4"/>
        <v>2</v>
      </c>
      <c r="W18" s="256">
        <f t="shared" si="4"/>
        <v>2</v>
      </c>
      <c r="X18" s="256">
        <f t="shared" si="4"/>
        <v>2</v>
      </c>
      <c r="Y18" s="256">
        <f t="shared" si="7"/>
        <v>3</v>
      </c>
      <c r="Z18" s="256">
        <f t="shared" si="7"/>
        <v>3</v>
      </c>
      <c r="AA18" s="256">
        <f t="shared" si="7"/>
        <v>3</v>
      </c>
      <c r="AB18" s="256">
        <f t="shared" si="7"/>
        <v>3</v>
      </c>
      <c r="AC18" s="256">
        <f t="shared" si="7"/>
        <v>4</v>
      </c>
      <c r="AD18" s="256">
        <f t="shared" si="7"/>
        <v>4</v>
      </c>
      <c r="AE18" s="256">
        <f t="shared" si="7"/>
        <v>4</v>
      </c>
      <c r="AF18" s="256">
        <f t="shared" si="7"/>
        <v>4</v>
      </c>
      <c r="AG18" s="256">
        <f t="shared" si="7"/>
        <v>4</v>
      </c>
      <c r="AH18" s="256">
        <f t="shared" si="7"/>
        <v>4</v>
      </c>
      <c r="AI18" s="256">
        <f t="shared" si="7"/>
        <v>4</v>
      </c>
      <c r="AJ18" s="256">
        <f t="shared" si="7"/>
        <v>4</v>
      </c>
      <c r="AK18" s="256">
        <f t="shared" si="7"/>
        <v>4</v>
      </c>
      <c r="AL18" s="256">
        <f t="shared" si="8"/>
        <v>4</v>
      </c>
      <c r="AM18" s="256">
        <f t="shared" si="7"/>
        <v>4</v>
      </c>
      <c r="AN18" s="256">
        <f t="shared" si="7"/>
        <v>4</v>
      </c>
      <c r="AO18" s="256">
        <f t="shared" si="8"/>
        <v>4</v>
      </c>
      <c r="AP18" s="256">
        <f t="shared" si="8"/>
        <v>4</v>
      </c>
      <c r="AQ18" s="256">
        <f t="shared" si="8"/>
        <v>4</v>
      </c>
      <c r="AR18" s="256">
        <f t="shared" si="8"/>
        <v>4</v>
      </c>
      <c r="AS18" s="256">
        <f t="shared" si="8"/>
        <v>4</v>
      </c>
      <c r="AT18" s="256">
        <f t="shared" si="8"/>
        <v>4</v>
      </c>
      <c r="AU18" s="256">
        <f t="shared" si="8"/>
        <v>4</v>
      </c>
    </row>
    <row r="19" spans="1:47" ht="27.6" x14ac:dyDescent="0.3">
      <c r="A19" s="262" t="s">
        <v>22</v>
      </c>
      <c r="B19" s="263" t="s">
        <v>122</v>
      </c>
      <c r="C19" s="264">
        <v>2045</v>
      </c>
      <c r="D19" s="264">
        <f t="shared" si="9"/>
        <v>2041</v>
      </c>
      <c r="E19" s="264">
        <f t="shared" si="10"/>
        <v>2045</v>
      </c>
      <c r="F19" s="264">
        <f t="shared" si="11"/>
        <v>2049</v>
      </c>
      <c r="G19" s="265"/>
      <c r="H19" s="255" t="s">
        <v>22</v>
      </c>
      <c r="I19" s="256">
        <f t="shared" si="4"/>
        <v>1</v>
      </c>
      <c r="J19" s="256">
        <f t="shared" si="4"/>
        <v>1</v>
      </c>
      <c r="K19" s="256">
        <f t="shared" si="4"/>
        <v>1</v>
      </c>
      <c r="L19" s="256">
        <f t="shared" si="4"/>
        <v>1</v>
      </c>
      <c r="M19" s="256">
        <f t="shared" si="4"/>
        <v>1</v>
      </c>
      <c r="N19" s="256">
        <f t="shared" si="4"/>
        <v>1</v>
      </c>
      <c r="O19" s="256">
        <f t="shared" si="4"/>
        <v>1</v>
      </c>
      <c r="P19" s="256">
        <f t="shared" si="4"/>
        <v>1</v>
      </c>
      <c r="Q19" s="256">
        <f t="shared" si="4"/>
        <v>1</v>
      </c>
      <c r="R19" s="256">
        <f t="shared" si="4"/>
        <v>1</v>
      </c>
      <c r="S19" s="256">
        <f t="shared" si="4"/>
        <v>1</v>
      </c>
      <c r="T19" s="256">
        <f t="shared" si="4"/>
        <v>1</v>
      </c>
      <c r="U19" s="256">
        <f t="shared" si="4"/>
        <v>1</v>
      </c>
      <c r="V19" s="256">
        <f t="shared" si="4"/>
        <v>1</v>
      </c>
      <c r="W19" s="256">
        <f t="shared" si="4"/>
        <v>1</v>
      </c>
      <c r="X19" s="256">
        <f t="shared" si="4"/>
        <v>1</v>
      </c>
      <c r="Y19" s="256">
        <f t="shared" si="7"/>
        <v>1</v>
      </c>
      <c r="Z19" s="256">
        <f t="shared" si="7"/>
        <v>2</v>
      </c>
      <c r="AA19" s="256">
        <f t="shared" si="7"/>
        <v>2</v>
      </c>
      <c r="AB19" s="256">
        <f t="shared" si="7"/>
        <v>2</v>
      </c>
      <c r="AC19" s="256">
        <f t="shared" si="7"/>
        <v>2</v>
      </c>
      <c r="AD19" s="256">
        <f t="shared" si="7"/>
        <v>3</v>
      </c>
      <c r="AE19" s="256">
        <f t="shared" si="7"/>
        <v>3</v>
      </c>
      <c r="AF19" s="256">
        <f t="shared" si="7"/>
        <v>3</v>
      </c>
      <c r="AG19" s="256">
        <f t="shared" si="7"/>
        <v>3</v>
      </c>
      <c r="AH19" s="256">
        <f t="shared" si="7"/>
        <v>4</v>
      </c>
      <c r="AI19" s="256">
        <f t="shared" si="7"/>
        <v>4</v>
      </c>
      <c r="AJ19" s="256">
        <f t="shared" si="7"/>
        <v>4</v>
      </c>
      <c r="AK19" s="256">
        <f t="shared" si="7"/>
        <v>4</v>
      </c>
      <c r="AL19" s="256">
        <f t="shared" si="8"/>
        <v>4</v>
      </c>
      <c r="AM19" s="256">
        <f t="shared" si="7"/>
        <v>4</v>
      </c>
      <c r="AN19" s="256">
        <f t="shared" si="7"/>
        <v>4</v>
      </c>
      <c r="AO19" s="256">
        <f t="shared" si="8"/>
        <v>4</v>
      </c>
      <c r="AP19" s="256">
        <f t="shared" si="8"/>
        <v>4</v>
      </c>
      <c r="AQ19" s="256">
        <f t="shared" si="8"/>
        <v>4</v>
      </c>
      <c r="AR19" s="256">
        <f t="shared" si="8"/>
        <v>4</v>
      </c>
      <c r="AS19" s="256">
        <f t="shared" si="8"/>
        <v>4</v>
      </c>
      <c r="AT19" s="256">
        <f t="shared" si="8"/>
        <v>4</v>
      </c>
      <c r="AU19" s="256">
        <f t="shared" si="8"/>
        <v>4</v>
      </c>
    </row>
    <row r="20" spans="1:47" x14ac:dyDescent="0.3">
      <c r="A20" s="262" t="str">
        <f>A19</f>
        <v>Warkworth</v>
      </c>
      <c r="B20" s="263" t="str">
        <f>'OS Acq model'!D10</f>
        <v>Warkworth N LZ</v>
      </c>
      <c r="C20" s="264"/>
      <c r="D20" s="264">
        <f>'OS Acq model'!O10</f>
        <v>2022</v>
      </c>
      <c r="E20" s="264">
        <f>'OS Acq model'!P10</f>
        <v>2026</v>
      </c>
      <c r="F20" s="264">
        <f>'OS Acq model'!Q10</f>
        <v>2030</v>
      </c>
      <c r="G20" s="265"/>
      <c r="H20" s="255" t="s">
        <v>22</v>
      </c>
      <c r="I20" s="256">
        <f t="shared" si="4"/>
        <v>2</v>
      </c>
      <c r="J20" s="256">
        <f t="shared" si="4"/>
        <v>2</v>
      </c>
      <c r="K20" s="256">
        <f t="shared" si="4"/>
        <v>3</v>
      </c>
      <c r="L20" s="256">
        <f t="shared" si="4"/>
        <v>3</v>
      </c>
      <c r="M20" s="256">
        <f t="shared" si="4"/>
        <v>3</v>
      </c>
      <c r="N20" s="256">
        <f t="shared" si="4"/>
        <v>3</v>
      </c>
      <c r="O20" s="256">
        <f t="shared" si="4"/>
        <v>4</v>
      </c>
      <c r="P20" s="256">
        <f t="shared" si="4"/>
        <v>4</v>
      </c>
      <c r="Q20" s="256">
        <f t="shared" si="4"/>
        <v>4</v>
      </c>
      <c r="R20" s="256">
        <f t="shared" si="4"/>
        <v>4</v>
      </c>
      <c r="S20" s="256">
        <f t="shared" si="4"/>
        <v>4</v>
      </c>
      <c r="T20" s="256">
        <f t="shared" si="4"/>
        <v>4</v>
      </c>
      <c r="U20" s="256">
        <f t="shared" si="4"/>
        <v>4</v>
      </c>
      <c r="V20" s="256">
        <f t="shared" si="4"/>
        <v>4</v>
      </c>
      <c r="W20" s="256">
        <f t="shared" si="4"/>
        <v>4</v>
      </c>
      <c r="X20" s="256">
        <f t="shared" si="4"/>
        <v>4</v>
      </c>
      <c r="Y20" s="256">
        <f t="shared" si="7"/>
        <v>4</v>
      </c>
      <c r="Z20" s="256">
        <f t="shared" si="7"/>
        <v>4</v>
      </c>
      <c r="AA20" s="256">
        <f t="shared" si="7"/>
        <v>4</v>
      </c>
      <c r="AB20" s="256">
        <f t="shared" si="7"/>
        <v>4</v>
      </c>
      <c r="AC20" s="256">
        <f t="shared" si="7"/>
        <v>4</v>
      </c>
      <c r="AD20" s="256">
        <f t="shared" si="7"/>
        <v>4</v>
      </c>
      <c r="AE20" s="256">
        <f t="shared" si="7"/>
        <v>4</v>
      </c>
      <c r="AF20" s="256">
        <f t="shared" si="7"/>
        <v>4</v>
      </c>
      <c r="AG20" s="256">
        <f t="shared" si="7"/>
        <v>4</v>
      </c>
      <c r="AH20" s="256">
        <f t="shared" si="7"/>
        <v>4</v>
      </c>
      <c r="AI20" s="256">
        <f t="shared" si="7"/>
        <v>4</v>
      </c>
      <c r="AJ20" s="256">
        <f t="shared" si="7"/>
        <v>4</v>
      </c>
      <c r="AK20" s="256">
        <f t="shared" si="7"/>
        <v>4</v>
      </c>
      <c r="AL20" s="256">
        <f t="shared" si="7"/>
        <v>4</v>
      </c>
      <c r="AM20" s="256">
        <f t="shared" si="7"/>
        <v>4</v>
      </c>
      <c r="AN20" s="256">
        <f t="shared" si="7"/>
        <v>4</v>
      </c>
      <c r="AO20" s="256">
        <f t="shared" si="8"/>
        <v>4</v>
      </c>
      <c r="AP20" s="256">
        <f t="shared" si="8"/>
        <v>4</v>
      </c>
      <c r="AQ20" s="256">
        <f t="shared" si="8"/>
        <v>4</v>
      </c>
      <c r="AR20" s="256">
        <f t="shared" si="8"/>
        <v>4</v>
      </c>
      <c r="AS20" s="256">
        <f t="shared" si="8"/>
        <v>4</v>
      </c>
      <c r="AT20" s="256">
        <f t="shared" si="8"/>
        <v>4</v>
      </c>
      <c r="AU20" s="256">
        <f t="shared" si="8"/>
        <v>4</v>
      </c>
    </row>
    <row r="21" spans="1:47" x14ac:dyDescent="0.3">
      <c r="A21" s="262" t="str">
        <f>A20</f>
        <v>Warkworth</v>
      </c>
      <c r="B21" s="263" t="str">
        <f>'OS Acq model'!D11</f>
        <v>Warkworth West LZ</v>
      </c>
      <c r="C21" s="264"/>
      <c r="D21" s="264">
        <f>'OS Acq model'!O11</f>
        <v>2023</v>
      </c>
      <c r="E21" s="264">
        <f>'OS Acq model'!P11</f>
        <v>2027</v>
      </c>
      <c r="F21" s="264">
        <f>'OS Acq model'!Q11</f>
        <v>2031</v>
      </c>
      <c r="G21" s="265"/>
      <c r="H21" s="255" t="s">
        <v>22</v>
      </c>
      <c r="I21" s="256">
        <f t="shared" si="4"/>
        <v>2</v>
      </c>
      <c r="J21" s="256">
        <f t="shared" si="4"/>
        <v>2</v>
      </c>
      <c r="K21" s="256">
        <f t="shared" si="4"/>
        <v>2</v>
      </c>
      <c r="L21" s="256">
        <f t="shared" ref="L21:AU21" si="12">CHOOSE((L$3&gt;=2024)+(L$3&gt;=$D21)+(L$3&gt;=$E21)+(L$3&gt;=$F21),1,2,3,4)</f>
        <v>3</v>
      </c>
      <c r="M21" s="256">
        <f t="shared" si="12"/>
        <v>3</v>
      </c>
      <c r="N21" s="256">
        <f t="shared" si="12"/>
        <v>3</v>
      </c>
      <c r="O21" s="256">
        <f t="shared" si="12"/>
        <v>3</v>
      </c>
      <c r="P21" s="256">
        <f t="shared" si="12"/>
        <v>4</v>
      </c>
      <c r="Q21" s="256">
        <f t="shared" si="12"/>
        <v>4</v>
      </c>
      <c r="R21" s="256">
        <f t="shared" si="12"/>
        <v>4</v>
      </c>
      <c r="S21" s="256">
        <f t="shared" si="12"/>
        <v>4</v>
      </c>
      <c r="T21" s="256">
        <f t="shared" si="12"/>
        <v>4</v>
      </c>
      <c r="U21" s="256">
        <f t="shared" si="12"/>
        <v>4</v>
      </c>
      <c r="V21" s="256">
        <f t="shared" si="12"/>
        <v>4</v>
      </c>
      <c r="W21" s="256">
        <f t="shared" si="12"/>
        <v>4</v>
      </c>
      <c r="X21" s="256">
        <f t="shared" si="12"/>
        <v>4</v>
      </c>
      <c r="Y21" s="256">
        <f t="shared" si="12"/>
        <v>4</v>
      </c>
      <c r="Z21" s="256">
        <f t="shared" si="12"/>
        <v>4</v>
      </c>
      <c r="AA21" s="256">
        <f t="shared" si="12"/>
        <v>4</v>
      </c>
      <c r="AB21" s="256">
        <f t="shared" si="12"/>
        <v>4</v>
      </c>
      <c r="AC21" s="256">
        <f t="shared" si="12"/>
        <v>4</v>
      </c>
      <c r="AD21" s="256">
        <f t="shared" si="12"/>
        <v>4</v>
      </c>
      <c r="AE21" s="256">
        <f t="shared" si="12"/>
        <v>4</v>
      </c>
      <c r="AF21" s="256">
        <f t="shared" si="12"/>
        <v>4</v>
      </c>
      <c r="AG21" s="256">
        <f t="shared" si="12"/>
        <v>4</v>
      </c>
      <c r="AH21" s="256">
        <f t="shared" si="12"/>
        <v>4</v>
      </c>
      <c r="AI21" s="256">
        <f t="shared" si="12"/>
        <v>4</v>
      </c>
      <c r="AJ21" s="256">
        <f t="shared" si="12"/>
        <v>4</v>
      </c>
      <c r="AK21" s="256">
        <f t="shared" si="12"/>
        <v>4</v>
      </c>
      <c r="AL21" s="256">
        <f t="shared" si="12"/>
        <v>4</v>
      </c>
      <c r="AM21" s="256">
        <f t="shared" si="12"/>
        <v>4</v>
      </c>
      <c r="AN21" s="256">
        <f t="shared" si="12"/>
        <v>4</v>
      </c>
      <c r="AO21" s="256">
        <f t="shared" si="12"/>
        <v>4</v>
      </c>
      <c r="AP21" s="256">
        <f t="shared" si="12"/>
        <v>4</v>
      </c>
      <c r="AQ21" s="256">
        <f t="shared" si="12"/>
        <v>4</v>
      </c>
      <c r="AR21" s="256">
        <f t="shared" si="12"/>
        <v>4</v>
      </c>
      <c r="AS21" s="256">
        <f t="shared" si="12"/>
        <v>4</v>
      </c>
      <c r="AT21" s="256">
        <f t="shared" si="12"/>
        <v>4</v>
      </c>
      <c r="AU21" s="256">
        <f t="shared" si="12"/>
        <v>4</v>
      </c>
    </row>
    <row r="22" spans="1:47" x14ac:dyDescent="0.3">
      <c r="A22" s="262" t="s">
        <v>72</v>
      </c>
      <c r="B22" s="263" t="s">
        <v>73</v>
      </c>
      <c r="C22" s="264">
        <v>2030</v>
      </c>
      <c r="D22" s="264">
        <f>E22-4</f>
        <v>2026</v>
      </c>
      <c r="E22" s="264">
        <f>C22</f>
        <v>2030</v>
      </c>
      <c r="F22" s="264">
        <f>E22+4</f>
        <v>2034</v>
      </c>
      <c r="G22" s="265"/>
      <c r="H22" s="255" t="s">
        <v>23</v>
      </c>
      <c r="I22" s="256">
        <f t="shared" si="4"/>
        <v>1</v>
      </c>
      <c r="J22" s="256">
        <f t="shared" si="4"/>
        <v>1</v>
      </c>
      <c r="K22" s="256">
        <f t="shared" si="4"/>
        <v>2</v>
      </c>
      <c r="L22" s="256">
        <f t="shared" si="4"/>
        <v>2</v>
      </c>
      <c r="M22" s="256">
        <f t="shared" si="4"/>
        <v>2</v>
      </c>
      <c r="N22" s="256">
        <f t="shared" si="4"/>
        <v>2</v>
      </c>
      <c r="O22" s="256">
        <f t="shared" si="4"/>
        <v>3</v>
      </c>
      <c r="P22" s="256">
        <f t="shared" si="4"/>
        <v>3</v>
      </c>
      <c r="Q22" s="256">
        <f t="shared" si="4"/>
        <v>3</v>
      </c>
      <c r="R22" s="256">
        <f t="shared" si="4"/>
        <v>3</v>
      </c>
      <c r="S22" s="256">
        <f t="shared" si="4"/>
        <v>4</v>
      </c>
      <c r="T22" s="256">
        <f t="shared" si="4"/>
        <v>4</v>
      </c>
      <c r="U22" s="256">
        <f t="shared" si="4"/>
        <v>4</v>
      </c>
      <c r="V22" s="256">
        <f t="shared" si="4"/>
        <v>4</v>
      </c>
      <c r="W22" s="256">
        <f t="shared" si="4"/>
        <v>4</v>
      </c>
      <c r="X22" s="256">
        <f t="shared" si="4"/>
        <v>4</v>
      </c>
      <c r="Y22" s="256">
        <f t="shared" si="7"/>
        <v>4</v>
      </c>
      <c r="Z22" s="256">
        <f t="shared" si="7"/>
        <v>4</v>
      </c>
      <c r="AA22" s="256">
        <f t="shared" si="7"/>
        <v>4</v>
      </c>
      <c r="AB22" s="256">
        <f t="shared" si="7"/>
        <v>4</v>
      </c>
      <c r="AC22" s="256">
        <f t="shared" si="7"/>
        <v>4</v>
      </c>
      <c r="AD22" s="256">
        <f t="shared" si="7"/>
        <v>4</v>
      </c>
      <c r="AE22" s="256">
        <f t="shared" si="7"/>
        <v>4</v>
      </c>
      <c r="AF22" s="256">
        <f t="shared" si="7"/>
        <v>4</v>
      </c>
      <c r="AG22" s="256">
        <f t="shared" si="7"/>
        <v>4</v>
      </c>
      <c r="AH22" s="256">
        <f t="shared" si="7"/>
        <v>4</v>
      </c>
      <c r="AI22" s="256">
        <f t="shared" si="7"/>
        <v>4</v>
      </c>
      <c r="AJ22" s="256">
        <f t="shared" si="7"/>
        <v>4</v>
      </c>
      <c r="AK22" s="256">
        <f t="shared" si="7"/>
        <v>4</v>
      </c>
      <c r="AL22" s="256">
        <f t="shared" si="8"/>
        <v>4</v>
      </c>
      <c r="AM22" s="256">
        <f t="shared" si="7"/>
        <v>4</v>
      </c>
      <c r="AN22" s="256">
        <f t="shared" si="7"/>
        <v>4</v>
      </c>
      <c r="AO22" s="256">
        <f t="shared" si="8"/>
        <v>4</v>
      </c>
      <c r="AP22" s="256">
        <f t="shared" si="8"/>
        <v>4</v>
      </c>
      <c r="AQ22" s="256">
        <f t="shared" si="8"/>
        <v>4</v>
      </c>
      <c r="AR22" s="256">
        <f t="shared" si="8"/>
        <v>4</v>
      </c>
      <c r="AS22" s="256">
        <f t="shared" si="8"/>
        <v>4</v>
      </c>
      <c r="AT22" s="256">
        <f t="shared" si="8"/>
        <v>4</v>
      </c>
      <c r="AU22" s="256">
        <f t="shared" si="8"/>
        <v>4</v>
      </c>
    </row>
    <row r="23" spans="1:47" x14ac:dyDescent="0.3">
      <c r="A23" s="262" t="s">
        <v>72</v>
      </c>
      <c r="B23" s="263" t="s">
        <v>74</v>
      </c>
      <c r="C23" s="264">
        <v>2030</v>
      </c>
      <c r="D23" s="264">
        <f t="shared" ref="D23:D28" si="13">E23-4</f>
        <v>2026</v>
      </c>
      <c r="E23" s="264">
        <f t="shared" ref="E23:E27" si="14">C23</f>
        <v>2030</v>
      </c>
      <c r="F23" s="264">
        <f t="shared" ref="F23:F28" si="15">E23+4</f>
        <v>2034</v>
      </c>
      <c r="G23" s="265"/>
      <c r="H23" s="255" t="str">
        <f>H22</f>
        <v>Dairy Flat</v>
      </c>
      <c r="I23" s="256">
        <f t="shared" si="4"/>
        <v>1</v>
      </c>
      <c r="J23" s="256">
        <f t="shared" si="4"/>
        <v>1</v>
      </c>
      <c r="K23" s="256">
        <f t="shared" si="4"/>
        <v>2</v>
      </c>
      <c r="L23" s="256">
        <f t="shared" si="4"/>
        <v>2</v>
      </c>
      <c r="M23" s="256">
        <f t="shared" si="4"/>
        <v>2</v>
      </c>
      <c r="N23" s="256">
        <f t="shared" si="4"/>
        <v>2</v>
      </c>
      <c r="O23" s="256">
        <f t="shared" si="4"/>
        <v>3</v>
      </c>
      <c r="P23" s="256">
        <f t="shared" si="4"/>
        <v>3</v>
      </c>
      <c r="Q23" s="256">
        <f t="shared" si="4"/>
        <v>3</v>
      </c>
      <c r="R23" s="256">
        <f t="shared" si="4"/>
        <v>3</v>
      </c>
      <c r="S23" s="256">
        <f t="shared" si="4"/>
        <v>4</v>
      </c>
      <c r="T23" s="256">
        <f t="shared" si="4"/>
        <v>4</v>
      </c>
      <c r="U23" s="256">
        <f t="shared" si="4"/>
        <v>4</v>
      </c>
      <c r="V23" s="256">
        <f t="shared" si="4"/>
        <v>4</v>
      </c>
      <c r="W23" s="256">
        <f t="shared" si="4"/>
        <v>4</v>
      </c>
      <c r="X23" s="256">
        <f t="shared" si="4"/>
        <v>4</v>
      </c>
      <c r="Y23" s="256">
        <f t="shared" si="7"/>
        <v>4</v>
      </c>
      <c r="Z23" s="256">
        <f t="shared" si="7"/>
        <v>4</v>
      </c>
      <c r="AA23" s="256">
        <f t="shared" si="7"/>
        <v>4</v>
      </c>
      <c r="AB23" s="256">
        <f t="shared" si="7"/>
        <v>4</v>
      </c>
      <c r="AC23" s="256">
        <f t="shared" si="7"/>
        <v>4</v>
      </c>
      <c r="AD23" s="256">
        <f t="shared" si="7"/>
        <v>4</v>
      </c>
      <c r="AE23" s="256">
        <f t="shared" si="7"/>
        <v>4</v>
      </c>
      <c r="AF23" s="256">
        <f t="shared" si="7"/>
        <v>4</v>
      </c>
      <c r="AG23" s="256">
        <f t="shared" si="7"/>
        <v>4</v>
      </c>
      <c r="AH23" s="256">
        <f t="shared" si="7"/>
        <v>4</v>
      </c>
      <c r="AI23" s="256">
        <f t="shared" si="7"/>
        <v>4</v>
      </c>
      <c r="AJ23" s="256">
        <f t="shared" si="7"/>
        <v>4</v>
      </c>
      <c r="AK23" s="256">
        <f t="shared" si="7"/>
        <v>4</v>
      </c>
      <c r="AL23" s="256">
        <f t="shared" si="8"/>
        <v>4</v>
      </c>
      <c r="AM23" s="256">
        <f t="shared" si="7"/>
        <v>4</v>
      </c>
      <c r="AN23" s="256">
        <f t="shared" si="7"/>
        <v>4</v>
      </c>
      <c r="AO23" s="256">
        <f t="shared" si="8"/>
        <v>4</v>
      </c>
      <c r="AP23" s="256">
        <f t="shared" si="8"/>
        <v>4</v>
      </c>
      <c r="AQ23" s="256">
        <f t="shared" si="8"/>
        <v>4</v>
      </c>
      <c r="AR23" s="256">
        <f t="shared" si="8"/>
        <v>4</v>
      </c>
      <c r="AS23" s="256">
        <f t="shared" si="8"/>
        <v>4</v>
      </c>
      <c r="AT23" s="256">
        <f t="shared" si="8"/>
        <v>4</v>
      </c>
      <c r="AU23" s="256">
        <f t="shared" si="8"/>
        <v>4</v>
      </c>
    </row>
    <row r="24" spans="1:47" x14ac:dyDescent="0.3">
      <c r="A24" s="262" t="s">
        <v>72</v>
      </c>
      <c r="B24" s="263" t="s">
        <v>75</v>
      </c>
      <c r="C24" s="264">
        <v>2035</v>
      </c>
      <c r="D24" s="264">
        <f t="shared" si="13"/>
        <v>2031</v>
      </c>
      <c r="E24" s="264">
        <f t="shared" si="14"/>
        <v>2035</v>
      </c>
      <c r="F24" s="264">
        <f t="shared" si="15"/>
        <v>2039</v>
      </c>
      <c r="G24" s="265"/>
      <c r="H24" s="255" t="str">
        <f>H23</f>
        <v>Dairy Flat</v>
      </c>
      <c r="I24" s="256">
        <f t="shared" si="4"/>
        <v>1</v>
      </c>
      <c r="J24" s="256">
        <f t="shared" si="4"/>
        <v>1</v>
      </c>
      <c r="K24" s="256">
        <f t="shared" si="4"/>
        <v>1</v>
      </c>
      <c r="L24" s="256">
        <f t="shared" si="4"/>
        <v>1</v>
      </c>
      <c r="M24" s="256">
        <f t="shared" si="4"/>
        <v>1</v>
      </c>
      <c r="N24" s="256">
        <f t="shared" si="4"/>
        <v>1</v>
      </c>
      <c r="O24" s="256">
        <f t="shared" si="4"/>
        <v>1</v>
      </c>
      <c r="P24" s="256">
        <f t="shared" si="4"/>
        <v>2</v>
      </c>
      <c r="Q24" s="256">
        <f t="shared" si="4"/>
        <v>2</v>
      </c>
      <c r="R24" s="256">
        <f t="shared" si="4"/>
        <v>2</v>
      </c>
      <c r="S24" s="256">
        <f t="shared" si="4"/>
        <v>2</v>
      </c>
      <c r="T24" s="256">
        <f t="shared" si="4"/>
        <v>3</v>
      </c>
      <c r="U24" s="256">
        <f t="shared" si="4"/>
        <v>3</v>
      </c>
      <c r="V24" s="256">
        <f t="shared" si="4"/>
        <v>3</v>
      </c>
      <c r="W24" s="256">
        <f t="shared" si="4"/>
        <v>3</v>
      </c>
      <c r="X24" s="256">
        <f t="shared" si="4"/>
        <v>4</v>
      </c>
      <c r="Y24" s="256">
        <f t="shared" si="7"/>
        <v>4</v>
      </c>
      <c r="Z24" s="256">
        <f t="shared" si="7"/>
        <v>4</v>
      </c>
      <c r="AA24" s="256">
        <f t="shared" si="7"/>
        <v>4</v>
      </c>
      <c r="AB24" s="256">
        <f t="shared" si="7"/>
        <v>4</v>
      </c>
      <c r="AC24" s="256">
        <f t="shared" si="7"/>
        <v>4</v>
      </c>
      <c r="AD24" s="256">
        <f t="shared" si="7"/>
        <v>4</v>
      </c>
      <c r="AE24" s="256">
        <f t="shared" si="7"/>
        <v>4</v>
      </c>
      <c r="AF24" s="256">
        <f t="shared" si="7"/>
        <v>4</v>
      </c>
      <c r="AG24" s="256">
        <f t="shared" si="7"/>
        <v>4</v>
      </c>
      <c r="AH24" s="256">
        <f t="shared" si="7"/>
        <v>4</v>
      </c>
      <c r="AI24" s="256">
        <f t="shared" si="7"/>
        <v>4</v>
      </c>
      <c r="AJ24" s="256">
        <f t="shared" si="7"/>
        <v>4</v>
      </c>
      <c r="AK24" s="256">
        <f t="shared" si="7"/>
        <v>4</v>
      </c>
      <c r="AL24" s="256">
        <f t="shared" si="8"/>
        <v>4</v>
      </c>
      <c r="AM24" s="256">
        <f t="shared" si="7"/>
        <v>4</v>
      </c>
      <c r="AN24" s="256">
        <f t="shared" si="7"/>
        <v>4</v>
      </c>
      <c r="AO24" s="256">
        <f t="shared" si="8"/>
        <v>4</v>
      </c>
      <c r="AP24" s="256">
        <f t="shared" si="8"/>
        <v>4</v>
      </c>
      <c r="AQ24" s="256">
        <f t="shared" si="8"/>
        <v>4</v>
      </c>
      <c r="AR24" s="256">
        <f t="shared" si="8"/>
        <v>4</v>
      </c>
      <c r="AS24" s="256">
        <f t="shared" si="8"/>
        <v>4</v>
      </c>
      <c r="AT24" s="256">
        <f t="shared" si="8"/>
        <v>4</v>
      </c>
      <c r="AU24" s="256">
        <f t="shared" si="8"/>
        <v>4</v>
      </c>
    </row>
    <row r="25" spans="1:47" x14ac:dyDescent="0.3">
      <c r="A25" s="262" t="s">
        <v>72</v>
      </c>
      <c r="B25" s="263" t="s">
        <v>76</v>
      </c>
      <c r="C25" s="264">
        <v>2035</v>
      </c>
      <c r="D25" s="264">
        <f t="shared" si="13"/>
        <v>2031</v>
      </c>
      <c r="E25" s="264">
        <f t="shared" si="14"/>
        <v>2035</v>
      </c>
      <c r="F25" s="264">
        <f t="shared" si="15"/>
        <v>2039</v>
      </c>
      <c r="G25" s="265"/>
      <c r="H25" s="255" t="str">
        <f t="shared" ref="H25:H26" si="16">H24</f>
        <v>Dairy Flat</v>
      </c>
      <c r="I25" s="256">
        <f t="shared" si="4"/>
        <v>1</v>
      </c>
      <c r="J25" s="256">
        <f t="shared" si="4"/>
        <v>1</v>
      </c>
      <c r="K25" s="256">
        <f t="shared" si="4"/>
        <v>1</v>
      </c>
      <c r="L25" s="256">
        <f t="shared" si="4"/>
        <v>1</v>
      </c>
      <c r="M25" s="256">
        <f t="shared" si="4"/>
        <v>1</v>
      </c>
      <c r="N25" s="256">
        <f t="shared" si="4"/>
        <v>1</v>
      </c>
      <c r="O25" s="256">
        <f t="shared" si="4"/>
        <v>1</v>
      </c>
      <c r="P25" s="256">
        <f t="shared" si="4"/>
        <v>2</v>
      </c>
      <c r="Q25" s="256">
        <f t="shared" si="4"/>
        <v>2</v>
      </c>
      <c r="R25" s="256">
        <f t="shared" si="4"/>
        <v>2</v>
      </c>
      <c r="S25" s="256">
        <f t="shared" si="4"/>
        <v>2</v>
      </c>
      <c r="T25" s="256">
        <f t="shared" si="4"/>
        <v>3</v>
      </c>
      <c r="U25" s="256">
        <f t="shared" si="4"/>
        <v>3</v>
      </c>
      <c r="V25" s="256">
        <f t="shared" si="4"/>
        <v>3</v>
      </c>
      <c r="W25" s="256">
        <f t="shared" si="4"/>
        <v>3</v>
      </c>
      <c r="X25" s="256">
        <f t="shared" si="4"/>
        <v>4</v>
      </c>
      <c r="Y25" s="256">
        <f t="shared" si="7"/>
        <v>4</v>
      </c>
      <c r="Z25" s="256">
        <f t="shared" si="7"/>
        <v>4</v>
      </c>
      <c r="AA25" s="256">
        <f t="shared" si="7"/>
        <v>4</v>
      </c>
      <c r="AB25" s="256">
        <f t="shared" si="7"/>
        <v>4</v>
      </c>
      <c r="AC25" s="256">
        <f t="shared" si="7"/>
        <v>4</v>
      </c>
      <c r="AD25" s="256">
        <f t="shared" si="7"/>
        <v>4</v>
      </c>
      <c r="AE25" s="256">
        <f t="shared" si="7"/>
        <v>4</v>
      </c>
      <c r="AF25" s="256">
        <f t="shared" si="7"/>
        <v>4</v>
      </c>
      <c r="AG25" s="256">
        <f t="shared" si="7"/>
        <v>4</v>
      </c>
      <c r="AH25" s="256">
        <f t="shared" si="7"/>
        <v>4</v>
      </c>
      <c r="AI25" s="256">
        <f t="shared" si="7"/>
        <v>4</v>
      </c>
      <c r="AJ25" s="256">
        <f t="shared" si="7"/>
        <v>4</v>
      </c>
      <c r="AK25" s="256">
        <f t="shared" si="7"/>
        <v>4</v>
      </c>
      <c r="AL25" s="256">
        <f t="shared" si="8"/>
        <v>4</v>
      </c>
      <c r="AM25" s="256">
        <f t="shared" si="7"/>
        <v>4</v>
      </c>
      <c r="AN25" s="256">
        <f t="shared" si="7"/>
        <v>4</v>
      </c>
      <c r="AO25" s="256">
        <f t="shared" si="8"/>
        <v>4</v>
      </c>
      <c r="AP25" s="256">
        <f t="shared" si="8"/>
        <v>4</v>
      </c>
      <c r="AQ25" s="256">
        <f t="shared" si="8"/>
        <v>4</v>
      </c>
      <c r="AR25" s="256">
        <f t="shared" si="8"/>
        <v>4</v>
      </c>
      <c r="AS25" s="256">
        <f t="shared" si="8"/>
        <v>4</v>
      </c>
      <c r="AT25" s="256">
        <f t="shared" si="8"/>
        <v>4</v>
      </c>
      <c r="AU25" s="256">
        <f t="shared" si="8"/>
        <v>4</v>
      </c>
    </row>
    <row r="26" spans="1:47" x14ac:dyDescent="0.3">
      <c r="A26" s="262" t="s">
        <v>72</v>
      </c>
      <c r="B26" s="263" t="s">
        <v>23</v>
      </c>
      <c r="C26" s="264">
        <v>2050</v>
      </c>
      <c r="D26" s="264">
        <f t="shared" si="13"/>
        <v>2046</v>
      </c>
      <c r="E26" s="264">
        <f t="shared" si="14"/>
        <v>2050</v>
      </c>
      <c r="F26" s="264">
        <f t="shared" si="15"/>
        <v>2054</v>
      </c>
      <c r="G26" s="265"/>
      <c r="H26" s="255" t="str">
        <f t="shared" si="16"/>
        <v>Dairy Flat</v>
      </c>
      <c r="I26" s="256">
        <f t="shared" si="4"/>
        <v>1</v>
      </c>
      <c r="J26" s="256">
        <f t="shared" si="4"/>
        <v>1</v>
      </c>
      <c r="K26" s="256">
        <f t="shared" si="4"/>
        <v>1</v>
      </c>
      <c r="L26" s="256">
        <f t="shared" si="4"/>
        <v>1</v>
      </c>
      <c r="M26" s="256">
        <f t="shared" si="4"/>
        <v>1</v>
      </c>
      <c r="N26" s="256">
        <f t="shared" si="4"/>
        <v>1</v>
      </c>
      <c r="O26" s="256">
        <f t="shared" si="4"/>
        <v>1</v>
      </c>
      <c r="P26" s="256">
        <f t="shared" si="4"/>
        <v>1</v>
      </c>
      <c r="Q26" s="256">
        <f t="shared" si="4"/>
        <v>1</v>
      </c>
      <c r="R26" s="256">
        <f t="shared" ref="R26:AG41" si="17">CHOOSE((R$3&gt;=2024)+(R$3&gt;=$D26)+(R$3&gt;=$E26)+(R$3&gt;=$F26),1,2,3,4)</f>
        <v>1</v>
      </c>
      <c r="S26" s="256">
        <f t="shared" si="17"/>
        <v>1</v>
      </c>
      <c r="T26" s="256">
        <f t="shared" si="17"/>
        <v>1</v>
      </c>
      <c r="U26" s="256">
        <f t="shared" si="17"/>
        <v>1</v>
      </c>
      <c r="V26" s="256">
        <f t="shared" si="17"/>
        <v>1</v>
      </c>
      <c r="W26" s="256">
        <f t="shared" si="17"/>
        <v>1</v>
      </c>
      <c r="X26" s="256">
        <f t="shared" si="17"/>
        <v>1</v>
      </c>
      <c r="Y26" s="256">
        <f t="shared" si="17"/>
        <v>1</v>
      </c>
      <c r="Z26" s="256">
        <f t="shared" si="17"/>
        <v>1</v>
      </c>
      <c r="AA26" s="256">
        <f t="shared" si="17"/>
        <v>1</v>
      </c>
      <c r="AB26" s="256">
        <f t="shared" si="17"/>
        <v>1</v>
      </c>
      <c r="AC26" s="256">
        <f t="shared" si="17"/>
        <v>1</v>
      </c>
      <c r="AD26" s="256">
        <f t="shared" si="17"/>
        <v>1</v>
      </c>
      <c r="AE26" s="256">
        <f t="shared" si="17"/>
        <v>2</v>
      </c>
      <c r="AF26" s="256">
        <f t="shared" si="17"/>
        <v>2</v>
      </c>
      <c r="AG26" s="256">
        <f t="shared" si="17"/>
        <v>2</v>
      </c>
      <c r="AH26" s="256">
        <f t="shared" si="7"/>
        <v>2</v>
      </c>
      <c r="AI26" s="256">
        <f t="shared" si="7"/>
        <v>3</v>
      </c>
      <c r="AJ26" s="256">
        <f t="shared" si="7"/>
        <v>3</v>
      </c>
      <c r="AK26" s="256">
        <f t="shared" si="7"/>
        <v>3</v>
      </c>
      <c r="AL26" s="256">
        <f t="shared" si="8"/>
        <v>3</v>
      </c>
      <c r="AM26" s="256">
        <f t="shared" si="7"/>
        <v>4</v>
      </c>
      <c r="AN26" s="256">
        <f t="shared" si="7"/>
        <v>4</v>
      </c>
      <c r="AO26" s="256">
        <f t="shared" si="8"/>
        <v>4</v>
      </c>
      <c r="AP26" s="256">
        <f t="shared" si="8"/>
        <v>4</v>
      </c>
      <c r="AQ26" s="256">
        <f t="shared" si="8"/>
        <v>4</v>
      </c>
      <c r="AR26" s="256">
        <f t="shared" si="8"/>
        <v>4</v>
      </c>
      <c r="AS26" s="256">
        <f t="shared" si="8"/>
        <v>4</v>
      </c>
      <c r="AT26" s="256">
        <f t="shared" si="8"/>
        <v>4</v>
      </c>
      <c r="AU26" s="256">
        <f t="shared" si="8"/>
        <v>4</v>
      </c>
    </row>
    <row r="27" spans="1:47" x14ac:dyDescent="0.3">
      <c r="A27" s="262" t="s">
        <v>72</v>
      </c>
      <c r="B27" s="263" t="s">
        <v>77</v>
      </c>
      <c r="C27" s="266">
        <v>2050</v>
      </c>
      <c r="D27" s="264">
        <f t="shared" si="13"/>
        <v>2046</v>
      </c>
      <c r="E27" s="264">
        <f t="shared" si="14"/>
        <v>2050</v>
      </c>
      <c r="F27" s="264">
        <f t="shared" si="15"/>
        <v>2054</v>
      </c>
      <c r="G27" s="257"/>
      <c r="H27" s="255" t="str">
        <f>H28</f>
        <v>Orewa-Hibiscus</v>
      </c>
      <c r="I27" s="256">
        <f t="shared" ref="I27:X41" si="18">CHOOSE((I$3&gt;=2024)+(I$3&gt;=$D27)+(I$3&gt;=$E27)+(I$3&gt;=$F27),1,2,3,4)</f>
        <v>1</v>
      </c>
      <c r="J27" s="256">
        <f t="shared" si="18"/>
        <v>1</v>
      </c>
      <c r="K27" s="256">
        <f t="shared" si="18"/>
        <v>1</v>
      </c>
      <c r="L27" s="256">
        <f t="shared" si="18"/>
        <v>1</v>
      </c>
      <c r="M27" s="256">
        <f t="shared" si="18"/>
        <v>1</v>
      </c>
      <c r="N27" s="256">
        <f t="shared" si="18"/>
        <v>1</v>
      </c>
      <c r="O27" s="256">
        <f t="shared" si="18"/>
        <v>1</v>
      </c>
      <c r="P27" s="256">
        <f t="shared" si="18"/>
        <v>1</v>
      </c>
      <c r="Q27" s="256">
        <f t="shared" si="18"/>
        <v>1</v>
      </c>
      <c r="R27" s="256">
        <f t="shared" si="18"/>
        <v>1</v>
      </c>
      <c r="S27" s="256">
        <f t="shared" si="18"/>
        <v>1</v>
      </c>
      <c r="T27" s="256">
        <f t="shared" si="18"/>
        <v>1</v>
      </c>
      <c r="U27" s="256">
        <f t="shared" si="18"/>
        <v>1</v>
      </c>
      <c r="V27" s="256">
        <f t="shared" si="18"/>
        <v>1</v>
      </c>
      <c r="W27" s="256">
        <f t="shared" si="18"/>
        <v>1</v>
      </c>
      <c r="X27" s="256">
        <f t="shared" si="18"/>
        <v>1</v>
      </c>
      <c r="Y27" s="256">
        <f t="shared" si="17"/>
        <v>1</v>
      </c>
      <c r="Z27" s="256">
        <f t="shared" si="17"/>
        <v>1</v>
      </c>
      <c r="AA27" s="256">
        <f t="shared" si="17"/>
        <v>1</v>
      </c>
      <c r="AB27" s="256">
        <f t="shared" si="17"/>
        <v>1</v>
      </c>
      <c r="AC27" s="256">
        <f t="shared" si="17"/>
        <v>1</v>
      </c>
      <c r="AD27" s="256">
        <f t="shared" si="17"/>
        <v>1</v>
      </c>
      <c r="AE27" s="256">
        <f t="shared" si="17"/>
        <v>2</v>
      </c>
      <c r="AF27" s="256">
        <f t="shared" si="17"/>
        <v>2</v>
      </c>
      <c r="AG27" s="256">
        <f t="shared" si="17"/>
        <v>2</v>
      </c>
      <c r="AH27" s="256">
        <f t="shared" si="7"/>
        <v>2</v>
      </c>
      <c r="AI27" s="256">
        <f t="shared" si="7"/>
        <v>3</v>
      </c>
      <c r="AJ27" s="256">
        <f t="shared" si="7"/>
        <v>3</v>
      </c>
      <c r="AK27" s="256">
        <f t="shared" si="7"/>
        <v>3</v>
      </c>
      <c r="AL27" s="256">
        <f t="shared" si="8"/>
        <v>3</v>
      </c>
      <c r="AM27" s="256">
        <f t="shared" si="7"/>
        <v>4</v>
      </c>
      <c r="AN27" s="256">
        <f t="shared" si="7"/>
        <v>4</v>
      </c>
      <c r="AO27" s="256">
        <f t="shared" si="8"/>
        <v>4</v>
      </c>
      <c r="AP27" s="256">
        <f t="shared" si="8"/>
        <v>4</v>
      </c>
      <c r="AQ27" s="256">
        <f t="shared" si="8"/>
        <v>4</v>
      </c>
      <c r="AR27" s="256">
        <f t="shared" si="8"/>
        <v>4</v>
      </c>
      <c r="AS27" s="256">
        <f t="shared" si="8"/>
        <v>4</v>
      </c>
      <c r="AT27" s="256">
        <f t="shared" si="8"/>
        <v>4</v>
      </c>
      <c r="AU27" s="256">
        <f t="shared" si="8"/>
        <v>4</v>
      </c>
    </row>
    <row r="28" spans="1:47" x14ac:dyDescent="0.3">
      <c r="A28" s="262" t="s">
        <v>72</v>
      </c>
      <c r="B28" s="263" t="s">
        <v>78</v>
      </c>
      <c r="C28" s="253">
        <v>2050</v>
      </c>
      <c r="D28" s="264">
        <f t="shared" si="13"/>
        <v>2046</v>
      </c>
      <c r="E28" s="264">
        <f>C28</f>
        <v>2050</v>
      </c>
      <c r="F28" s="264">
        <f t="shared" si="15"/>
        <v>2054</v>
      </c>
      <c r="G28" s="257"/>
      <c r="H28" s="255" t="s">
        <v>24</v>
      </c>
      <c r="I28" s="256">
        <f t="shared" si="18"/>
        <v>1</v>
      </c>
      <c r="J28" s="256">
        <f t="shared" si="18"/>
        <v>1</v>
      </c>
      <c r="K28" s="256">
        <f t="shared" si="18"/>
        <v>1</v>
      </c>
      <c r="L28" s="256">
        <f t="shared" si="18"/>
        <v>1</v>
      </c>
      <c r="M28" s="256">
        <f t="shared" si="18"/>
        <v>1</v>
      </c>
      <c r="N28" s="256">
        <f t="shared" si="18"/>
        <v>1</v>
      </c>
      <c r="O28" s="256">
        <f t="shared" si="18"/>
        <v>1</v>
      </c>
      <c r="P28" s="256">
        <f t="shared" si="18"/>
        <v>1</v>
      </c>
      <c r="Q28" s="256">
        <f t="shared" si="18"/>
        <v>1</v>
      </c>
      <c r="R28" s="256">
        <f t="shared" si="18"/>
        <v>1</v>
      </c>
      <c r="S28" s="256">
        <f t="shared" si="18"/>
        <v>1</v>
      </c>
      <c r="T28" s="256">
        <f t="shared" si="18"/>
        <v>1</v>
      </c>
      <c r="U28" s="256">
        <f t="shared" si="18"/>
        <v>1</v>
      </c>
      <c r="V28" s="256">
        <f t="shared" si="18"/>
        <v>1</v>
      </c>
      <c r="W28" s="256">
        <f t="shared" si="18"/>
        <v>1</v>
      </c>
      <c r="X28" s="256">
        <f t="shared" si="18"/>
        <v>1</v>
      </c>
      <c r="Y28" s="256">
        <f t="shared" si="17"/>
        <v>1</v>
      </c>
      <c r="Z28" s="256">
        <f t="shared" si="17"/>
        <v>1</v>
      </c>
      <c r="AA28" s="256">
        <f t="shared" si="17"/>
        <v>1</v>
      </c>
      <c r="AB28" s="256">
        <f t="shared" si="17"/>
        <v>1</v>
      </c>
      <c r="AC28" s="256">
        <f t="shared" si="17"/>
        <v>1</v>
      </c>
      <c r="AD28" s="256">
        <f t="shared" si="17"/>
        <v>1</v>
      </c>
      <c r="AE28" s="256">
        <f t="shared" si="17"/>
        <v>2</v>
      </c>
      <c r="AF28" s="256">
        <f t="shared" si="17"/>
        <v>2</v>
      </c>
      <c r="AG28" s="256">
        <f t="shared" si="17"/>
        <v>2</v>
      </c>
      <c r="AH28" s="256">
        <f t="shared" si="7"/>
        <v>2</v>
      </c>
      <c r="AI28" s="256">
        <f t="shared" si="7"/>
        <v>3</v>
      </c>
      <c r="AJ28" s="256">
        <f t="shared" si="7"/>
        <v>3</v>
      </c>
      <c r="AK28" s="256">
        <f t="shared" si="7"/>
        <v>3</v>
      </c>
      <c r="AL28" s="256">
        <f t="shared" si="8"/>
        <v>3</v>
      </c>
      <c r="AM28" s="256">
        <f t="shared" si="7"/>
        <v>4</v>
      </c>
      <c r="AN28" s="256">
        <f t="shared" si="7"/>
        <v>4</v>
      </c>
      <c r="AO28" s="256">
        <f t="shared" si="8"/>
        <v>4</v>
      </c>
      <c r="AP28" s="256">
        <f t="shared" si="8"/>
        <v>4</v>
      </c>
      <c r="AQ28" s="256">
        <f t="shared" si="8"/>
        <v>4</v>
      </c>
      <c r="AR28" s="256">
        <f t="shared" si="8"/>
        <v>4</v>
      </c>
      <c r="AS28" s="256">
        <f t="shared" si="8"/>
        <v>4</v>
      </c>
      <c r="AT28" s="256">
        <f t="shared" si="8"/>
        <v>4</v>
      </c>
      <c r="AU28" s="256">
        <f t="shared" si="8"/>
        <v>4</v>
      </c>
    </row>
    <row r="29" spans="1:47" x14ac:dyDescent="0.3">
      <c r="A29" s="262" t="s">
        <v>38</v>
      </c>
      <c r="B29" s="263" t="s">
        <v>38</v>
      </c>
      <c r="C29" s="253">
        <v>2030</v>
      </c>
      <c r="D29" s="253">
        <f>E29-4</f>
        <v>2026</v>
      </c>
      <c r="E29" s="253">
        <f>C29</f>
        <v>2030</v>
      </c>
      <c r="F29" s="261">
        <f>E29+4</f>
        <v>2034</v>
      </c>
      <c r="G29" s="257"/>
      <c r="H29" s="255" t="s">
        <v>38</v>
      </c>
      <c r="I29" s="256">
        <f t="shared" si="18"/>
        <v>1</v>
      </c>
      <c r="J29" s="256">
        <f t="shared" si="18"/>
        <v>1</v>
      </c>
      <c r="K29" s="256">
        <f t="shared" si="18"/>
        <v>2</v>
      </c>
      <c r="L29" s="256">
        <f t="shared" si="18"/>
        <v>2</v>
      </c>
      <c r="M29" s="256">
        <f t="shared" si="18"/>
        <v>2</v>
      </c>
      <c r="N29" s="256">
        <f t="shared" si="18"/>
        <v>2</v>
      </c>
      <c r="O29" s="256">
        <f t="shared" si="18"/>
        <v>3</v>
      </c>
      <c r="P29" s="256">
        <f t="shared" si="18"/>
        <v>3</v>
      </c>
      <c r="Q29" s="256">
        <f t="shared" si="18"/>
        <v>3</v>
      </c>
      <c r="R29" s="256">
        <f t="shared" si="18"/>
        <v>3</v>
      </c>
      <c r="S29" s="256">
        <f t="shared" si="18"/>
        <v>4</v>
      </c>
      <c r="T29" s="256">
        <f t="shared" si="18"/>
        <v>4</v>
      </c>
      <c r="U29" s="256">
        <f t="shared" si="18"/>
        <v>4</v>
      </c>
      <c r="V29" s="256">
        <f t="shared" si="18"/>
        <v>4</v>
      </c>
      <c r="W29" s="256">
        <f t="shared" si="18"/>
        <v>4</v>
      </c>
      <c r="X29" s="256">
        <f t="shared" si="18"/>
        <v>4</v>
      </c>
      <c r="Y29" s="256">
        <f t="shared" si="17"/>
        <v>4</v>
      </c>
      <c r="Z29" s="256">
        <f t="shared" si="17"/>
        <v>4</v>
      </c>
      <c r="AA29" s="256">
        <f t="shared" si="17"/>
        <v>4</v>
      </c>
      <c r="AB29" s="256">
        <f t="shared" si="17"/>
        <v>4</v>
      </c>
      <c r="AC29" s="256">
        <f t="shared" si="17"/>
        <v>4</v>
      </c>
      <c r="AD29" s="256">
        <f t="shared" si="17"/>
        <v>4</v>
      </c>
      <c r="AE29" s="256">
        <f t="shared" si="17"/>
        <v>4</v>
      </c>
      <c r="AF29" s="256">
        <f t="shared" si="17"/>
        <v>4</v>
      </c>
      <c r="AG29" s="256">
        <f t="shared" si="17"/>
        <v>4</v>
      </c>
      <c r="AH29" s="256">
        <f t="shared" si="7"/>
        <v>4</v>
      </c>
      <c r="AI29" s="256">
        <f t="shared" si="7"/>
        <v>4</v>
      </c>
      <c r="AJ29" s="256">
        <f t="shared" si="7"/>
        <v>4</v>
      </c>
      <c r="AK29" s="256">
        <f t="shared" si="7"/>
        <v>4</v>
      </c>
      <c r="AL29" s="256">
        <f t="shared" si="8"/>
        <v>4</v>
      </c>
      <c r="AM29" s="256">
        <f t="shared" si="7"/>
        <v>4</v>
      </c>
      <c r="AN29" s="256">
        <f t="shared" si="7"/>
        <v>4</v>
      </c>
      <c r="AO29" s="256">
        <f t="shared" si="8"/>
        <v>4</v>
      </c>
      <c r="AP29" s="256">
        <f t="shared" si="8"/>
        <v>4</v>
      </c>
      <c r="AQ29" s="256">
        <f t="shared" si="8"/>
        <v>4</v>
      </c>
      <c r="AR29" s="256">
        <f t="shared" si="8"/>
        <v>4</v>
      </c>
      <c r="AS29" s="256">
        <f t="shared" si="8"/>
        <v>4</v>
      </c>
      <c r="AT29" s="256">
        <f t="shared" si="8"/>
        <v>4</v>
      </c>
      <c r="AU29" s="256">
        <f t="shared" si="8"/>
        <v>4</v>
      </c>
    </row>
    <row r="30" spans="1:47" x14ac:dyDescent="0.3">
      <c r="A30" s="262" t="s">
        <v>79</v>
      </c>
      <c r="B30" s="263" t="s">
        <v>79</v>
      </c>
      <c r="C30" s="253">
        <v>2050</v>
      </c>
      <c r="D30" s="253">
        <f>E30-4</f>
        <v>2046</v>
      </c>
      <c r="E30" s="253">
        <f>C30</f>
        <v>2050</v>
      </c>
      <c r="F30" s="261">
        <f>E30+4</f>
        <v>2054</v>
      </c>
      <c r="G30" s="257"/>
      <c r="H30" s="255" t="s">
        <v>36</v>
      </c>
      <c r="I30" s="256">
        <f t="shared" si="18"/>
        <v>1</v>
      </c>
      <c r="J30" s="256">
        <f t="shared" si="18"/>
        <v>1</v>
      </c>
      <c r="K30" s="256">
        <f t="shared" si="18"/>
        <v>1</v>
      </c>
      <c r="L30" s="256">
        <f t="shared" si="18"/>
        <v>1</v>
      </c>
      <c r="M30" s="256">
        <f t="shared" si="18"/>
        <v>1</v>
      </c>
      <c r="N30" s="256">
        <f t="shared" si="18"/>
        <v>1</v>
      </c>
      <c r="O30" s="256">
        <f t="shared" si="18"/>
        <v>1</v>
      </c>
      <c r="P30" s="256">
        <f t="shared" si="18"/>
        <v>1</v>
      </c>
      <c r="Q30" s="256">
        <f t="shared" si="18"/>
        <v>1</v>
      </c>
      <c r="R30" s="256">
        <f t="shared" si="18"/>
        <v>1</v>
      </c>
      <c r="S30" s="256">
        <f t="shared" si="18"/>
        <v>1</v>
      </c>
      <c r="T30" s="256">
        <f t="shared" si="18"/>
        <v>1</v>
      </c>
      <c r="U30" s="256">
        <f t="shared" si="18"/>
        <v>1</v>
      </c>
      <c r="V30" s="256">
        <f t="shared" si="18"/>
        <v>1</v>
      </c>
      <c r="W30" s="256">
        <f t="shared" si="18"/>
        <v>1</v>
      </c>
      <c r="X30" s="256">
        <f t="shared" si="18"/>
        <v>1</v>
      </c>
      <c r="Y30" s="256">
        <f t="shared" si="17"/>
        <v>1</v>
      </c>
      <c r="Z30" s="256">
        <f t="shared" si="17"/>
        <v>1</v>
      </c>
      <c r="AA30" s="256">
        <f t="shared" si="17"/>
        <v>1</v>
      </c>
      <c r="AB30" s="256">
        <f t="shared" si="17"/>
        <v>1</v>
      </c>
      <c r="AC30" s="256">
        <f t="shared" si="17"/>
        <v>1</v>
      </c>
      <c r="AD30" s="256">
        <f t="shared" si="17"/>
        <v>1</v>
      </c>
      <c r="AE30" s="256">
        <f t="shared" si="17"/>
        <v>2</v>
      </c>
      <c r="AF30" s="256">
        <f t="shared" si="17"/>
        <v>2</v>
      </c>
      <c r="AG30" s="256">
        <f t="shared" si="17"/>
        <v>2</v>
      </c>
      <c r="AH30" s="256">
        <f t="shared" si="7"/>
        <v>2</v>
      </c>
      <c r="AI30" s="256">
        <f t="shared" si="7"/>
        <v>3</v>
      </c>
      <c r="AJ30" s="256">
        <f t="shared" si="7"/>
        <v>3</v>
      </c>
      <c r="AK30" s="256">
        <f t="shared" si="7"/>
        <v>3</v>
      </c>
      <c r="AL30" s="256">
        <f t="shared" si="8"/>
        <v>3</v>
      </c>
      <c r="AM30" s="256">
        <f t="shared" si="7"/>
        <v>4</v>
      </c>
      <c r="AN30" s="256">
        <f t="shared" si="7"/>
        <v>4</v>
      </c>
      <c r="AO30" s="256">
        <f t="shared" si="8"/>
        <v>4</v>
      </c>
      <c r="AP30" s="256">
        <f t="shared" si="8"/>
        <v>4</v>
      </c>
      <c r="AQ30" s="256">
        <f t="shared" si="8"/>
        <v>4</v>
      </c>
      <c r="AR30" s="256">
        <f t="shared" si="8"/>
        <v>4</v>
      </c>
      <c r="AS30" s="256">
        <f t="shared" si="8"/>
        <v>4</v>
      </c>
      <c r="AT30" s="256">
        <f t="shared" si="8"/>
        <v>4</v>
      </c>
      <c r="AU30" s="256">
        <f t="shared" si="8"/>
        <v>4</v>
      </c>
    </row>
    <row r="31" spans="1:47" ht="26.4" x14ac:dyDescent="0.3">
      <c r="A31" s="262" t="s">
        <v>80</v>
      </c>
      <c r="B31" s="267" t="s">
        <v>81</v>
      </c>
      <c r="C31" s="253">
        <v>2050</v>
      </c>
      <c r="D31" s="253">
        <f>E31-4</f>
        <v>2046</v>
      </c>
      <c r="E31" s="253">
        <f>C31</f>
        <v>2050</v>
      </c>
      <c r="F31" s="253">
        <f>E31+4</f>
        <v>2054</v>
      </c>
      <c r="G31" s="257"/>
      <c r="H31" s="255" t="s">
        <v>37</v>
      </c>
      <c r="I31" s="256">
        <f t="shared" si="18"/>
        <v>1</v>
      </c>
      <c r="J31" s="256">
        <f t="shared" si="18"/>
        <v>1</v>
      </c>
      <c r="K31" s="256">
        <f t="shared" si="18"/>
        <v>1</v>
      </c>
      <c r="L31" s="256">
        <f t="shared" si="18"/>
        <v>1</v>
      </c>
      <c r="M31" s="256">
        <f t="shared" si="18"/>
        <v>1</v>
      </c>
      <c r="N31" s="256">
        <f t="shared" si="18"/>
        <v>1</v>
      </c>
      <c r="O31" s="256">
        <f t="shared" si="18"/>
        <v>1</v>
      </c>
      <c r="P31" s="256">
        <f t="shared" si="18"/>
        <v>1</v>
      </c>
      <c r="Q31" s="256">
        <f t="shared" si="18"/>
        <v>1</v>
      </c>
      <c r="R31" s="256">
        <f t="shared" si="18"/>
        <v>1</v>
      </c>
      <c r="S31" s="256">
        <f t="shared" si="18"/>
        <v>1</v>
      </c>
      <c r="T31" s="256">
        <f t="shared" si="18"/>
        <v>1</v>
      </c>
      <c r="U31" s="256">
        <f t="shared" si="18"/>
        <v>1</v>
      </c>
      <c r="V31" s="256">
        <f t="shared" si="18"/>
        <v>1</v>
      </c>
      <c r="W31" s="256">
        <f t="shared" si="18"/>
        <v>1</v>
      </c>
      <c r="X31" s="256">
        <f t="shared" si="18"/>
        <v>1</v>
      </c>
      <c r="Y31" s="256">
        <f t="shared" si="17"/>
        <v>1</v>
      </c>
      <c r="Z31" s="256">
        <f t="shared" si="17"/>
        <v>1</v>
      </c>
      <c r="AA31" s="256">
        <f t="shared" si="17"/>
        <v>1</v>
      </c>
      <c r="AB31" s="256">
        <f t="shared" si="17"/>
        <v>1</v>
      </c>
      <c r="AC31" s="256">
        <f t="shared" si="17"/>
        <v>1</v>
      </c>
      <c r="AD31" s="256">
        <f t="shared" si="17"/>
        <v>1</v>
      </c>
      <c r="AE31" s="256">
        <f t="shared" si="17"/>
        <v>2</v>
      </c>
      <c r="AF31" s="256">
        <f t="shared" si="17"/>
        <v>2</v>
      </c>
      <c r="AG31" s="256">
        <f t="shared" si="17"/>
        <v>2</v>
      </c>
      <c r="AH31" s="256">
        <f t="shared" ref="AH31:AU50" si="19">CHOOSE((AH$3&gt;=2024)+(AH$3&gt;=$D31)+(AH$3&gt;=$E31)+(AH$3&gt;=$F31),1,2,3,4)</f>
        <v>2</v>
      </c>
      <c r="AI31" s="256">
        <f t="shared" si="19"/>
        <v>3</v>
      </c>
      <c r="AJ31" s="256">
        <f t="shared" si="19"/>
        <v>3</v>
      </c>
      <c r="AK31" s="256">
        <f t="shared" si="19"/>
        <v>3</v>
      </c>
      <c r="AL31" s="256">
        <f t="shared" si="8"/>
        <v>3</v>
      </c>
      <c r="AM31" s="256">
        <f t="shared" si="19"/>
        <v>4</v>
      </c>
      <c r="AN31" s="256">
        <f t="shared" si="19"/>
        <v>4</v>
      </c>
      <c r="AO31" s="256">
        <f t="shared" si="19"/>
        <v>4</v>
      </c>
      <c r="AP31" s="256">
        <f t="shared" si="19"/>
        <v>4</v>
      </c>
      <c r="AQ31" s="256">
        <f t="shared" si="19"/>
        <v>4</v>
      </c>
      <c r="AR31" s="256">
        <f t="shared" si="19"/>
        <v>4</v>
      </c>
      <c r="AS31" s="256">
        <f t="shared" si="19"/>
        <v>4</v>
      </c>
      <c r="AT31" s="256">
        <f t="shared" si="19"/>
        <v>4</v>
      </c>
      <c r="AU31" s="256">
        <f t="shared" si="19"/>
        <v>4</v>
      </c>
    </row>
    <row r="32" spans="1:47" ht="26.4" x14ac:dyDescent="0.3">
      <c r="A32" s="262" t="s">
        <v>80</v>
      </c>
      <c r="B32" s="267" t="s">
        <v>82</v>
      </c>
      <c r="C32" s="253">
        <v>2035</v>
      </c>
      <c r="D32" s="253">
        <f t="shared" ref="D32:D36" si="20">E32-4</f>
        <v>2031</v>
      </c>
      <c r="E32" s="253">
        <f t="shared" ref="E32:E36" si="21">C32</f>
        <v>2035</v>
      </c>
      <c r="F32" s="253">
        <f t="shared" ref="F32:F36" si="22">E32+4</f>
        <v>2039</v>
      </c>
      <c r="G32" s="257"/>
      <c r="H32" s="255" t="s">
        <v>37</v>
      </c>
      <c r="I32" s="256">
        <f t="shared" si="18"/>
        <v>1</v>
      </c>
      <c r="J32" s="256">
        <f t="shared" si="18"/>
        <v>1</v>
      </c>
      <c r="K32" s="256">
        <f t="shared" si="18"/>
        <v>1</v>
      </c>
      <c r="L32" s="256">
        <f t="shared" si="18"/>
        <v>1</v>
      </c>
      <c r="M32" s="256">
        <f t="shared" si="18"/>
        <v>1</v>
      </c>
      <c r="N32" s="256">
        <f t="shared" si="18"/>
        <v>1</v>
      </c>
      <c r="O32" s="256">
        <f t="shared" si="18"/>
        <v>1</v>
      </c>
      <c r="P32" s="256">
        <f t="shared" si="18"/>
        <v>2</v>
      </c>
      <c r="Q32" s="256">
        <f t="shared" si="18"/>
        <v>2</v>
      </c>
      <c r="R32" s="256">
        <f t="shared" si="18"/>
        <v>2</v>
      </c>
      <c r="S32" s="256">
        <f t="shared" si="18"/>
        <v>2</v>
      </c>
      <c r="T32" s="256">
        <f t="shared" si="18"/>
        <v>3</v>
      </c>
      <c r="U32" s="256">
        <f t="shared" si="18"/>
        <v>3</v>
      </c>
      <c r="V32" s="256">
        <f t="shared" si="18"/>
        <v>3</v>
      </c>
      <c r="W32" s="256">
        <f t="shared" si="18"/>
        <v>3</v>
      </c>
      <c r="X32" s="256">
        <f t="shared" si="18"/>
        <v>4</v>
      </c>
      <c r="Y32" s="256">
        <f t="shared" si="17"/>
        <v>4</v>
      </c>
      <c r="Z32" s="256">
        <f t="shared" si="17"/>
        <v>4</v>
      </c>
      <c r="AA32" s="256">
        <f t="shared" si="17"/>
        <v>4</v>
      </c>
      <c r="AB32" s="256">
        <f t="shared" si="17"/>
        <v>4</v>
      </c>
      <c r="AC32" s="256">
        <f t="shared" si="17"/>
        <v>4</v>
      </c>
      <c r="AD32" s="256">
        <f t="shared" si="17"/>
        <v>4</v>
      </c>
      <c r="AE32" s="256">
        <f t="shared" si="17"/>
        <v>4</v>
      </c>
      <c r="AF32" s="256">
        <f t="shared" si="17"/>
        <v>4</v>
      </c>
      <c r="AG32" s="256">
        <f t="shared" si="17"/>
        <v>4</v>
      </c>
      <c r="AH32" s="256">
        <f t="shared" si="19"/>
        <v>4</v>
      </c>
      <c r="AI32" s="256">
        <f t="shared" si="19"/>
        <v>4</v>
      </c>
      <c r="AJ32" s="256">
        <f t="shared" si="19"/>
        <v>4</v>
      </c>
      <c r="AK32" s="256">
        <f t="shared" si="19"/>
        <v>4</v>
      </c>
      <c r="AL32" s="256">
        <f t="shared" si="8"/>
        <v>4</v>
      </c>
      <c r="AM32" s="256">
        <f t="shared" si="19"/>
        <v>4</v>
      </c>
      <c r="AN32" s="256">
        <f t="shared" si="19"/>
        <v>4</v>
      </c>
      <c r="AO32" s="256">
        <f t="shared" si="19"/>
        <v>4</v>
      </c>
      <c r="AP32" s="256">
        <f t="shared" si="19"/>
        <v>4</v>
      </c>
      <c r="AQ32" s="256">
        <f t="shared" si="19"/>
        <v>4</v>
      </c>
      <c r="AR32" s="256">
        <f t="shared" si="19"/>
        <v>4</v>
      </c>
      <c r="AS32" s="256">
        <f t="shared" si="19"/>
        <v>4</v>
      </c>
      <c r="AT32" s="256">
        <f t="shared" si="19"/>
        <v>4</v>
      </c>
      <c r="AU32" s="256">
        <f t="shared" si="19"/>
        <v>4</v>
      </c>
    </row>
    <row r="33" spans="1:47" ht="27.6" x14ac:dyDescent="0.3">
      <c r="A33" s="262" t="s">
        <v>80</v>
      </c>
      <c r="B33" s="267" t="s">
        <v>83</v>
      </c>
      <c r="C33" s="253">
        <v>2035</v>
      </c>
      <c r="D33" s="253">
        <f t="shared" si="20"/>
        <v>2031</v>
      </c>
      <c r="E33" s="253">
        <f t="shared" si="21"/>
        <v>2035</v>
      </c>
      <c r="F33" s="253">
        <f t="shared" si="22"/>
        <v>2039</v>
      </c>
      <c r="G33" s="257"/>
      <c r="H33" s="255" t="s">
        <v>37</v>
      </c>
      <c r="I33" s="256">
        <f t="shared" si="18"/>
        <v>1</v>
      </c>
      <c r="J33" s="256">
        <f t="shared" si="18"/>
        <v>1</v>
      </c>
      <c r="K33" s="256">
        <f t="shared" si="18"/>
        <v>1</v>
      </c>
      <c r="L33" s="256">
        <f t="shared" si="18"/>
        <v>1</v>
      </c>
      <c r="M33" s="256">
        <f t="shared" si="18"/>
        <v>1</v>
      </c>
      <c r="N33" s="256">
        <f t="shared" si="18"/>
        <v>1</v>
      </c>
      <c r="O33" s="256">
        <f t="shared" si="18"/>
        <v>1</v>
      </c>
      <c r="P33" s="256">
        <f t="shared" si="18"/>
        <v>2</v>
      </c>
      <c r="Q33" s="256">
        <f t="shared" si="18"/>
        <v>2</v>
      </c>
      <c r="R33" s="256">
        <f t="shared" si="18"/>
        <v>2</v>
      </c>
      <c r="S33" s="256">
        <f t="shared" si="18"/>
        <v>2</v>
      </c>
      <c r="T33" s="256">
        <f t="shared" si="18"/>
        <v>3</v>
      </c>
      <c r="U33" s="256">
        <f t="shared" si="18"/>
        <v>3</v>
      </c>
      <c r="V33" s="256">
        <f t="shared" si="18"/>
        <v>3</v>
      </c>
      <c r="W33" s="256">
        <f t="shared" si="18"/>
        <v>3</v>
      </c>
      <c r="X33" s="256">
        <f t="shared" si="18"/>
        <v>4</v>
      </c>
      <c r="Y33" s="256">
        <f t="shared" si="17"/>
        <v>4</v>
      </c>
      <c r="Z33" s="256">
        <f t="shared" si="17"/>
        <v>4</v>
      </c>
      <c r="AA33" s="256">
        <f t="shared" si="17"/>
        <v>4</v>
      </c>
      <c r="AB33" s="256">
        <f t="shared" si="17"/>
        <v>4</v>
      </c>
      <c r="AC33" s="256">
        <f t="shared" si="17"/>
        <v>4</v>
      </c>
      <c r="AD33" s="256">
        <f t="shared" si="17"/>
        <v>4</v>
      </c>
      <c r="AE33" s="256">
        <f t="shared" si="17"/>
        <v>4</v>
      </c>
      <c r="AF33" s="256">
        <f t="shared" si="17"/>
        <v>4</v>
      </c>
      <c r="AG33" s="256">
        <f t="shared" si="17"/>
        <v>4</v>
      </c>
      <c r="AH33" s="256">
        <f t="shared" si="19"/>
        <v>4</v>
      </c>
      <c r="AI33" s="256">
        <f t="shared" si="19"/>
        <v>4</v>
      </c>
      <c r="AJ33" s="256">
        <f t="shared" si="19"/>
        <v>4</v>
      </c>
      <c r="AK33" s="256">
        <f t="shared" si="19"/>
        <v>4</v>
      </c>
      <c r="AL33" s="256">
        <f t="shared" si="8"/>
        <v>4</v>
      </c>
      <c r="AM33" s="256">
        <f t="shared" si="19"/>
        <v>4</v>
      </c>
      <c r="AN33" s="256">
        <f t="shared" si="19"/>
        <v>4</v>
      </c>
      <c r="AO33" s="256">
        <f t="shared" si="19"/>
        <v>4</v>
      </c>
      <c r="AP33" s="256">
        <f t="shared" si="19"/>
        <v>4</v>
      </c>
      <c r="AQ33" s="256">
        <f t="shared" si="19"/>
        <v>4</v>
      </c>
      <c r="AR33" s="256">
        <f t="shared" si="19"/>
        <v>4</v>
      </c>
      <c r="AS33" s="256">
        <f t="shared" si="19"/>
        <v>4</v>
      </c>
      <c r="AT33" s="256">
        <f t="shared" si="19"/>
        <v>4</v>
      </c>
      <c r="AU33" s="256">
        <f t="shared" si="19"/>
        <v>4</v>
      </c>
    </row>
    <row r="34" spans="1:47" ht="26.4" x14ac:dyDescent="0.3">
      <c r="A34" s="262" t="s">
        <v>80</v>
      </c>
      <c r="B34" s="267" t="s">
        <v>84</v>
      </c>
      <c r="C34" s="253">
        <v>2035</v>
      </c>
      <c r="D34" s="253">
        <f t="shared" si="20"/>
        <v>2031</v>
      </c>
      <c r="E34" s="253">
        <f t="shared" si="21"/>
        <v>2035</v>
      </c>
      <c r="F34" s="253">
        <f t="shared" si="22"/>
        <v>2039</v>
      </c>
      <c r="G34" s="257"/>
      <c r="H34" s="255" t="s">
        <v>37</v>
      </c>
      <c r="I34" s="256">
        <f t="shared" si="18"/>
        <v>1</v>
      </c>
      <c r="J34" s="256">
        <f t="shared" si="18"/>
        <v>1</v>
      </c>
      <c r="K34" s="256">
        <f t="shared" si="18"/>
        <v>1</v>
      </c>
      <c r="L34" s="256">
        <f t="shared" si="18"/>
        <v>1</v>
      </c>
      <c r="M34" s="256">
        <f t="shared" si="18"/>
        <v>1</v>
      </c>
      <c r="N34" s="256">
        <f t="shared" si="18"/>
        <v>1</v>
      </c>
      <c r="O34" s="256">
        <f t="shared" si="18"/>
        <v>1</v>
      </c>
      <c r="P34" s="256">
        <f t="shared" si="18"/>
        <v>2</v>
      </c>
      <c r="Q34" s="256">
        <f t="shared" si="18"/>
        <v>2</v>
      </c>
      <c r="R34" s="256">
        <f t="shared" si="18"/>
        <v>2</v>
      </c>
      <c r="S34" s="256">
        <f t="shared" si="18"/>
        <v>2</v>
      </c>
      <c r="T34" s="256">
        <f t="shared" si="18"/>
        <v>3</v>
      </c>
      <c r="U34" s="256">
        <f t="shared" si="18"/>
        <v>3</v>
      </c>
      <c r="V34" s="256">
        <f t="shared" si="18"/>
        <v>3</v>
      </c>
      <c r="W34" s="256">
        <f t="shared" si="18"/>
        <v>3</v>
      </c>
      <c r="X34" s="256">
        <f t="shared" si="18"/>
        <v>4</v>
      </c>
      <c r="Y34" s="256">
        <f t="shared" si="17"/>
        <v>4</v>
      </c>
      <c r="Z34" s="256">
        <f t="shared" si="17"/>
        <v>4</v>
      </c>
      <c r="AA34" s="256">
        <f t="shared" si="17"/>
        <v>4</v>
      </c>
      <c r="AB34" s="256">
        <f t="shared" si="17"/>
        <v>4</v>
      </c>
      <c r="AC34" s="256">
        <f t="shared" si="17"/>
        <v>4</v>
      </c>
      <c r="AD34" s="256">
        <f t="shared" si="17"/>
        <v>4</v>
      </c>
      <c r="AE34" s="256">
        <f t="shared" si="17"/>
        <v>4</v>
      </c>
      <c r="AF34" s="256">
        <f t="shared" si="17"/>
        <v>4</v>
      </c>
      <c r="AG34" s="256">
        <f t="shared" si="17"/>
        <v>4</v>
      </c>
      <c r="AH34" s="256">
        <f t="shared" si="19"/>
        <v>4</v>
      </c>
      <c r="AI34" s="256">
        <f t="shared" si="19"/>
        <v>4</v>
      </c>
      <c r="AJ34" s="256">
        <f t="shared" si="19"/>
        <v>4</v>
      </c>
      <c r="AK34" s="256">
        <f t="shared" si="19"/>
        <v>4</v>
      </c>
      <c r="AL34" s="256">
        <f t="shared" si="8"/>
        <v>4</v>
      </c>
      <c r="AM34" s="256">
        <f t="shared" si="19"/>
        <v>4</v>
      </c>
      <c r="AN34" s="256">
        <f t="shared" si="19"/>
        <v>4</v>
      </c>
      <c r="AO34" s="256">
        <f t="shared" si="19"/>
        <v>4</v>
      </c>
      <c r="AP34" s="256">
        <f t="shared" si="19"/>
        <v>4</v>
      </c>
      <c r="AQ34" s="256">
        <f t="shared" si="19"/>
        <v>4</v>
      </c>
      <c r="AR34" s="256">
        <f t="shared" si="19"/>
        <v>4</v>
      </c>
      <c r="AS34" s="256">
        <f t="shared" si="19"/>
        <v>4</v>
      </c>
      <c r="AT34" s="256">
        <f t="shared" si="19"/>
        <v>4</v>
      </c>
      <c r="AU34" s="256">
        <f t="shared" si="19"/>
        <v>4</v>
      </c>
    </row>
    <row r="35" spans="1:47" ht="27.6" x14ac:dyDescent="0.3">
      <c r="A35" s="262" t="s">
        <v>80</v>
      </c>
      <c r="B35" s="267" t="s">
        <v>85</v>
      </c>
      <c r="C35" s="253">
        <v>2035</v>
      </c>
      <c r="D35" s="253">
        <f t="shared" si="20"/>
        <v>2031</v>
      </c>
      <c r="E35" s="253">
        <f t="shared" si="21"/>
        <v>2035</v>
      </c>
      <c r="F35" s="253">
        <f t="shared" si="22"/>
        <v>2039</v>
      </c>
      <c r="G35" s="257"/>
      <c r="H35" s="255" t="s">
        <v>37</v>
      </c>
      <c r="I35" s="256">
        <f t="shared" si="18"/>
        <v>1</v>
      </c>
      <c r="J35" s="256">
        <f t="shared" si="18"/>
        <v>1</v>
      </c>
      <c r="K35" s="256">
        <f t="shared" si="18"/>
        <v>1</v>
      </c>
      <c r="L35" s="256">
        <f t="shared" si="18"/>
        <v>1</v>
      </c>
      <c r="M35" s="256">
        <f t="shared" si="18"/>
        <v>1</v>
      </c>
      <c r="N35" s="256">
        <f t="shared" si="18"/>
        <v>1</v>
      </c>
      <c r="O35" s="256">
        <f t="shared" si="18"/>
        <v>1</v>
      </c>
      <c r="P35" s="256">
        <f t="shared" si="18"/>
        <v>2</v>
      </c>
      <c r="Q35" s="256">
        <f t="shared" si="18"/>
        <v>2</v>
      </c>
      <c r="R35" s="256">
        <f t="shared" si="18"/>
        <v>2</v>
      </c>
      <c r="S35" s="256">
        <f t="shared" si="18"/>
        <v>2</v>
      </c>
      <c r="T35" s="256">
        <f t="shared" si="18"/>
        <v>3</v>
      </c>
      <c r="U35" s="256">
        <f t="shared" si="18"/>
        <v>3</v>
      </c>
      <c r="V35" s="256">
        <f t="shared" si="18"/>
        <v>3</v>
      </c>
      <c r="W35" s="256">
        <f t="shared" si="18"/>
        <v>3</v>
      </c>
      <c r="X35" s="256">
        <f t="shared" si="18"/>
        <v>4</v>
      </c>
      <c r="Y35" s="256">
        <f t="shared" si="17"/>
        <v>4</v>
      </c>
      <c r="Z35" s="256">
        <f t="shared" si="17"/>
        <v>4</v>
      </c>
      <c r="AA35" s="256">
        <f t="shared" si="17"/>
        <v>4</v>
      </c>
      <c r="AB35" s="256">
        <f t="shared" si="17"/>
        <v>4</v>
      </c>
      <c r="AC35" s="256">
        <f t="shared" si="17"/>
        <v>4</v>
      </c>
      <c r="AD35" s="256">
        <f t="shared" si="17"/>
        <v>4</v>
      </c>
      <c r="AE35" s="256">
        <f t="shared" si="17"/>
        <v>4</v>
      </c>
      <c r="AF35" s="256">
        <f t="shared" si="17"/>
        <v>4</v>
      </c>
      <c r="AG35" s="256">
        <f t="shared" si="17"/>
        <v>4</v>
      </c>
      <c r="AH35" s="256">
        <f t="shared" si="19"/>
        <v>4</v>
      </c>
      <c r="AI35" s="256">
        <f t="shared" si="19"/>
        <v>4</v>
      </c>
      <c r="AJ35" s="256">
        <f t="shared" si="19"/>
        <v>4</v>
      </c>
      <c r="AK35" s="256">
        <f t="shared" si="19"/>
        <v>4</v>
      </c>
      <c r="AL35" s="256">
        <f t="shared" si="8"/>
        <v>4</v>
      </c>
      <c r="AM35" s="256">
        <f t="shared" si="19"/>
        <v>4</v>
      </c>
      <c r="AN35" s="256">
        <f t="shared" si="19"/>
        <v>4</v>
      </c>
      <c r="AO35" s="256">
        <f t="shared" si="19"/>
        <v>4</v>
      </c>
      <c r="AP35" s="256">
        <f t="shared" si="19"/>
        <v>4</v>
      </c>
      <c r="AQ35" s="256">
        <f t="shared" si="19"/>
        <v>4</v>
      </c>
      <c r="AR35" s="256">
        <f t="shared" si="19"/>
        <v>4</v>
      </c>
      <c r="AS35" s="256">
        <f t="shared" si="19"/>
        <v>4</v>
      </c>
      <c r="AT35" s="256">
        <f t="shared" si="19"/>
        <v>4</v>
      </c>
      <c r="AU35" s="256">
        <f t="shared" si="19"/>
        <v>4</v>
      </c>
    </row>
    <row r="36" spans="1:47" ht="32.4" x14ac:dyDescent="0.3">
      <c r="A36" s="262" t="s">
        <v>80</v>
      </c>
      <c r="B36" s="267" t="s">
        <v>86</v>
      </c>
      <c r="C36" s="253">
        <v>2026</v>
      </c>
      <c r="D36" s="253">
        <f t="shared" si="20"/>
        <v>2022</v>
      </c>
      <c r="E36" s="253">
        <f t="shared" si="21"/>
        <v>2026</v>
      </c>
      <c r="F36" s="253">
        <f t="shared" si="22"/>
        <v>2030</v>
      </c>
      <c r="G36" s="254" t="s">
        <v>87</v>
      </c>
      <c r="H36" s="255" t="s">
        <v>37</v>
      </c>
      <c r="I36" s="256">
        <f t="shared" si="18"/>
        <v>2</v>
      </c>
      <c r="J36" s="256">
        <f t="shared" si="18"/>
        <v>2</v>
      </c>
      <c r="K36" s="256">
        <f t="shared" si="18"/>
        <v>3</v>
      </c>
      <c r="L36" s="256">
        <f t="shared" si="18"/>
        <v>3</v>
      </c>
      <c r="M36" s="256">
        <f t="shared" si="18"/>
        <v>3</v>
      </c>
      <c r="N36" s="256">
        <f t="shared" si="18"/>
        <v>3</v>
      </c>
      <c r="O36" s="256">
        <f t="shared" si="18"/>
        <v>4</v>
      </c>
      <c r="P36" s="256">
        <f t="shared" si="18"/>
        <v>4</v>
      </c>
      <c r="Q36" s="256">
        <f t="shared" si="18"/>
        <v>4</v>
      </c>
      <c r="R36" s="256">
        <f t="shared" si="18"/>
        <v>4</v>
      </c>
      <c r="S36" s="256">
        <f t="shared" si="18"/>
        <v>4</v>
      </c>
      <c r="T36" s="256">
        <f t="shared" si="18"/>
        <v>4</v>
      </c>
      <c r="U36" s="256">
        <f t="shared" si="18"/>
        <v>4</v>
      </c>
      <c r="V36" s="256">
        <f t="shared" si="18"/>
        <v>4</v>
      </c>
      <c r="W36" s="256">
        <f t="shared" si="18"/>
        <v>4</v>
      </c>
      <c r="X36" s="256">
        <f t="shared" si="18"/>
        <v>4</v>
      </c>
      <c r="Y36" s="256">
        <f t="shared" si="17"/>
        <v>4</v>
      </c>
      <c r="Z36" s="256">
        <f t="shared" si="17"/>
        <v>4</v>
      </c>
      <c r="AA36" s="256">
        <f t="shared" si="17"/>
        <v>4</v>
      </c>
      <c r="AB36" s="256">
        <f t="shared" si="17"/>
        <v>4</v>
      </c>
      <c r="AC36" s="256">
        <f t="shared" si="17"/>
        <v>4</v>
      </c>
      <c r="AD36" s="256">
        <f t="shared" si="17"/>
        <v>4</v>
      </c>
      <c r="AE36" s="256">
        <f t="shared" si="17"/>
        <v>4</v>
      </c>
      <c r="AF36" s="256">
        <f t="shared" si="17"/>
        <v>4</v>
      </c>
      <c r="AG36" s="256">
        <f t="shared" si="17"/>
        <v>4</v>
      </c>
      <c r="AH36" s="256">
        <f t="shared" si="19"/>
        <v>4</v>
      </c>
      <c r="AI36" s="256">
        <f t="shared" si="19"/>
        <v>4</v>
      </c>
      <c r="AJ36" s="256">
        <f t="shared" si="19"/>
        <v>4</v>
      </c>
      <c r="AK36" s="256">
        <f t="shared" si="19"/>
        <v>4</v>
      </c>
      <c r="AL36" s="256">
        <f t="shared" si="8"/>
        <v>4</v>
      </c>
      <c r="AM36" s="256">
        <f t="shared" si="19"/>
        <v>4</v>
      </c>
      <c r="AN36" s="256">
        <f t="shared" si="19"/>
        <v>4</v>
      </c>
      <c r="AO36" s="256">
        <f t="shared" si="19"/>
        <v>4</v>
      </c>
      <c r="AP36" s="256">
        <f t="shared" si="19"/>
        <v>4</v>
      </c>
      <c r="AQ36" s="256">
        <f t="shared" si="19"/>
        <v>4</v>
      </c>
      <c r="AR36" s="256">
        <f t="shared" si="19"/>
        <v>4</v>
      </c>
      <c r="AS36" s="256">
        <f t="shared" si="19"/>
        <v>4</v>
      </c>
      <c r="AT36" s="256">
        <f t="shared" si="19"/>
        <v>4</v>
      </c>
      <c r="AU36" s="256">
        <f t="shared" si="19"/>
        <v>4</v>
      </c>
    </row>
    <row r="37" spans="1:47" ht="26.4" x14ac:dyDescent="0.3">
      <c r="A37" s="262" t="s">
        <v>80</v>
      </c>
      <c r="B37" s="267" t="s">
        <v>88</v>
      </c>
      <c r="C37" s="258" t="s">
        <v>63</v>
      </c>
      <c r="D37" s="259"/>
      <c r="E37" s="259"/>
      <c r="F37" s="260">
        <v>2024</v>
      </c>
      <c r="G37" s="257" t="s">
        <v>89</v>
      </c>
      <c r="H37" s="255" t="s">
        <v>37</v>
      </c>
      <c r="I37" s="256">
        <f t="shared" si="18"/>
        <v>4</v>
      </c>
      <c r="J37" s="256">
        <f t="shared" si="18"/>
        <v>4</v>
      </c>
      <c r="K37" s="256">
        <f t="shared" si="18"/>
        <v>4</v>
      </c>
      <c r="L37" s="256">
        <f t="shared" si="18"/>
        <v>4</v>
      </c>
      <c r="M37" s="256">
        <f t="shared" si="18"/>
        <v>4</v>
      </c>
      <c r="N37" s="256">
        <f t="shared" si="18"/>
        <v>4</v>
      </c>
      <c r="O37" s="256">
        <f t="shared" si="18"/>
        <v>4</v>
      </c>
      <c r="P37" s="256">
        <f t="shared" si="18"/>
        <v>4</v>
      </c>
      <c r="Q37" s="256">
        <f t="shared" si="18"/>
        <v>4</v>
      </c>
      <c r="R37" s="256">
        <f t="shared" si="18"/>
        <v>4</v>
      </c>
      <c r="S37" s="256">
        <f t="shared" si="18"/>
        <v>4</v>
      </c>
      <c r="T37" s="256">
        <f t="shared" si="18"/>
        <v>4</v>
      </c>
      <c r="U37" s="256">
        <f t="shared" si="18"/>
        <v>4</v>
      </c>
      <c r="V37" s="256">
        <f t="shared" si="18"/>
        <v>4</v>
      </c>
      <c r="W37" s="256">
        <f t="shared" si="18"/>
        <v>4</v>
      </c>
      <c r="X37" s="256">
        <f t="shared" si="18"/>
        <v>4</v>
      </c>
      <c r="Y37" s="256">
        <f t="shared" si="17"/>
        <v>4</v>
      </c>
      <c r="Z37" s="256">
        <f t="shared" si="17"/>
        <v>4</v>
      </c>
      <c r="AA37" s="256">
        <f t="shared" si="17"/>
        <v>4</v>
      </c>
      <c r="AB37" s="256">
        <f t="shared" si="17"/>
        <v>4</v>
      </c>
      <c r="AC37" s="256">
        <f t="shared" si="17"/>
        <v>4</v>
      </c>
      <c r="AD37" s="256">
        <f t="shared" si="17"/>
        <v>4</v>
      </c>
      <c r="AE37" s="256">
        <f t="shared" si="17"/>
        <v>4</v>
      </c>
      <c r="AF37" s="256">
        <f t="shared" si="17"/>
        <v>4</v>
      </c>
      <c r="AG37" s="256">
        <f t="shared" si="17"/>
        <v>4</v>
      </c>
      <c r="AH37" s="256">
        <f t="shared" si="19"/>
        <v>4</v>
      </c>
      <c r="AI37" s="256">
        <f t="shared" si="19"/>
        <v>4</v>
      </c>
      <c r="AJ37" s="256">
        <f t="shared" si="19"/>
        <v>4</v>
      </c>
      <c r="AK37" s="256">
        <f t="shared" si="19"/>
        <v>4</v>
      </c>
      <c r="AL37" s="256">
        <f t="shared" si="8"/>
        <v>4</v>
      </c>
      <c r="AM37" s="256">
        <f t="shared" si="19"/>
        <v>4</v>
      </c>
      <c r="AN37" s="256">
        <f t="shared" si="19"/>
        <v>4</v>
      </c>
      <c r="AO37" s="256">
        <f t="shared" si="19"/>
        <v>4</v>
      </c>
      <c r="AP37" s="256">
        <f t="shared" si="19"/>
        <v>4</v>
      </c>
      <c r="AQ37" s="256">
        <f t="shared" si="19"/>
        <v>4</v>
      </c>
      <c r="AR37" s="256">
        <f t="shared" si="19"/>
        <v>4</v>
      </c>
      <c r="AS37" s="256">
        <f t="shared" si="19"/>
        <v>4</v>
      </c>
      <c r="AT37" s="256">
        <f t="shared" si="19"/>
        <v>4</v>
      </c>
      <c r="AU37" s="256">
        <f t="shared" si="19"/>
        <v>4</v>
      </c>
    </row>
    <row r="38" spans="1:47" ht="45" customHeight="1" x14ac:dyDescent="0.3">
      <c r="A38" s="262" t="s">
        <v>80</v>
      </c>
      <c r="B38" s="267" t="s">
        <v>90</v>
      </c>
      <c r="C38" s="253">
        <v>2035</v>
      </c>
      <c r="D38" s="253">
        <v>2031</v>
      </c>
      <c r="E38" s="253">
        <v>2035</v>
      </c>
      <c r="F38" s="253">
        <v>2039</v>
      </c>
      <c r="G38" s="254" t="s">
        <v>91</v>
      </c>
      <c r="H38" s="255" t="s">
        <v>37</v>
      </c>
      <c r="I38" s="256">
        <f t="shared" si="18"/>
        <v>1</v>
      </c>
      <c r="J38" s="256">
        <f t="shared" si="18"/>
        <v>1</v>
      </c>
      <c r="K38" s="256">
        <f t="shared" si="18"/>
        <v>1</v>
      </c>
      <c r="L38" s="256">
        <f t="shared" si="18"/>
        <v>1</v>
      </c>
      <c r="M38" s="256">
        <f t="shared" si="18"/>
        <v>1</v>
      </c>
      <c r="N38" s="256">
        <f t="shared" si="18"/>
        <v>1</v>
      </c>
      <c r="O38" s="256">
        <f t="shared" si="18"/>
        <v>1</v>
      </c>
      <c r="P38" s="256">
        <f t="shared" si="18"/>
        <v>2</v>
      </c>
      <c r="Q38" s="256">
        <f t="shared" si="18"/>
        <v>2</v>
      </c>
      <c r="R38" s="256">
        <f t="shared" si="18"/>
        <v>2</v>
      </c>
      <c r="S38" s="256">
        <f t="shared" si="18"/>
        <v>2</v>
      </c>
      <c r="T38" s="256">
        <f t="shared" si="18"/>
        <v>3</v>
      </c>
      <c r="U38" s="256">
        <f t="shared" si="18"/>
        <v>3</v>
      </c>
      <c r="V38" s="256">
        <f t="shared" si="18"/>
        <v>3</v>
      </c>
      <c r="W38" s="256">
        <f t="shared" si="18"/>
        <v>3</v>
      </c>
      <c r="X38" s="256">
        <f t="shared" si="18"/>
        <v>4</v>
      </c>
      <c r="Y38" s="256">
        <f t="shared" si="17"/>
        <v>4</v>
      </c>
      <c r="Z38" s="256">
        <f t="shared" si="17"/>
        <v>4</v>
      </c>
      <c r="AA38" s="256">
        <f t="shared" si="17"/>
        <v>4</v>
      </c>
      <c r="AB38" s="256">
        <f t="shared" si="17"/>
        <v>4</v>
      </c>
      <c r="AC38" s="256">
        <f t="shared" si="17"/>
        <v>4</v>
      </c>
      <c r="AD38" s="256">
        <f t="shared" si="17"/>
        <v>4</v>
      </c>
      <c r="AE38" s="256">
        <f t="shared" si="17"/>
        <v>4</v>
      </c>
      <c r="AF38" s="256">
        <f t="shared" si="17"/>
        <v>4</v>
      </c>
      <c r="AG38" s="256">
        <f t="shared" si="17"/>
        <v>4</v>
      </c>
      <c r="AH38" s="256">
        <f t="shared" si="19"/>
        <v>4</v>
      </c>
      <c r="AI38" s="256">
        <f t="shared" si="19"/>
        <v>4</v>
      </c>
      <c r="AJ38" s="256">
        <f t="shared" si="19"/>
        <v>4</v>
      </c>
      <c r="AK38" s="256">
        <f t="shared" si="19"/>
        <v>4</v>
      </c>
      <c r="AL38" s="256">
        <f t="shared" si="8"/>
        <v>4</v>
      </c>
      <c r="AM38" s="256">
        <f t="shared" si="19"/>
        <v>4</v>
      </c>
      <c r="AN38" s="256">
        <f t="shared" si="19"/>
        <v>4</v>
      </c>
      <c r="AO38" s="256">
        <f t="shared" si="19"/>
        <v>4</v>
      </c>
      <c r="AP38" s="256">
        <f t="shared" si="19"/>
        <v>4</v>
      </c>
      <c r="AQ38" s="256">
        <f t="shared" si="19"/>
        <v>4</v>
      </c>
      <c r="AR38" s="256">
        <f t="shared" si="19"/>
        <v>4</v>
      </c>
      <c r="AS38" s="256">
        <f t="shared" si="19"/>
        <v>4</v>
      </c>
      <c r="AT38" s="256">
        <f t="shared" si="19"/>
        <v>4</v>
      </c>
      <c r="AU38" s="256">
        <f t="shared" si="19"/>
        <v>4</v>
      </c>
    </row>
    <row r="39" spans="1:47" ht="26.4" x14ac:dyDescent="0.3">
      <c r="A39" s="262" t="s">
        <v>80</v>
      </c>
      <c r="B39" s="267" t="s">
        <v>92</v>
      </c>
      <c r="C39" s="258" t="s">
        <v>63</v>
      </c>
      <c r="D39" s="259"/>
      <c r="E39" s="259"/>
      <c r="F39" s="260">
        <v>2024</v>
      </c>
      <c r="G39" s="257" t="s">
        <v>89</v>
      </c>
      <c r="H39" s="255" t="s">
        <v>37</v>
      </c>
      <c r="I39" s="256">
        <f t="shared" si="18"/>
        <v>4</v>
      </c>
      <c r="J39" s="256">
        <f t="shared" si="18"/>
        <v>4</v>
      </c>
      <c r="K39" s="256">
        <f t="shared" si="18"/>
        <v>4</v>
      </c>
      <c r="L39" s="256">
        <f t="shared" si="18"/>
        <v>4</v>
      </c>
      <c r="M39" s="256">
        <f t="shared" si="18"/>
        <v>4</v>
      </c>
      <c r="N39" s="256">
        <f t="shared" si="18"/>
        <v>4</v>
      </c>
      <c r="O39" s="256">
        <f t="shared" si="18"/>
        <v>4</v>
      </c>
      <c r="P39" s="256">
        <f t="shared" si="18"/>
        <v>4</v>
      </c>
      <c r="Q39" s="256">
        <f t="shared" si="18"/>
        <v>4</v>
      </c>
      <c r="R39" s="256">
        <f t="shared" si="18"/>
        <v>4</v>
      </c>
      <c r="S39" s="256">
        <f t="shared" si="18"/>
        <v>4</v>
      </c>
      <c r="T39" s="256">
        <f t="shared" si="18"/>
        <v>4</v>
      </c>
      <c r="U39" s="256">
        <f t="shared" si="18"/>
        <v>4</v>
      </c>
      <c r="V39" s="256">
        <f t="shared" si="18"/>
        <v>4</v>
      </c>
      <c r="W39" s="256">
        <f t="shared" si="18"/>
        <v>4</v>
      </c>
      <c r="X39" s="256">
        <f t="shared" si="18"/>
        <v>4</v>
      </c>
      <c r="Y39" s="256">
        <f t="shared" si="17"/>
        <v>4</v>
      </c>
      <c r="Z39" s="256">
        <f t="shared" si="17"/>
        <v>4</v>
      </c>
      <c r="AA39" s="256">
        <f t="shared" si="17"/>
        <v>4</v>
      </c>
      <c r="AB39" s="256">
        <f t="shared" si="17"/>
        <v>4</v>
      </c>
      <c r="AC39" s="256">
        <f t="shared" si="17"/>
        <v>4</v>
      </c>
      <c r="AD39" s="256">
        <f t="shared" si="17"/>
        <v>4</v>
      </c>
      <c r="AE39" s="256">
        <f t="shared" si="17"/>
        <v>4</v>
      </c>
      <c r="AF39" s="256">
        <f t="shared" si="17"/>
        <v>4</v>
      </c>
      <c r="AG39" s="256">
        <f t="shared" si="17"/>
        <v>4</v>
      </c>
      <c r="AH39" s="256">
        <f t="shared" si="19"/>
        <v>4</v>
      </c>
      <c r="AI39" s="256">
        <f t="shared" si="19"/>
        <v>4</v>
      </c>
      <c r="AJ39" s="256">
        <f t="shared" si="19"/>
        <v>4</v>
      </c>
      <c r="AK39" s="256">
        <f t="shared" si="19"/>
        <v>4</v>
      </c>
      <c r="AL39" s="256">
        <f t="shared" si="8"/>
        <v>4</v>
      </c>
      <c r="AM39" s="256">
        <f t="shared" si="19"/>
        <v>4</v>
      </c>
      <c r="AN39" s="256">
        <f t="shared" si="19"/>
        <v>4</v>
      </c>
      <c r="AO39" s="256">
        <f t="shared" si="19"/>
        <v>4</v>
      </c>
      <c r="AP39" s="256">
        <f t="shared" si="19"/>
        <v>4</v>
      </c>
      <c r="AQ39" s="256">
        <f t="shared" si="19"/>
        <v>4</v>
      </c>
      <c r="AR39" s="256">
        <f t="shared" si="19"/>
        <v>4</v>
      </c>
      <c r="AS39" s="256">
        <f t="shared" si="19"/>
        <v>4</v>
      </c>
      <c r="AT39" s="256">
        <f t="shared" si="19"/>
        <v>4</v>
      </c>
      <c r="AU39" s="256">
        <f t="shared" si="19"/>
        <v>4</v>
      </c>
    </row>
    <row r="40" spans="1:47" ht="26.4" x14ac:dyDescent="0.3">
      <c r="A40" s="262" t="s">
        <v>93</v>
      </c>
      <c r="B40" s="263" t="s">
        <v>94</v>
      </c>
      <c r="C40" s="264">
        <v>2030</v>
      </c>
      <c r="D40" s="264">
        <f>E40-4</f>
        <v>2026</v>
      </c>
      <c r="E40" s="264">
        <f>C40</f>
        <v>2030</v>
      </c>
      <c r="F40" s="264">
        <f>E40+4</f>
        <v>2034</v>
      </c>
      <c r="G40" s="265"/>
      <c r="H40" s="255" t="s">
        <v>40</v>
      </c>
      <c r="I40" s="256">
        <f t="shared" si="18"/>
        <v>1</v>
      </c>
      <c r="J40" s="256">
        <f t="shared" si="18"/>
        <v>1</v>
      </c>
      <c r="K40" s="256">
        <f t="shared" si="18"/>
        <v>2</v>
      </c>
      <c r="L40" s="256">
        <f t="shared" si="18"/>
        <v>2</v>
      </c>
      <c r="M40" s="256">
        <f t="shared" si="18"/>
        <v>2</v>
      </c>
      <c r="N40" s="256">
        <f t="shared" si="18"/>
        <v>2</v>
      </c>
      <c r="O40" s="256">
        <f t="shared" si="18"/>
        <v>3</v>
      </c>
      <c r="P40" s="256">
        <f t="shared" si="18"/>
        <v>3</v>
      </c>
      <c r="Q40" s="256">
        <f t="shared" si="18"/>
        <v>3</v>
      </c>
      <c r="R40" s="256">
        <f t="shared" si="18"/>
        <v>3</v>
      </c>
      <c r="S40" s="256">
        <f t="shared" si="18"/>
        <v>4</v>
      </c>
      <c r="T40" s="256">
        <f t="shared" si="18"/>
        <v>4</v>
      </c>
      <c r="U40" s="256">
        <f t="shared" si="18"/>
        <v>4</v>
      </c>
      <c r="V40" s="256">
        <f t="shared" si="18"/>
        <v>4</v>
      </c>
      <c r="W40" s="256">
        <f t="shared" si="18"/>
        <v>4</v>
      </c>
      <c r="X40" s="256">
        <f t="shared" si="18"/>
        <v>4</v>
      </c>
      <c r="Y40" s="256">
        <f t="shared" si="17"/>
        <v>4</v>
      </c>
      <c r="Z40" s="256">
        <f t="shared" si="17"/>
        <v>4</v>
      </c>
      <c r="AA40" s="256">
        <f t="shared" si="17"/>
        <v>4</v>
      </c>
      <c r="AB40" s="256">
        <f t="shared" si="17"/>
        <v>4</v>
      </c>
      <c r="AC40" s="256">
        <f t="shared" si="17"/>
        <v>4</v>
      </c>
      <c r="AD40" s="256">
        <f t="shared" si="17"/>
        <v>4</v>
      </c>
      <c r="AE40" s="256">
        <f t="shared" si="17"/>
        <v>4</v>
      </c>
      <c r="AF40" s="256">
        <f t="shared" si="17"/>
        <v>4</v>
      </c>
      <c r="AG40" s="256">
        <f t="shared" si="17"/>
        <v>4</v>
      </c>
      <c r="AH40" s="256">
        <f t="shared" si="19"/>
        <v>4</v>
      </c>
      <c r="AI40" s="256">
        <f t="shared" si="19"/>
        <v>4</v>
      </c>
      <c r="AJ40" s="256">
        <f t="shared" si="19"/>
        <v>4</v>
      </c>
      <c r="AK40" s="256">
        <f t="shared" si="19"/>
        <v>4</v>
      </c>
      <c r="AL40" s="256">
        <f t="shared" si="8"/>
        <v>4</v>
      </c>
      <c r="AM40" s="256">
        <f t="shared" si="19"/>
        <v>4</v>
      </c>
      <c r="AN40" s="256">
        <f t="shared" si="19"/>
        <v>4</v>
      </c>
      <c r="AO40" s="256">
        <f t="shared" si="19"/>
        <v>4</v>
      </c>
      <c r="AP40" s="256">
        <f t="shared" si="19"/>
        <v>4</v>
      </c>
      <c r="AQ40" s="256">
        <f t="shared" si="19"/>
        <v>4</v>
      </c>
      <c r="AR40" s="256">
        <f t="shared" si="19"/>
        <v>4</v>
      </c>
      <c r="AS40" s="256">
        <f t="shared" si="19"/>
        <v>4</v>
      </c>
      <c r="AT40" s="256">
        <f t="shared" si="19"/>
        <v>4</v>
      </c>
      <c r="AU40" s="256">
        <f t="shared" si="19"/>
        <v>4</v>
      </c>
    </row>
    <row r="41" spans="1:47" ht="27.6" x14ac:dyDescent="0.3">
      <c r="A41" s="262" t="s">
        <v>93</v>
      </c>
      <c r="B41" s="263" t="s">
        <v>276</v>
      </c>
      <c r="C41" s="264">
        <v>2040</v>
      </c>
      <c r="D41" s="264">
        <f t="shared" ref="D41:D42" si="23">E41-4</f>
        <v>2036</v>
      </c>
      <c r="E41" s="264">
        <f t="shared" ref="E41:E42" si="24">C41</f>
        <v>2040</v>
      </c>
      <c r="F41" s="264">
        <f t="shared" ref="F41:F42" si="25">E41+4</f>
        <v>2044</v>
      </c>
      <c r="G41" s="265"/>
      <c r="H41" s="255" t="s">
        <v>40</v>
      </c>
      <c r="I41" s="256">
        <f t="shared" si="18"/>
        <v>1</v>
      </c>
      <c r="J41" s="256">
        <f t="shared" si="18"/>
        <v>1</v>
      </c>
      <c r="K41" s="256">
        <f t="shared" si="18"/>
        <v>1</v>
      </c>
      <c r="L41" s="256">
        <f t="shared" si="18"/>
        <v>1</v>
      </c>
      <c r="M41" s="256">
        <f t="shared" si="18"/>
        <v>1</v>
      </c>
      <c r="N41" s="256">
        <f t="shared" si="18"/>
        <v>1</v>
      </c>
      <c r="O41" s="256">
        <f t="shared" si="18"/>
        <v>1</v>
      </c>
      <c r="P41" s="256">
        <f t="shared" si="18"/>
        <v>1</v>
      </c>
      <c r="Q41" s="256">
        <f t="shared" si="18"/>
        <v>1</v>
      </c>
      <c r="R41" s="256">
        <f t="shared" si="18"/>
        <v>1</v>
      </c>
      <c r="S41" s="256">
        <f t="shared" si="18"/>
        <v>1</v>
      </c>
      <c r="T41" s="256">
        <f t="shared" si="18"/>
        <v>1</v>
      </c>
      <c r="U41" s="256">
        <f t="shared" si="18"/>
        <v>2</v>
      </c>
      <c r="V41" s="256">
        <f t="shared" si="18"/>
        <v>2</v>
      </c>
      <c r="W41" s="256">
        <f t="shared" si="18"/>
        <v>2</v>
      </c>
      <c r="X41" s="256">
        <f t="shared" si="18"/>
        <v>2</v>
      </c>
      <c r="Y41" s="256">
        <f t="shared" si="17"/>
        <v>3</v>
      </c>
      <c r="Z41" s="256">
        <f t="shared" si="17"/>
        <v>3</v>
      </c>
      <c r="AA41" s="256">
        <f t="shared" si="17"/>
        <v>3</v>
      </c>
      <c r="AB41" s="256">
        <f t="shared" si="17"/>
        <v>3</v>
      </c>
      <c r="AC41" s="256">
        <f t="shared" si="17"/>
        <v>4</v>
      </c>
      <c r="AD41" s="256">
        <f t="shared" si="17"/>
        <v>4</v>
      </c>
      <c r="AE41" s="256">
        <f t="shared" si="17"/>
        <v>4</v>
      </c>
      <c r="AF41" s="256">
        <f t="shared" si="17"/>
        <v>4</v>
      </c>
      <c r="AG41" s="256">
        <f t="shared" si="17"/>
        <v>4</v>
      </c>
      <c r="AH41" s="256">
        <f t="shared" si="19"/>
        <v>4</v>
      </c>
      <c r="AI41" s="256">
        <f t="shared" si="19"/>
        <v>4</v>
      </c>
      <c r="AJ41" s="256">
        <f t="shared" si="19"/>
        <v>4</v>
      </c>
      <c r="AK41" s="256">
        <f t="shared" si="19"/>
        <v>4</v>
      </c>
      <c r="AL41" s="256">
        <f t="shared" si="8"/>
        <v>4</v>
      </c>
      <c r="AM41" s="256">
        <f t="shared" si="19"/>
        <v>4</v>
      </c>
      <c r="AN41" s="256">
        <f t="shared" si="19"/>
        <v>4</v>
      </c>
      <c r="AO41" s="256">
        <f t="shared" si="19"/>
        <v>4</v>
      </c>
      <c r="AP41" s="256">
        <f t="shared" si="19"/>
        <v>4</v>
      </c>
      <c r="AQ41" s="256">
        <f t="shared" si="19"/>
        <v>4</v>
      </c>
      <c r="AR41" s="256">
        <f t="shared" si="19"/>
        <v>4</v>
      </c>
      <c r="AS41" s="256">
        <f t="shared" si="19"/>
        <v>4</v>
      </c>
      <c r="AT41" s="256">
        <f t="shared" si="19"/>
        <v>4</v>
      </c>
      <c r="AU41" s="256">
        <f t="shared" si="19"/>
        <v>4</v>
      </c>
    </row>
    <row r="42" spans="1:47" ht="26.4" x14ac:dyDescent="0.3">
      <c r="A42" s="262" t="s">
        <v>93</v>
      </c>
      <c r="B42" s="263" t="s">
        <v>121</v>
      </c>
      <c r="C42" s="264">
        <v>2035</v>
      </c>
      <c r="D42" s="264">
        <f t="shared" si="23"/>
        <v>2031</v>
      </c>
      <c r="E42" s="264">
        <f t="shared" si="24"/>
        <v>2035</v>
      </c>
      <c r="F42" s="264">
        <f t="shared" si="25"/>
        <v>2039</v>
      </c>
      <c r="G42" s="265"/>
      <c r="H42" s="255" t="s">
        <v>40</v>
      </c>
      <c r="I42" s="256">
        <f t="shared" ref="I42:X50" si="26">CHOOSE((I$3&gt;=2024)+(I$3&gt;=$D42)+(I$3&gt;=$E42)+(I$3&gt;=$F42),1,2,3,4)</f>
        <v>1</v>
      </c>
      <c r="J42" s="256">
        <f t="shared" si="26"/>
        <v>1</v>
      </c>
      <c r="K42" s="256">
        <f t="shared" si="26"/>
        <v>1</v>
      </c>
      <c r="L42" s="256">
        <f t="shared" si="26"/>
        <v>1</v>
      </c>
      <c r="M42" s="256">
        <f t="shared" si="26"/>
        <v>1</v>
      </c>
      <c r="N42" s="256">
        <f t="shared" si="26"/>
        <v>1</v>
      </c>
      <c r="O42" s="256">
        <f t="shared" si="26"/>
        <v>1</v>
      </c>
      <c r="P42" s="256">
        <f t="shared" si="26"/>
        <v>2</v>
      </c>
      <c r="Q42" s="256">
        <f t="shared" si="26"/>
        <v>2</v>
      </c>
      <c r="R42" s="256">
        <f t="shared" si="26"/>
        <v>2</v>
      </c>
      <c r="S42" s="256">
        <f t="shared" si="26"/>
        <v>2</v>
      </c>
      <c r="T42" s="256">
        <f t="shared" si="26"/>
        <v>3</v>
      </c>
      <c r="U42" s="256">
        <f t="shared" si="26"/>
        <v>3</v>
      </c>
      <c r="V42" s="256">
        <f t="shared" si="26"/>
        <v>3</v>
      </c>
      <c r="W42" s="256">
        <f t="shared" si="26"/>
        <v>3</v>
      </c>
      <c r="X42" s="256">
        <f t="shared" si="26"/>
        <v>4</v>
      </c>
      <c r="Y42" s="256">
        <f t="shared" ref="Y42:AM50" si="27">CHOOSE((Y$3&gt;=2024)+(Y$3&gt;=$D42)+(Y$3&gt;=$E42)+(Y$3&gt;=$F42),1,2,3,4)</f>
        <v>4</v>
      </c>
      <c r="Z42" s="256">
        <f t="shared" si="27"/>
        <v>4</v>
      </c>
      <c r="AA42" s="256">
        <f t="shared" si="27"/>
        <v>4</v>
      </c>
      <c r="AB42" s="256">
        <f t="shared" si="27"/>
        <v>4</v>
      </c>
      <c r="AC42" s="256">
        <f t="shared" si="27"/>
        <v>4</v>
      </c>
      <c r="AD42" s="256">
        <f t="shared" si="27"/>
        <v>4</v>
      </c>
      <c r="AE42" s="256">
        <f t="shared" si="27"/>
        <v>4</v>
      </c>
      <c r="AF42" s="256">
        <f t="shared" si="27"/>
        <v>4</v>
      </c>
      <c r="AG42" s="256">
        <f t="shared" si="27"/>
        <v>4</v>
      </c>
      <c r="AH42" s="256">
        <f t="shared" si="27"/>
        <v>4</v>
      </c>
      <c r="AI42" s="256">
        <f t="shared" si="27"/>
        <v>4</v>
      </c>
      <c r="AJ42" s="256">
        <f t="shared" si="27"/>
        <v>4</v>
      </c>
      <c r="AK42" s="256">
        <f t="shared" si="27"/>
        <v>4</v>
      </c>
      <c r="AL42" s="256">
        <f t="shared" si="8"/>
        <v>4</v>
      </c>
      <c r="AM42" s="256">
        <f t="shared" si="27"/>
        <v>4</v>
      </c>
      <c r="AN42" s="256">
        <f t="shared" si="19"/>
        <v>4</v>
      </c>
      <c r="AO42" s="256">
        <f t="shared" si="19"/>
        <v>4</v>
      </c>
      <c r="AP42" s="256">
        <f t="shared" si="19"/>
        <v>4</v>
      </c>
      <c r="AQ42" s="256">
        <f t="shared" si="19"/>
        <v>4</v>
      </c>
      <c r="AR42" s="256">
        <f t="shared" si="19"/>
        <v>4</v>
      </c>
      <c r="AS42" s="256">
        <f t="shared" si="19"/>
        <v>4</v>
      </c>
      <c r="AT42" s="256">
        <f t="shared" si="19"/>
        <v>4</v>
      </c>
      <c r="AU42" s="256">
        <f t="shared" si="19"/>
        <v>4</v>
      </c>
    </row>
    <row r="43" spans="1:47" x14ac:dyDescent="0.3">
      <c r="A43" s="268" t="s">
        <v>95</v>
      </c>
      <c r="B43" s="252" t="s">
        <v>20</v>
      </c>
      <c r="C43" s="253">
        <v>2030</v>
      </c>
      <c r="D43" s="253">
        <f>E43-4</f>
        <v>2026</v>
      </c>
      <c r="E43" s="253">
        <f>C43</f>
        <v>2030</v>
      </c>
      <c r="F43" s="253">
        <f>E43+4</f>
        <v>2034</v>
      </c>
      <c r="G43" s="269"/>
      <c r="H43" s="255" t="s">
        <v>20</v>
      </c>
      <c r="I43" s="256">
        <f t="shared" si="26"/>
        <v>1</v>
      </c>
      <c r="J43" s="256">
        <f t="shared" si="26"/>
        <v>1</v>
      </c>
      <c r="K43" s="256">
        <f t="shared" si="26"/>
        <v>2</v>
      </c>
      <c r="L43" s="256">
        <f t="shared" si="26"/>
        <v>2</v>
      </c>
      <c r="M43" s="256">
        <f t="shared" si="26"/>
        <v>2</v>
      </c>
      <c r="N43" s="256">
        <f t="shared" si="26"/>
        <v>2</v>
      </c>
      <c r="O43" s="256">
        <f t="shared" si="26"/>
        <v>3</v>
      </c>
      <c r="P43" s="256">
        <f t="shared" si="26"/>
        <v>3</v>
      </c>
      <c r="Q43" s="256">
        <f t="shared" si="26"/>
        <v>3</v>
      </c>
      <c r="R43" s="256">
        <f t="shared" si="26"/>
        <v>3</v>
      </c>
      <c r="S43" s="256">
        <f t="shared" si="26"/>
        <v>4</v>
      </c>
      <c r="T43" s="256">
        <f t="shared" si="26"/>
        <v>4</v>
      </c>
      <c r="U43" s="256">
        <f t="shared" si="26"/>
        <v>4</v>
      </c>
      <c r="V43" s="256">
        <f t="shared" si="26"/>
        <v>4</v>
      </c>
      <c r="W43" s="256">
        <f t="shared" si="26"/>
        <v>4</v>
      </c>
      <c r="X43" s="256">
        <f t="shared" si="26"/>
        <v>4</v>
      </c>
      <c r="Y43" s="256">
        <f t="shared" si="27"/>
        <v>4</v>
      </c>
      <c r="Z43" s="256">
        <f t="shared" si="27"/>
        <v>4</v>
      </c>
      <c r="AA43" s="256">
        <f t="shared" si="27"/>
        <v>4</v>
      </c>
      <c r="AB43" s="256">
        <f t="shared" si="27"/>
        <v>4</v>
      </c>
      <c r="AC43" s="256">
        <f t="shared" si="27"/>
        <v>4</v>
      </c>
      <c r="AD43" s="256">
        <f t="shared" si="27"/>
        <v>4</v>
      </c>
      <c r="AE43" s="256">
        <f t="shared" si="27"/>
        <v>4</v>
      </c>
      <c r="AF43" s="256">
        <f t="shared" si="27"/>
        <v>4</v>
      </c>
      <c r="AG43" s="256">
        <f t="shared" si="27"/>
        <v>4</v>
      </c>
      <c r="AH43" s="256">
        <f t="shared" si="27"/>
        <v>4</v>
      </c>
      <c r="AI43" s="256">
        <f t="shared" si="27"/>
        <v>4</v>
      </c>
      <c r="AJ43" s="256">
        <f t="shared" si="27"/>
        <v>4</v>
      </c>
      <c r="AK43" s="256">
        <f t="shared" si="27"/>
        <v>4</v>
      </c>
      <c r="AL43" s="256">
        <f t="shared" si="8"/>
        <v>4</v>
      </c>
      <c r="AM43" s="256">
        <f t="shared" si="27"/>
        <v>4</v>
      </c>
      <c r="AN43" s="256">
        <f t="shared" si="19"/>
        <v>4</v>
      </c>
      <c r="AO43" s="256">
        <f t="shared" si="19"/>
        <v>4</v>
      </c>
      <c r="AP43" s="256">
        <f t="shared" si="19"/>
        <v>4</v>
      </c>
      <c r="AQ43" s="256">
        <f t="shared" si="19"/>
        <v>4</v>
      </c>
      <c r="AR43" s="256">
        <f t="shared" si="19"/>
        <v>4</v>
      </c>
      <c r="AS43" s="256">
        <f t="shared" si="19"/>
        <v>4</v>
      </c>
      <c r="AT43" s="256">
        <f t="shared" si="19"/>
        <v>4</v>
      </c>
      <c r="AU43" s="256">
        <f t="shared" si="19"/>
        <v>4</v>
      </c>
    </row>
    <row r="44" spans="1:47" x14ac:dyDescent="0.3">
      <c r="A44" s="268" t="s">
        <v>95</v>
      </c>
      <c r="B44" s="252" t="s">
        <v>96</v>
      </c>
      <c r="C44" s="253">
        <v>2025</v>
      </c>
      <c r="D44" s="253">
        <f t="shared" ref="D44:D50" si="28">E44-4</f>
        <v>2021</v>
      </c>
      <c r="E44" s="253">
        <f t="shared" ref="E44:E50" si="29">C44</f>
        <v>2025</v>
      </c>
      <c r="F44" s="253">
        <f t="shared" ref="F44:F50" si="30">E44+4</f>
        <v>2029</v>
      </c>
      <c r="G44" s="269"/>
      <c r="H44" s="255" t="s">
        <v>24</v>
      </c>
      <c r="I44" s="256">
        <f t="shared" si="26"/>
        <v>2</v>
      </c>
      <c r="J44" s="256">
        <f t="shared" si="26"/>
        <v>3</v>
      </c>
      <c r="K44" s="256">
        <f t="shared" si="26"/>
        <v>3</v>
      </c>
      <c r="L44" s="256">
        <f t="shared" si="26"/>
        <v>3</v>
      </c>
      <c r="M44" s="256">
        <f t="shared" si="26"/>
        <v>3</v>
      </c>
      <c r="N44" s="256">
        <f t="shared" si="26"/>
        <v>4</v>
      </c>
      <c r="O44" s="256">
        <f t="shared" si="26"/>
        <v>4</v>
      </c>
      <c r="P44" s="256">
        <f t="shared" si="26"/>
        <v>4</v>
      </c>
      <c r="Q44" s="256">
        <f t="shared" si="26"/>
        <v>4</v>
      </c>
      <c r="R44" s="256">
        <f t="shared" si="26"/>
        <v>4</v>
      </c>
      <c r="S44" s="256">
        <f t="shared" si="26"/>
        <v>4</v>
      </c>
      <c r="T44" s="256">
        <f t="shared" si="26"/>
        <v>4</v>
      </c>
      <c r="U44" s="256">
        <f t="shared" si="26"/>
        <v>4</v>
      </c>
      <c r="V44" s="256">
        <f t="shared" si="26"/>
        <v>4</v>
      </c>
      <c r="W44" s="256">
        <f t="shared" si="26"/>
        <v>4</v>
      </c>
      <c r="X44" s="256">
        <f t="shared" si="26"/>
        <v>4</v>
      </c>
      <c r="Y44" s="256">
        <f t="shared" si="27"/>
        <v>4</v>
      </c>
      <c r="Z44" s="256">
        <f t="shared" si="27"/>
        <v>4</v>
      </c>
      <c r="AA44" s="256">
        <f t="shared" si="27"/>
        <v>4</v>
      </c>
      <c r="AB44" s="256">
        <f t="shared" si="27"/>
        <v>4</v>
      </c>
      <c r="AC44" s="256">
        <f t="shared" si="27"/>
        <v>4</v>
      </c>
      <c r="AD44" s="256">
        <f t="shared" si="27"/>
        <v>4</v>
      </c>
      <c r="AE44" s="256">
        <f t="shared" si="27"/>
        <v>4</v>
      </c>
      <c r="AF44" s="256">
        <f t="shared" si="27"/>
        <v>4</v>
      </c>
      <c r="AG44" s="256">
        <f t="shared" si="27"/>
        <v>4</v>
      </c>
      <c r="AH44" s="256">
        <f t="shared" si="27"/>
        <v>4</v>
      </c>
      <c r="AI44" s="256">
        <f t="shared" si="27"/>
        <v>4</v>
      </c>
      <c r="AJ44" s="256">
        <f t="shared" si="27"/>
        <v>4</v>
      </c>
      <c r="AK44" s="256">
        <f t="shared" si="27"/>
        <v>4</v>
      </c>
      <c r="AL44" s="256">
        <f t="shared" si="8"/>
        <v>4</v>
      </c>
      <c r="AM44" s="256">
        <f t="shared" si="27"/>
        <v>4</v>
      </c>
      <c r="AN44" s="256">
        <f t="shared" si="19"/>
        <v>4</v>
      </c>
      <c r="AO44" s="256">
        <f t="shared" si="19"/>
        <v>4</v>
      </c>
      <c r="AP44" s="256">
        <f t="shared" si="19"/>
        <v>4</v>
      </c>
      <c r="AQ44" s="256">
        <f t="shared" si="19"/>
        <v>4</v>
      </c>
      <c r="AR44" s="256">
        <f t="shared" si="19"/>
        <v>4</v>
      </c>
      <c r="AS44" s="256">
        <f t="shared" si="19"/>
        <v>4</v>
      </c>
      <c r="AT44" s="256">
        <f t="shared" si="19"/>
        <v>4</v>
      </c>
      <c r="AU44" s="256">
        <f t="shared" si="19"/>
        <v>4</v>
      </c>
    </row>
    <row r="45" spans="1:47" x14ac:dyDescent="0.3">
      <c r="A45" s="268" t="s">
        <v>95</v>
      </c>
      <c r="B45" s="252" t="s">
        <v>125</v>
      </c>
      <c r="C45" s="253">
        <v>2025</v>
      </c>
      <c r="D45" s="253">
        <f t="shared" si="28"/>
        <v>2021</v>
      </c>
      <c r="E45" s="253">
        <f t="shared" si="29"/>
        <v>2025</v>
      </c>
      <c r="F45" s="253">
        <f t="shared" si="30"/>
        <v>2029</v>
      </c>
      <c r="G45" s="269"/>
      <c r="H45" s="255" t="s">
        <v>25</v>
      </c>
      <c r="I45" s="256">
        <f t="shared" si="26"/>
        <v>2</v>
      </c>
      <c r="J45" s="256">
        <f t="shared" si="26"/>
        <v>3</v>
      </c>
      <c r="K45" s="256">
        <f t="shared" si="26"/>
        <v>3</v>
      </c>
      <c r="L45" s="256">
        <f t="shared" si="26"/>
        <v>3</v>
      </c>
      <c r="M45" s="256">
        <f t="shared" si="26"/>
        <v>3</v>
      </c>
      <c r="N45" s="256">
        <f t="shared" si="26"/>
        <v>4</v>
      </c>
      <c r="O45" s="256">
        <f t="shared" si="26"/>
        <v>4</v>
      </c>
      <c r="P45" s="256">
        <f t="shared" si="26"/>
        <v>4</v>
      </c>
      <c r="Q45" s="256">
        <f t="shared" si="26"/>
        <v>4</v>
      </c>
      <c r="R45" s="256">
        <f t="shared" si="26"/>
        <v>4</v>
      </c>
      <c r="S45" s="256">
        <f t="shared" si="26"/>
        <v>4</v>
      </c>
      <c r="T45" s="256">
        <f t="shared" si="26"/>
        <v>4</v>
      </c>
      <c r="U45" s="256">
        <f t="shared" si="26"/>
        <v>4</v>
      </c>
      <c r="V45" s="256">
        <f t="shared" si="26"/>
        <v>4</v>
      </c>
      <c r="W45" s="256">
        <f t="shared" si="26"/>
        <v>4</v>
      </c>
      <c r="X45" s="256">
        <f t="shared" si="26"/>
        <v>4</v>
      </c>
      <c r="Y45" s="256">
        <f t="shared" si="27"/>
        <v>4</v>
      </c>
      <c r="Z45" s="256">
        <f t="shared" si="27"/>
        <v>4</v>
      </c>
      <c r="AA45" s="256">
        <f t="shared" si="27"/>
        <v>4</v>
      </c>
      <c r="AB45" s="256">
        <f t="shared" si="27"/>
        <v>4</v>
      </c>
      <c r="AC45" s="256">
        <f t="shared" si="27"/>
        <v>4</v>
      </c>
      <c r="AD45" s="256">
        <f t="shared" si="27"/>
        <v>4</v>
      </c>
      <c r="AE45" s="256">
        <f t="shared" si="27"/>
        <v>4</v>
      </c>
      <c r="AF45" s="256">
        <f t="shared" si="27"/>
        <v>4</v>
      </c>
      <c r="AG45" s="256">
        <f t="shared" si="27"/>
        <v>4</v>
      </c>
      <c r="AH45" s="256">
        <f t="shared" si="27"/>
        <v>4</v>
      </c>
      <c r="AI45" s="256">
        <f t="shared" si="27"/>
        <v>4</v>
      </c>
      <c r="AJ45" s="256">
        <f t="shared" si="27"/>
        <v>4</v>
      </c>
      <c r="AK45" s="256">
        <f t="shared" si="27"/>
        <v>4</v>
      </c>
      <c r="AL45" s="256">
        <f t="shared" si="8"/>
        <v>4</v>
      </c>
      <c r="AM45" s="256">
        <f t="shared" si="27"/>
        <v>4</v>
      </c>
      <c r="AN45" s="256">
        <f t="shared" si="19"/>
        <v>4</v>
      </c>
      <c r="AO45" s="256">
        <f t="shared" si="19"/>
        <v>4</v>
      </c>
      <c r="AP45" s="256">
        <f t="shared" si="19"/>
        <v>4</v>
      </c>
      <c r="AQ45" s="256">
        <f t="shared" si="19"/>
        <v>4</v>
      </c>
      <c r="AR45" s="256">
        <f t="shared" si="19"/>
        <v>4</v>
      </c>
      <c r="AS45" s="256">
        <f t="shared" si="19"/>
        <v>4</v>
      </c>
      <c r="AT45" s="256">
        <f t="shared" si="19"/>
        <v>4</v>
      </c>
      <c r="AU45" s="256">
        <f t="shared" si="19"/>
        <v>4</v>
      </c>
    </row>
    <row r="46" spans="1:47" x14ac:dyDescent="0.3">
      <c r="A46" s="268" t="s">
        <v>95</v>
      </c>
      <c r="B46" s="252" t="s">
        <v>120</v>
      </c>
      <c r="C46" s="253">
        <v>2035</v>
      </c>
      <c r="D46" s="253">
        <f t="shared" si="28"/>
        <v>2031</v>
      </c>
      <c r="E46" s="253">
        <f t="shared" si="29"/>
        <v>2035</v>
      </c>
      <c r="F46" s="253">
        <f t="shared" si="30"/>
        <v>2039</v>
      </c>
      <c r="G46" s="269"/>
      <c r="H46" s="255" t="s">
        <v>30</v>
      </c>
      <c r="I46" s="256">
        <f t="shared" si="26"/>
        <v>1</v>
      </c>
      <c r="J46" s="256">
        <f t="shared" si="26"/>
        <v>1</v>
      </c>
      <c r="K46" s="256">
        <f t="shared" si="26"/>
        <v>1</v>
      </c>
      <c r="L46" s="256">
        <f t="shared" si="26"/>
        <v>1</v>
      </c>
      <c r="M46" s="256">
        <f t="shared" si="26"/>
        <v>1</v>
      </c>
      <c r="N46" s="256">
        <f t="shared" si="26"/>
        <v>1</v>
      </c>
      <c r="O46" s="256">
        <f t="shared" si="26"/>
        <v>1</v>
      </c>
      <c r="P46" s="256">
        <f t="shared" si="26"/>
        <v>2</v>
      </c>
      <c r="Q46" s="256">
        <f t="shared" si="26"/>
        <v>2</v>
      </c>
      <c r="R46" s="256">
        <f t="shared" si="26"/>
        <v>2</v>
      </c>
      <c r="S46" s="256">
        <f t="shared" si="26"/>
        <v>2</v>
      </c>
      <c r="T46" s="256">
        <f t="shared" si="26"/>
        <v>3</v>
      </c>
      <c r="U46" s="256">
        <f t="shared" si="26"/>
        <v>3</v>
      </c>
      <c r="V46" s="256">
        <f t="shared" si="26"/>
        <v>3</v>
      </c>
      <c r="W46" s="256">
        <f t="shared" si="26"/>
        <v>3</v>
      </c>
      <c r="X46" s="256">
        <f t="shared" si="26"/>
        <v>4</v>
      </c>
      <c r="Y46" s="256">
        <f t="shared" si="27"/>
        <v>4</v>
      </c>
      <c r="Z46" s="256">
        <f t="shared" si="27"/>
        <v>4</v>
      </c>
      <c r="AA46" s="256">
        <f t="shared" si="27"/>
        <v>4</v>
      </c>
      <c r="AB46" s="256">
        <f t="shared" si="27"/>
        <v>4</v>
      </c>
      <c r="AC46" s="256">
        <f t="shared" si="27"/>
        <v>4</v>
      </c>
      <c r="AD46" s="256">
        <f t="shared" si="27"/>
        <v>4</v>
      </c>
      <c r="AE46" s="256">
        <f t="shared" si="27"/>
        <v>4</v>
      </c>
      <c r="AF46" s="256">
        <f t="shared" si="27"/>
        <v>4</v>
      </c>
      <c r="AG46" s="256">
        <f t="shared" si="27"/>
        <v>4</v>
      </c>
      <c r="AH46" s="256">
        <f t="shared" si="27"/>
        <v>4</v>
      </c>
      <c r="AI46" s="256">
        <f t="shared" si="27"/>
        <v>4</v>
      </c>
      <c r="AJ46" s="256">
        <f t="shared" si="27"/>
        <v>4</v>
      </c>
      <c r="AK46" s="256">
        <f t="shared" si="27"/>
        <v>4</v>
      </c>
      <c r="AL46" s="256">
        <f t="shared" si="8"/>
        <v>4</v>
      </c>
      <c r="AM46" s="256">
        <f t="shared" si="27"/>
        <v>4</v>
      </c>
      <c r="AN46" s="256">
        <f t="shared" si="19"/>
        <v>4</v>
      </c>
      <c r="AO46" s="256">
        <f t="shared" si="19"/>
        <v>4</v>
      </c>
      <c r="AP46" s="256">
        <f t="shared" si="19"/>
        <v>4</v>
      </c>
      <c r="AQ46" s="256">
        <f t="shared" si="19"/>
        <v>4</v>
      </c>
      <c r="AR46" s="256">
        <f t="shared" si="19"/>
        <v>4</v>
      </c>
      <c r="AS46" s="256">
        <f t="shared" si="19"/>
        <v>4</v>
      </c>
      <c r="AT46" s="256">
        <f t="shared" si="19"/>
        <v>4</v>
      </c>
      <c r="AU46" s="256">
        <f t="shared" si="19"/>
        <v>4</v>
      </c>
    </row>
    <row r="47" spans="1:47" x14ac:dyDescent="0.3">
      <c r="A47" s="268" t="s">
        <v>95</v>
      </c>
      <c r="B47" s="252" t="s">
        <v>97</v>
      </c>
      <c r="C47" s="253">
        <v>2025</v>
      </c>
      <c r="D47" s="253">
        <f t="shared" si="28"/>
        <v>2021</v>
      </c>
      <c r="E47" s="253">
        <f t="shared" si="29"/>
        <v>2025</v>
      </c>
      <c r="F47" s="253">
        <f t="shared" si="30"/>
        <v>2029</v>
      </c>
      <c r="G47" s="269"/>
      <c r="H47" s="255" t="s">
        <v>39</v>
      </c>
      <c r="I47" s="256">
        <f t="shared" si="26"/>
        <v>2</v>
      </c>
      <c r="J47" s="256">
        <f t="shared" si="26"/>
        <v>3</v>
      </c>
      <c r="K47" s="256">
        <f t="shared" si="26"/>
        <v>3</v>
      </c>
      <c r="L47" s="256">
        <f t="shared" si="26"/>
        <v>3</v>
      </c>
      <c r="M47" s="256">
        <f t="shared" si="26"/>
        <v>3</v>
      </c>
      <c r="N47" s="256">
        <f t="shared" si="26"/>
        <v>4</v>
      </c>
      <c r="O47" s="256">
        <f t="shared" si="26"/>
        <v>4</v>
      </c>
      <c r="P47" s="256">
        <f t="shared" si="26"/>
        <v>4</v>
      </c>
      <c r="Q47" s="256">
        <f t="shared" si="26"/>
        <v>4</v>
      </c>
      <c r="R47" s="256">
        <f t="shared" si="26"/>
        <v>4</v>
      </c>
      <c r="S47" s="256">
        <f t="shared" si="26"/>
        <v>4</v>
      </c>
      <c r="T47" s="256">
        <f t="shared" si="26"/>
        <v>4</v>
      </c>
      <c r="U47" s="256">
        <f t="shared" si="26"/>
        <v>4</v>
      </c>
      <c r="V47" s="256">
        <f t="shared" si="26"/>
        <v>4</v>
      </c>
      <c r="W47" s="256">
        <f t="shared" si="26"/>
        <v>4</v>
      </c>
      <c r="X47" s="256">
        <f t="shared" si="26"/>
        <v>4</v>
      </c>
      <c r="Y47" s="256">
        <f t="shared" si="27"/>
        <v>4</v>
      </c>
      <c r="Z47" s="256">
        <f t="shared" si="27"/>
        <v>4</v>
      </c>
      <c r="AA47" s="256">
        <f t="shared" si="27"/>
        <v>4</v>
      </c>
      <c r="AB47" s="256">
        <f t="shared" si="27"/>
        <v>4</v>
      </c>
      <c r="AC47" s="256">
        <f t="shared" si="27"/>
        <v>4</v>
      </c>
      <c r="AD47" s="256">
        <f t="shared" si="27"/>
        <v>4</v>
      </c>
      <c r="AE47" s="256">
        <f t="shared" si="27"/>
        <v>4</v>
      </c>
      <c r="AF47" s="256">
        <f t="shared" si="27"/>
        <v>4</v>
      </c>
      <c r="AG47" s="256">
        <f t="shared" si="27"/>
        <v>4</v>
      </c>
      <c r="AH47" s="256">
        <f t="shared" si="27"/>
        <v>4</v>
      </c>
      <c r="AI47" s="256">
        <f t="shared" si="27"/>
        <v>4</v>
      </c>
      <c r="AJ47" s="256">
        <f t="shared" si="27"/>
        <v>4</v>
      </c>
      <c r="AK47" s="256">
        <f t="shared" si="27"/>
        <v>4</v>
      </c>
      <c r="AL47" s="256">
        <f t="shared" si="8"/>
        <v>4</v>
      </c>
      <c r="AM47" s="256">
        <f t="shared" si="27"/>
        <v>4</v>
      </c>
      <c r="AN47" s="256">
        <f t="shared" si="19"/>
        <v>4</v>
      </c>
      <c r="AO47" s="256">
        <f t="shared" si="19"/>
        <v>4</v>
      </c>
      <c r="AP47" s="256">
        <f t="shared" si="19"/>
        <v>4</v>
      </c>
      <c r="AQ47" s="256">
        <f t="shared" si="19"/>
        <v>4</v>
      </c>
      <c r="AR47" s="256">
        <f t="shared" si="19"/>
        <v>4</v>
      </c>
      <c r="AS47" s="256">
        <f t="shared" si="19"/>
        <v>4</v>
      </c>
      <c r="AT47" s="256">
        <f t="shared" si="19"/>
        <v>4</v>
      </c>
      <c r="AU47" s="256">
        <f t="shared" si="19"/>
        <v>4</v>
      </c>
    </row>
    <row r="48" spans="1:47" ht="26.4" x14ac:dyDescent="0.3">
      <c r="A48" s="268" t="s">
        <v>95</v>
      </c>
      <c r="B48" s="252" t="s">
        <v>123</v>
      </c>
      <c r="C48" s="253">
        <v>2025</v>
      </c>
      <c r="D48" s="253">
        <f t="shared" si="28"/>
        <v>2021</v>
      </c>
      <c r="E48" s="253">
        <f t="shared" si="29"/>
        <v>2025</v>
      </c>
      <c r="F48" s="253">
        <f t="shared" si="30"/>
        <v>2029</v>
      </c>
      <c r="G48" s="269"/>
      <c r="H48" s="255" t="str">
        <f>'Cost inputs'!A39</f>
        <v>Glenbrook, Clarks Beach</v>
      </c>
      <c r="I48" s="256">
        <f t="shared" si="26"/>
        <v>2</v>
      </c>
      <c r="J48" s="256">
        <f t="shared" si="26"/>
        <v>3</v>
      </c>
      <c r="K48" s="256">
        <f t="shared" si="26"/>
        <v>3</v>
      </c>
      <c r="L48" s="256">
        <f t="shared" si="26"/>
        <v>3</v>
      </c>
      <c r="M48" s="256">
        <f t="shared" si="26"/>
        <v>3</v>
      </c>
      <c r="N48" s="256">
        <f t="shared" si="26"/>
        <v>4</v>
      </c>
      <c r="O48" s="256">
        <f t="shared" si="26"/>
        <v>4</v>
      </c>
      <c r="P48" s="256">
        <f t="shared" si="26"/>
        <v>4</v>
      </c>
      <c r="Q48" s="256">
        <f t="shared" si="26"/>
        <v>4</v>
      </c>
      <c r="R48" s="256">
        <f t="shared" si="26"/>
        <v>4</v>
      </c>
      <c r="S48" s="256">
        <f t="shared" si="26"/>
        <v>4</v>
      </c>
      <c r="T48" s="256">
        <f t="shared" si="26"/>
        <v>4</v>
      </c>
      <c r="U48" s="256">
        <f t="shared" si="26"/>
        <v>4</v>
      </c>
      <c r="V48" s="256">
        <f t="shared" si="26"/>
        <v>4</v>
      </c>
      <c r="W48" s="256">
        <f t="shared" si="26"/>
        <v>4</v>
      </c>
      <c r="X48" s="256">
        <f t="shared" si="26"/>
        <v>4</v>
      </c>
      <c r="Y48" s="256">
        <f t="shared" si="27"/>
        <v>4</v>
      </c>
      <c r="Z48" s="256">
        <f t="shared" si="27"/>
        <v>4</v>
      </c>
      <c r="AA48" s="256">
        <f t="shared" si="27"/>
        <v>4</v>
      </c>
      <c r="AB48" s="256">
        <f t="shared" si="27"/>
        <v>4</v>
      </c>
      <c r="AC48" s="256">
        <f t="shared" si="27"/>
        <v>4</v>
      </c>
      <c r="AD48" s="256">
        <f t="shared" si="27"/>
        <v>4</v>
      </c>
      <c r="AE48" s="256">
        <f t="shared" si="27"/>
        <v>4</v>
      </c>
      <c r="AF48" s="256">
        <f t="shared" si="27"/>
        <v>4</v>
      </c>
      <c r="AG48" s="256">
        <f t="shared" si="27"/>
        <v>4</v>
      </c>
      <c r="AH48" s="256">
        <f t="shared" si="27"/>
        <v>4</v>
      </c>
      <c r="AI48" s="256">
        <f t="shared" si="27"/>
        <v>4</v>
      </c>
      <c r="AJ48" s="256">
        <f t="shared" si="27"/>
        <v>4</v>
      </c>
      <c r="AK48" s="256">
        <f t="shared" si="27"/>
        <v>4</v>
      </c>
      <c r="AL48" s="256">
        <f t="shared" si="8"/>
        <v>4</v>
      </c>
      <c r="AM48" s="256">
        <f t="shared" si="27"/>
        <v>4</v>
      </c>
      <c r="AN48" s="256">
        <f t="shared" si="19"/>
        <v>4</v>
      </c>
      <c r="AO48" s="256">
        <f t="shared" si="19"/>
        <v>4</v>
      </c>
      <c r="AP48" s="256">
        <f t="shared" si="19"/>
        <v>4</v>
      </c>
      <c r="AQ48" s="256">
        <f t="shared" si="19"/>
        <v>4</v>
      </c>
      <c r="AR48" s="256">
        <f t="shared" si="19"/>
        <v>4</v>
      </c>
      <c r="AS48" s="256">
        <f t="shared" si="19"/>
        <v>4</v>
      </c>
      <c r="AT48" s="256">
        <f t="shared" si="19"/>
        <v>4</v>
      </c>
      <c r="AU48" s="256">
        <f t="shared" si="19"/>
        <v>4</v>
      </c>
    </row>
    <row r="49" spans="1:47" ht="26.4" x14ac:dyDescent="0.3">
      <c r="A49" s="268" t="s">
        <v>95</v>
      </c>
      <c r="B49" s="252" t="s">
        <v>124</v>
      </c>
      <c r="C49" s="253">
        <v>2030</v>
      </c>
      <c r="D49" s="253">
        <f t="shared" si="28"/>
        <v>2026</v>
      </c>
      <c r="E49" s="253">
        <f t="shared" si="29"/>
        <v>2030</v>
      </c>
      <c r="F49" s="253">
        <f t="shared" si="30"/>
        <v>2034</v>
      </c>
      <c r="G49" s="269"/>
      <c r="H49" s="255" t="str">
        <f>H48</f>
        <v>Glenbrook, Clarks Beach</v>
      </c>
      <c r="I49" s="256">
        <f t="shared" si="26"/>
        <v>1</v>
      </c>
      <c r="J49" s="256">
        <f t="shared" si="26"/>
        <v>1</v>
      </c>
      <c r="K49" s="256">
        <f t="shared" si="26"/>
        <v>2</v>
      </c>
      <c r="L49" s="256">
        <f t="shared" si="26"/>
        <v>2</v>
      </c>
      <c r="M49" s="256">
        <f t="shared" si="26"/>
        <v>2</v>
      </c>
      <c r="N49" s="256">
        <f t="shared" si="26"/>
        <v>2</v>
      </c>
      <c r="O49" s="256">
        <f t="shared" si="26"/>
        <v>3</v>
      </c>
      <c r="P49" s="256">
        <f t="shared" si="26"/>
        <v>3</v>
      </c>
      <c r="Q49" s="256">
        <f t="shared" si="26"/>
        <v>3</v>
      </c>
      <c r="R49" s="256">
        <f t="shared" si="26"/>
        <v>3</v>
      </c>
      <c r="S49" s="256">
        <f t="shared" si="26"/>
        <v>4</v>
      </c>
      <c r="T49" s="256">
        <f t="shared" si="26"/>
        <v>4</v>
      </c>
      <c r="U49" s="256">
        <f t="shared" si="26"/>
        <v>4</v>
      </c>
      <c r="V49" s="256">
        <f t="shared" si="26"/>
        <v>4</v>
      </c>
      <c r="W49" s="256">
        <f t="shared" si="26"/>
        <v>4</v>
      </c>
      <c r="X49" s="256">
        <f t="shared" si="26"/>
        <v>4</v>
      </c>
      <c r="Y49" s="256">
        <f t="shared" si="27"/>
        <v>4</v>
      </c>
      <c r="Z49" s="256">
        <f t="shared" si="27"/>
        <v>4</v>
      </c>
      <c r="AA49" s="256">
        <f t="shared" si="27"/>
        <v>4</v>
      </c>
      <c r="AB49" s="256">
        <f t="shared" si="27"/>
        <v>4</v>
      </c>
      <c r="AC49" s="256">
        <f t="shared" si="27"/>
        <v>4</v>
      </c>
      <c r="AD49" s="256">
        <f t="shared" si="27"/>
        <v>4</v>
      </c>
      <c r="AE49" s="256">
        <f t="shared" si="27"/>
        <v>4</v>
      </c>
      <c r="AF49" s="256">
        <f t="shared" si="27"/>
        <v>4</v>
      </c>
      <c r="AG49" s="256">
        <f t="shared" si="27"/>
        <v>4</v>
      </c>
      <c r="AH49" s="256">
        <f t="shared" si="27"/>
        <v>4</v>
      </c>
      <c r="AI49" s="256">
        <f t="shared" si="27"/>
        <v>4</v>
      </c>
      <c r="AJ49" s="256">
        <f t="shared" si="27"/>
        <v>4</v>
      </c>
      <c r="AK49" s="256">
        <f t="shared" si="27"/>
        <v>4</v>
      </c>
      <c r="AL49" s="256">
        <f t="shared" si="8"/>
        <v>4</v>
      </c>
      <c r="AM49" s="256">
        <f t="shared" si="27"/>
        <v>4</v>
      </c>
      <c r="AN49" s="256">
        <f t="shared" si="19"/>
        <v>4</v>
      </c>
      <c r="AO49" s="256">
        <f t="shared" si="19"/>
        <v>4</v>
      </c>
      <c r="AP49" s="256">
        <f t="shared" si="19"/>
        <v>4</v>
      </c>
      <c r="AQ49" s="256">
        <f t="shared" si="19"/>
        <v>4</v>
      </c>
      <c r="AR49" s="256">
        <f t="shared" si="19"/>
        <v>4</v>
      </c>
      <c r="AS49" s="256">
        <f t="shared" si="19"/>
        <v>4</v>
      </c>
      <c r="AT49" s="256">
        <f t="shared" si="19"/>
        <v>4</v>
      </c>
      <c r="AU49" s="256">
        <f t="shared" si="19"/>
        <v>4</v>
      </c>
    </row>
    <row r="50" spans="1:47" ht="26.4" x14ac:dyDescent="0.3">
      <c r="A50" s="268" t="s">
        <v>95</v>
      </c>
      <c r="B50" s="255" t="s">
        <v>34</v>
      </c>
      <c r="C50" s="253">
        <v>2035</v>
      </c>
      <c r="D50" s="253">
        <f t="shared" si="28"/>
        <v>2031</v>
      </c>
      <c r="E50" s="253">
        <f t="shared" si="29"/>
        <v>2035</v>
      </c>
      <c r="F50" s="253">
        <f t="shared" si="30"/>
        <v>2039</v>
      </c>
      <c r="G50" s="269"/>
      <c r="H50" s="255" t="str">
        <f>'Cost inputs'!A32</f>
        <v>Maraetai/Clevedon</v>
      </c>
      <c r="I50" s="256">
        <f t="shared" si="26"/>
        <v>1</v>
      </c>
      <c r="J50" s="256">
        <f t="shared" si="26"/>
        <v>1</v>
      </c>
      <c r="K50" s="256">
        <f t="shared" si="26"/>
        <v>1</v>
      </c>
      <c r="L50" s="256">
        <f t="shared" si="26"/>
        <v>1</v>
      </c>
      <c r="M50" s="256">
        <f t="shared" si="26"/>
        <v>1</v>
      </c>
      <c r="N50" s="256">
        <f t="shared" si="26"/>
        <v>1</v>
      </c>
      <c r="O50" s="256">
        <f t="shared" si="26"/>
        <v>1</v>
      </c>
      <c r="P50" s="256">
        <f t="shared" si="26"/>
        <v>2</v>
      </c>
      <c r="Q50" s="256">
        <f t="shared" si="26"/>
        <v>2</v>
      </c>
      <c r="R50" s="256">
        <f t="shared" si="26"/>
        <v>2</v>
      </c>
      <c r="S50" s="256">
        <f t="shared" si="26"/>
        <v>2</v>
      </c>
      <c r="T50" s="256">
        <f t="shared" si="26"/>
        <v>3</v>
      </c>
      <c r="U50" s="256">
        <f t="shared" si="26"/>
        <v>3</v>
      </c>
      <c r="V50" s="256">
        <f t="shared" si="26"/>
        <v>3</v>
      </c>
      <c r="W50" s="256">
        <f t="shared" si="26"/>
        <v>3</v>
      </c>
      <c r="X50" s="256">
        <f t="shared" si="26"/>
        <v>4</v>
      </c>
      <c r="Y50" s="256">
        <f t="shared" si="27"/>
        <v>4</v>
      </c>
      <c r="Z50" s="256">
        <f t="shared" si="27"/>
        <v>4</v>
      </c>
      <c r="AA50" s="256">
        <f t="shared" si="27"/>
        <v>4</v>
      </c>
      <c r="AB50" s="256">
        <f t="shared" si="27"/>
        <v>4</v>
      </c>
      <c r="AC50" s="256">
        <f t="shared" si="27"/>
        <v>4</v>
      </c>
      <c r="AD50" s="256">
        <f t="shared" si="27"/>
        <v>4</v>
      </c>
      <c r="AE50" s="256">
        <f t="shared" si="27"/>
        <v>4</v>
      </c>
      <c r="AF50" s="256">
        <f t="shared" si="27"/>
        <v>4</v>
      </c>
      <c r="AG50" s="256">
        <f t="shared" si="27"/>
        <v>4</v>
      </c>
      <c r="AH50" s="256">
        <f t="shared" si="27"/>
        <v>4</v>
      </c>
      <c r="AI50" s="256">
        <f t="shared" si="27"/>
        <v>4</v>
      </c>
      <c r="AJ50" s="256">
        <f t="shared" si="27"/>
        <v>4</v>
      </c>
      <c r="AK50" s="256">
        <f t="shared" si="27"/>
        <v>4</v>
      </c>
      <c r="AL50" s="256">
        <f t="shared" si="8"/>
        <v>4</v>
      </c>
      <c r="AM50" s="256">
        <f t="shared" si="27"/>
        <v>4</v>
      </c>
      <c r="AN50" s="256">
        <f t="shared" si="19"/>
        <v>4</v>
      </c>
      <c r="AO50" s="256">
        <f t="shared" si="19"/>
        <v>4</v>
      </c>
      <c r="AP50" s="256">
        <f t="shared" si="19"/>
        <v>4</v>
      </c>
      <c r="AQ50" s="256">
        <f t="shared" si="19"/>
        <v>4</v>
      </c>
      <c r="AR50" s="256">
        <f t="shared" si="19"/>
        <v>4</v>
      </c>
      <c r="AS50" s="256">
        <f t="shared" si="19"/>
        <v>4</v>
      </c>
      <c r="AT50" s="256">
        <f t="shared" si="19"/>
        <v>4</v>
      </c>
      <c r="AU50" s="256">
        <f t="shared" si="19"/>
        <v>4</v>
      </c>
    </row>
    <row r="51" spans="1:47" x14ac:dyDescent="0.3">
      <c r="G51" s="270"/>
    </row>
    <row r="52" spans="1:47" x14ac:dyDescent="0.3">
      <c r="A52" s="246" t="s">
        <v>112</v>
      </c>
      <c r="G52" s="270"/>
    </row>
    <row r="53" spans="1:47" x14ac:dyDescent="0.3">
      <c r="A53" s="245" t="s">
        <v>48</v>
      </c>
      <c r="B53" s="245" t="s">
        <v>99</v>
      </c>
      <c r="C53" s="245">
        <v>2028</v>
      </c>
      <c r="D53" s="245">
        <v>2024</v>
      </c>
      <c r="E53" s="245">
        <v>2028</v>
      </c>
      <c r="F53" s="245">
        <v>2032</v>
      </c>
      <c r="G53" s="270" t="s">
        <v>116</v>
      </c>
      <c r="H53" s="255" t="s">
        <v>28</v>
      </c>
      <c r="I53" s="256">
        <f t="shared" ref="I53:AU55" si="31">CHOOSE((I$3&gt;=2024)+(I$3&gt;=$D53)+(I$3&gt;=$E53)+(I$3&gt;=$F53),1,2,3,4)</f>
        <v>2</v>
      </c>
      <c r="J53" s="256">
        <f t="shared" si="31"/>
        <v>2</v>
      </c>
      <c r="K53" s="256">
        <f t="shared" si="31"/>
        <v>2</v>
      </c>
      <c r="L53" s="256">
        <f t="shared" si="31"/>
        <v>2</v>
      </c>
      <c r="M53" s="256">
        <f t="shared" si="31"/>
        <v>3</v>
      </c>
      <c r="N53" s="256">
        <f t="shared" si="31"/>
        <v>3</v>
      </c>
      <c r="O53" s="256">
        <f t="shared" si="31"/>
        <v>3</v>
      </c>
      <c r="P53" s="256">
        <f t="shared" si="31"/>
        <v>3</v>
      </c>
      <c r="Q53" s="256">
        <f t="shared" si="31"/>
        <v>4</v>
      </c>
      <c r="R53" s="256">
        <f t="shared" si="31"/>
        <v>4</v>
      </c>
      <c r="S53" s="256">
        <f t="shared" si="31"/>
        <v>4</v>
      </c>
      <c r="T53" s="256">
        <f t="shared" si="31"/>
        <v>4</v>
      </c>
      <c r="U53" s="256">
        <f t="shared" si="31"/>
        <v>4</v>
      </c>
      <c r="V53" s="256">
        <f t="shared" si="31"/>
        <v>4</v>
      </c>
      <c r="W53" s="256">
        <f t="shared" si="31"/>
        <v>4</v>
      </c>
      <c r="X53" s="256">
        <f t="shared" si="31"/>
        <v>4</v>
      </c>
      <c r="Y53" s="256">
        <f t="shared" si="31"/>
        <v>4</v>
      </c>
      <c r="Z53" s="256">
        <f t="shared" si="31"/>
        <v>4</v>
      </c>
      <c r="AA53" s="256">
        <f t="shared" si="31"/>
        <v>4</v>
      </c>
      <c r="AB53" s="256">
        <f t="shared" si="31"/>
        <v>4</v>
      </c>
      <c r="AC53" s="256">
        <f t="shared" si="31"/>
        <v>4</v>
      </c>
      <c r="AD53" s="256">
        <f t="shared" si="31"/>
        <v>4</v>
      </c>
      <c r="AE53" s="256">
        <f t="shared" si="31"/>
        <v>4</v>
      </c>
      <c r="AF53" s="256">
        <f t="shared" si="31"/>
        <v>4</v>
      </c>
      <c r="AG53" s="256">
        <f t="shared" si="31"/>
        <v>4</v>
      </c>
      <c r="AH53" s="256">
        <f t="shared" si="31"/>
        <v>4</v>
      </c>
      <c r="AI53" s="256">
        <f t="shared" si="31"/>
        <v>4</v>
      </c>
      <c r="AJ53" s="256">
        <f t="shared" si="31"/>
        <v>4</v>
      </c>
      <c r="AK53" s="256">
        <f t="shared" si="31"/>
        <v>4</v>
      </c>
      <c r="AL53" s="256">
        <f t="shared" si="31"/>
        <v>4</v>
      </c>
      <c r="AM53" s="256">
        <f t="shared" si="31"/>
        <v>4</v>
      </c>
      <c r="AN53" s="256">
        <f t="shared" si="31"/>
        <v>4</v>
      </c>
      <c r="AO53" s="256">
        <f t="shared" si="31"/>
        <v>4</v>
      </c>
      <c r="AP53" s="256">
        <f t="shared" si="31"/>
        <v>4</v>
      </c>
      <c r="AQ53" s="256">
        <f t="shared" si="31"/>
        <v>4</v>
      </c>
      <c r="AR53" s="256">
        <f t="shared" si="31"/>
        <v>4</v>
      </c>
      <c r="AS53" s="256">
        <f t="shared" si="31"/>
        <v>4</v>
      </c>
      <c r="AT53" s="256">
        <f t="shared" si="31"/>
        <v>4</v>
      </c>
      <c r="AU53" s="256">
        <f t="shared" si="31"/>
        <v>4</v>
      </c>
    </row>
    <row r="54" spans="1:47" x14ac:dyDescent="0.3">
      <c r="A54" s="245" t="s">
        <v>48</v>
      </c>
      <c r="B54" s="245" t="s">
        <v>58</v>
      </c>
      <c r="C54" s="245">
        <v>2028</v>
      </c>
      <c r="D54" s="245">
        <v>2024</v>
      </c>
      <c r="E54" s="245">
        <v>2028</v>
      </c>
      <c r="F54" s="245">
        <v>2032</v>
      </c>
      <c r="G54" s="270" t="s">
        <v>116</v>
      </c>
      <c r="H54" s="255" t="s">
        <v>28</v>
      </c>
      <c r="I54" s="256">
        <f t="shared" si="31"/>
        <v>2</v>
      </c>
      <c r="J54" s="256">
        <f t="shared" si="31"/>
        <v>2</v>
      </c>
      <c r="K54" s="256">
        <f t="shared" si="31"/>
        <v>2</v>
      </c>
      <c r="L54" s="256">
        <f t="shared" si="31"/>
        <v>2</v>
      </c>
      <c r="M54" s="256">
        <f t="shared" si="31"/>
        <v>3</v>
      </c>
      <c r="N54" s="256">
        <f t="shared" si="31"/>
        <v>3</v>
      </c>
      <c r="O54" s="256">
        <f t="shared" si="31"/>
        <v>3</v>
      </c>
      <c r="P54" s="256">
        <f t="shared" si="31"/>
        <v>3</v>
      </c>
      <c r="Q54" s="256">
        <f t="shared" si="31"/>
        <v>4</v>
      </c>
      <c r="R54" s="256">
        <f t="shared" si="31"/>
        <v>4</v>
      </c>
      <c r="S54" s="256">
        <f t="shared" si="31"/>
        <v>4</v>
      </c>
      <c r="T54" s="256">
        <f t="shared" si="31"/>
        <v>4</v>
      </c>
      <c r="U54" s="256">
        <f t="shared" si="31"/>
        <v>4</v>
      </c>
      <c r="V54" s="256">
        <f t="shared" si="31"/>
        <v>4</v>
      </c>
      <c r="W54" s="256">
        <f t="shared" si="31"/>
        <v>4</v>
      </c>
      <c r="X54" s="256">
        <f t="shared" si="31"/>
        <v>4</v>
      </c>
      <c r="Y54" s="256">
        <f t="shared" si="31"/>
        <v>4</v>
      </c>
      <c r="Z54" s="256">
        <f t="shared" si="31"/>
        <v>4</v>
      </c>
      <c r="AA54" s="256">
        <f t="shared" si="31"/>
        <v>4</v>
      </c>
      <c r="AB54" s="256">
        <f t="shared" si="31"/>
        <v>4</v>
      </c>
      <c r="AC54" s="256">
        <f t="shared" si="31"/>
        <v>4</v>
      </c>
      <c r="AD54" s="256">
        <f t="shared" si="31"/>
        <v>4</v>
      </c>
      <c r="AE54" s="256">
        <f t="shared" si="31"/>
        <v>4</v>
      </c>
      <c r="AF54" s="256">
        <f t="shared" si="31"/>
        <v>4</v>
      </c>
      <c r="AG54" s="256">
        <f t="shared" si="31"/>
        <v>4</v>
      </c>
      <c r="AH54" s="256">
        <f t="shared" si="31"/>
        <v>4</v>
      </c>
      <c r="AI54" s="256">
        <f t="shared" si="31"/>
        <v>4</v>
      </c>
      <c r="AJ54" s="256">
        <f t="shared" si="31"/>
        <v>4</v>
      </c>
      <c r="AK54" s="256">
        <f t="shared" si="31"/>
        <v>4</v>
      </c>
      <c r="AL54" s="256">
        <f t="shared" si="31"/>
        <v>4</v>
      </c>
      <c r="AM54" s="256">
        <f t="shared" si="31"/>
        <v>4</v>
      </c>
      <c r="AN54" s="256">
        <f t="shared" si="31"/>
        <v>4</v>
      </c>
      <c r="AO54" s="256">
        <f t="shared" si="31"/>
        <v>4</v>
      </c>
      <c r="AP54" s="256">
        <f t="shared" si="31"/>
        <v>4</v>
      </c>
      <c r="AQ54" s="256">
        <f t="shared" si="31"/>
        <v>4</v>
      </c>
      <c r="AR54" s="256">
        <f t="shared" si="31"/>
        <v>4</v>
      </c>
      <c r="AS54" s="256">
        <f t="shared" si="31"/>
        <v>4</v>
      </c>
      <c r="AT54" s="256">
        <f t="shared" si="31"/>
        <v>4</v>
      </c>
      <c r="AU54" s="256">
        <f t="shared" si="31"/>
        <v>4</v>
      </c>
    </row>
    <row r="55" spans="1:47" x14ac:dyDescent="0.3">
      <c r="A55" s="245" t="s">
        <v>48</v>
      </c>
      <c r="B55" s="252" t="s">
        <v>117</v>
      </c>
      <c r="C55" s="245">
        <v>2028</v>
      </c>
      <c r="D55" s="245">
        <v>2024</v>
      </c>
      <c r="E55" s="245">
        <v>2028</v>
      </c>
      <c r="F55" s="245">
        <v>2032</v>
      </c>
      <c r="G55" s="270" t="s">
        <v>116</v>
      </c>
      <c r="H55" s="255" t="s">
        <v>28</v>
      </c>
      <c r="I55" s="256">
        <f t="shared" si="31"/>
        <v>2</v>
      </c>
      <c r="J55" s="256">
        <f t="shared" si="31"/>
        <v>2</v>
      </c>
      <c r="K55" s="256">
        <f t="shared" si="31"/>
        <v>2</v>
      </c>
      <c r="L55" s="256">
        <f t="shared" si="31"/>
        <v>2</v>
      </c>
      <c r="M55" s="256">
        <f t="shared" si="31"/>
        <v>3</v>
      </c>
      <c r="N55" s="256">
        <f t="shared" si="31"/>
        <v>3</v>
      </c>
      <c r="O55" s="256">
        <f t="shared" si="31"/>
        <v>3</v>
      </c>
      <c r="P55" s="256">
        <f t="shared" si="31"/>
        <v>3</v>
      </c>
      <c r="Q55" s="256">
        <f t="shared" si="31"/>
        <v>4</v>
      </c>
      <c r="R55" s="256">
        <f t="shared" si="31"/>
        <v>4</v>
      </c>
      <c r="S55" s="256">
        <f t="shared" si="31"/>
        <v>4</v>
      </c>
      <c r="T55" s="256">
        <f t="shared" si="31"/>
        <v>4</v>
      </c>
      <c r="U55" s="256">
        <f t="shared" si="31"/>
        <v>4</v>
      </c>
      <c r="V55" s="256">
        <f t="shared" si="31"/>
        <v>4</v>
      </c>
      <c r="W55" s="256">
        <f t="shared" si="31"/>
        <v>4</v>
      </c>
      <c r="X55" s="256">
        <f t="shared" si="31"/>
        <v>4</v>
      </c>
      <c r="Y55" s="256">
        <f t="shared" si="31"/>
        <v>4</v>
      </c>
      <c r="Z55" s="256">
        <f t="shared" si="31"/>
        <v>4</v>
      </c>
      <c r="AA55" s="256">
        <f t="shared" si="31"/>
        <v>4</v>
      </c>
      <c r="AB55" s="256">
        <f t="shared" si="31"/>
        <v>4</v>
      </c>
      <c r="AC55" s="256">
        <f t="shared" si="31"/>
        <v>4</v>
      </c>
      <c r="AD55" s="256">
        <f t="shared" si="31"/>
        <v>4</v>
      </c>
      <c r="AE55" s="256">
        <f t="shared" si="31"/>
        <v>4</v>
      </c>
      <c r="AF55" s="256">
        <f t="shared" si="31"/>
        <v>4</v>
      </c>
      <c r="AG55" s="256">
        <f t="shared" si="31"/>
        <v>4</v>
      </c>
      <c r="AH55" s="256">
        <f t="shared" si="31"/>
        <v>4</v>
      </c>
      <c r="AI55" s="256">
        <f t="shared" si="31"/>
        <v>4</v>
      </c>
      <c r="AJ55" s="256">
        <f t="shared" si="31"/>
        <v>4</v>
      </c>
      <c r="AK55" s="256">
        <f t="shared" si="31"/>
        <v>4</v>
      </c>
      <c r="AL55" s="256">
        <f t="shared" si="31"/>
        <v>4</v>
      </c>
      <c r="AM55" s="256">
        <f t="shared" si="31"/>
        <v>4</v>
      </c>
      <c r="AN55" s="256">
        <f t="shared" si="31"/>
        <v>4</v>
      </c>
      <c r="AO55" s="256">
        <f t="shared" si="31"/>
        <v>4</v>
      </c>
      <c r="AP55" s="256">
        <f t="shared" si="31"/>
        <v>4</v>
      </c>
      <c r="AQ55" s="256">
        <f t="shared" si="31"/>
        <v>4</v>
      </c>
      <c r="AR55" s="256">
        <f t="shared" si="31"/>
        <v>4</v>
      </c>
      <c r="AS55" s="256">
        <f t="shared" si="31"/>
        <v>4</v>
      </c>
      <c r="AT55" s="256">
        <f t="shared" si="31"/>
        <v>4</v>
      </c>
      <c r="AU55" s="256">
        <f t="shared" si="31"/>
        <v>4</v>
      </c>
    </row>
    <row r="58" spans="1:47" x14ac:dyDescent="0.3">
      <c r="A58" s="271" t="s">
        <v>127</v>
      </c>
      <c r="B58" s="271"/>
      <c r="C58" s="271"/>
      <c r="D58" s="271"/>
      <c r="E58" s="271"/>
      <c r="F58" s="271"/>
      <c r="I58" s="245">
        <f t="shared" ref="I58:AU58" si="32">I3</f>
        <v>2024</v>
      </c>
      <c r="J58" s="245">
        <f t="shared" si="32"/>
        <v>2025</v>
      </c>
      <c r="K58" s="245">
        <f t="shared" si="32"/>
        <v>2026</v>
      </c>
      <c r="L58" s="245">
        <f t="shared" si="32"/>
        <v>2027</v>
      </c>
      <c r="M58" s="245">
        <f t="shared" si="32"/>
        <v>2028</v>
      </c>
      <c r="N58" s="245">
        <f t="shared" si="32"/>
        <v>2029</v>
      </c>
      <c r="O58" s="245">
        <f t="shared" si="32"/>
        <v>2030</v>
      </c>
      <c r="P58" s="245">
        <f t="shared" si="32"/>
        <v>2031</v>
      </c>
      <c r="Q58" s="245">
        <f t="shared" si="32"/>
        <v>2032</v>
      </c>
      <c r="R58" s="245">
        <f t="shared" si="32"/>
        <v>2033</v>
      </c>
      <c r="S58" s="245">
        <f t="shared" si="32"/>
        <v>2034</v>
      </c>
      <c r="T58" s="245">
        <f t="shared" si="32"/>
        <v>2035</v>
      </c>
      <c r="U58" s="245">
        <f t="shared" si="32"/>
        <v>2036</v>
      </c>
      <c r="V58" s="245">
        <f t="shared" si="32"/>
        <v>2037</v>
      </c>
      <c r="W58" s="245">
        <f t="shared" si="32"/>
        <v>2038</v>
      </c>
      <c r="X58" s="245">
        <f t="shared" si="32"/>
        <v>2039</v>
      </c>
      <c r="Y58" s="245">
        <f t="shared" si="32"/>
        <v>2040</v>
      </c>
      <c r="Z58" s="245">
        <f t="shared" si="32"/>
        <v>2041</v>
      </c>
      <c r="AA58" s="245">
        <f t="shared" si="32"/>
        <v>2042</v>
      </c>
      <c r="AB58" s="245">
        <f t="shared" si="32"/>
        <v>2043</v>
      </c>
      <c r="AC58" s="245">
        <f t="shared" si="32"/>
        <v>2044</v>
      </c>
      <c r="AD58" s="245">
        <f t="shared" si="32"/>
        <v>2045</v>
      </c>
      <c r="AE58" s="245">
        <f t="shared" si="32"/>
        <v>2046</v>
      </c>
      <c r="AF58" s="245">
        <f t="shared" si="32"/>
        <v>2047</v>
      </c>
      <c r="AG58" s="245">
        <f t="shared" si="32"/>
        <v>2048</v>
      </c>
      <c r="AH58" s="245">
        <f t="shared" si="32"/>
        <v>2049</v>
      </c>
      <c r="AI58" s="245">
        <f t="shared" si="32"/>
        <v>2050</v>
      </c>
      <c r="AJ58" s="245">
        <f t="shared" si="32"/>
        <v>2051</v>
      </c>
      <c r="AK58" s="245">
        <f t="shared" si="32"/>
        <v>2052</v>
      </c>
      <c r="AL58" s="245">
        <f t="shared" si="32"/>
        <v>2053</v>
      </c>
      <c r="AM58" s="245">
        <f t="shared" si="32"/>
        <v>2054</v>
      </c>
      <c r="AN58" s="245">
        <f t="shared" si="32"/>
        <v>2055</v>
      </c>
      <c r="AO58" s="245">
        <f t="shared" si="32"/>
        <v>2056</v>
      </c>
      <c r="AP58" s="245">
        <f t="shared" si="32"/>
        <v>2057</v>
      </c>
      <c r="AQ58" s="245">
        <f t="shared" si="32"/>
        <v>2058</v>
      </c>
      <c r="AR58" s="245">
        <f t="shared" si="32"/>
        <v>2059</v>
      </c>
      <c r="AS58" s="245">
        <f t="shared" si="32"/>
        <v>2060</v>
      </c>
      <c r="AT58" s="245">
        <f t="shared" si="32"/>
        <v>2061</v>
      </c>
      <c r="AU58" s="245">
        <f t="shared" si="32"/>
        <v>2062</v>
      </c>
    </row>
    <row r="59" spans="1:47" x14ac:dyDescent="0.3">
      <c r="A59" s="245" t="str">
        <f t="shared" ref="A59:F68" si="33">A4</f>
        <v>Inner North-West</v>
      </c>
      <c r="B59" s="245" t="str">
        <f t="shared" si="33"/>
        <v>Redhills Precinct area</v>
      </c>
      <c r="C59" s="245">
        <f t="shared" si="33"/>
        <v>2024</v>
      </c>
      <c r="D59" s="245">
        <f t="shared" si="33"/>
        <v>2020</v>
      </c>
      <c r="E59" s="245">
        <f t="shared" si="33"/>
        <v>2024</v>
      </c>
      <c r="F59" s="245">
        <f t="shared" si="33"/>
        <v>2028</v>
      </c>
      <c r="G59" s="245" t="str">
        <f t="shared" ref="G59:G74" si="34">IF(G4="","",G4)</f>
        <v>Redhills is developing in stages with dwellings alredy occupied in certain areas and others without development. By 2024 most of the area is considered to have bulk infrastructure available to support development, aligning with how the FDS dates were determined.</v>
      </c>
      <c r="H59" s="245" t="str">
        <f t="shared" ref="H59:H74" si="35">H4</f>
        <v>Redhills</v>
      </c>
      <c r="I59" s="245">
        <f>VLOOKUP($H59,'Cost inputs'!$A$18:$E$39,'Land Price Phase Sc1&amp;2'!I4+1,0)</f>
        <v>500</v>
      </c>
      <c r="J59" s="245">
        <f>VLOOKUP($H59,'Cost inputs'!$A$18:$E$39,'Land Price Phase Sc1&amp;2'!J4+1,0)</f>
        <v>500</v>
      </c>
      <c r="K59" s="245">
        <f>VLOOKUP($H59,'Cost inputs'!$A$18:$E$39,'Land Price Phase Sc1&amp;2'!K4+1,0)</f>
        <v>500</v>
      </c>
      <c r="L59" s="245">
        <f>VLOOKUP($H59,'Cost inputs'!$A$18:$E$39,'Land Price Phase Sc1&amp;2'!L4+1,0)</f>
        <v>500</v>
      </c>
      <c r="M59" s="245">
        <f>VLOOKUP($H59,'Cost inputs'!$A$18:$E$39,'Land Price Phase Sc1&amp;2'!M4+1,0)</f>
        <v>1425</v>
      </c>
      <c r="N59" s="245">
        <f>VLOOKUP($H59,'Cost inputs'!$A$18:$E$39,'Land Price Phase Sc1&amp;2'!N4+1,0)</f>
        <v>1425</v>
      </c>
      <c r="O59" s="245">
        <f>VLOOKUP($H59,'Cost inputs'!$A$18:$E$39,'Land Price Phase Sc1&amp;2'!O4+1,0)</f>
        <v>1425</v>
      </c>
      <c r="P59" s="245">
        <f>VLOOKUP($H59,'Cost inputs'!$A$18:$E$39,'Land Price Phase Sc1&amp;2'!P4+1,0)</f>
        <v>1425</v>
      </c>
      <c r="Q59" s="245">
        <f>VLOOKUP($H59,'Cost inputs'!$A$18:$E$39,'Land Price Phase Sc1&amp;2'!Q4+1,0)</f>
        <v>1425</v>
      </c>
      <c r="R59" s="245">
        <f>VLOOKUP($H59,'Cost inputs'!$A$18:$E$39,'Land Price Phase Sc1&amp;2'!R4+1,0)</f>
        <v>1425</v>
      </c>
      <c r="S59" s="245">
        <f>VLOOKUP($H59,'Cost inputs'!$A$18:$E$39,'Land Price Phase Sc1&amp;2'!S4+1,0)</f>
        <v>1425</v>
      </c>
      <c r="T59" s="245">
        <f>VLOOKUP($H59,'Cost inputs'!$A$18:$E$39,'Land Price Phase Sc1&amp;2'!T4+1,0)</f>
        <v>1425</v>
      </c>
      <c r="U59" s="245">
        <f>VLOOKUP($H59,'Cost inputs'!$A$18:$E$39,'Land Price Phase Sc1&amp;2'!U4+1,0)</f>
        <v>1425</v>
      </c>
      <c r="V59" s="245">
        <f>VLOOKUP($H59,'Cost inputs'!$A$18:$E$39,'Land Price Phase Sc1&amp;2'!V4+1,0)</f>
        <v>1425</v>
      </c>
      <c r="W59" s="245">
        <f>VLOOKUP($H59,'Cost inputs'!$A$18:$E$39,'Land Price Phase Sc1&amp;2'!W4+1,0)</f>
        <v>1425</v>
      </c>
      <c r="X59" s="245">
        <f>VLOOKUP($H59,'Cost inputs'!$A$18:$E$39,'Land Price Phase Sc1&amp;2'!X4+1,0)</f>
        <v>1425</v>
      </c>
      <c r="Y59" s="245">
        <f>VLOOKUP($H59,'Cost inputs'!$A$18:$E$39,'Land Price Phase Sc1&amp;2'!Y4+1,0)</f>
        <v>1425</v>
      </c>
      <c r="Z59" s="245">
        <f>VLOOKUP($H59,'Cost inputs'!$A$18:$E$39,'Land Price Phase Sc1&amp;2'!Z4+1,0)</f>
        <v>1425</v>
      </c>
      <c r="AA59" s="245">
        <f>VLOOKUP($H59,'Cost inputs'!$A$18:$E$39,'Land Price Phase Sc1&amp;2'!AA4+1,0)</f>
        <v>1425</v>
      </c>
      <c r="AB59" s="245">
        <f>VLOOKUP($H59,'Cost inputs'!$A$18:$E$39,'Land Price Phase Sc1&amp;2'!AB4+1,0)</f>
        <v>1425</v>
      </c>
      <c r="AC59" s="245">
        <f>VLOOKUP($H59,'Cost inputs'!$A$18:$E$39,'Land Price Phase Sc1&amp;2'!AC4+1,0)</f>
        <v>1425</v>
      </c>
      <c r="AD59" s="245">
        <f>VLOOKUP($H59,'Cost inputs'!$A$18:$E$39,'Land Price Phase Sc1&amp;2'!AD4+1,0)</f>
        <v>1425</v>
      </c>
      <c r="AE59" s="245">
        <f>VLOOKUP($H59,'Cost inputs'!$A$18:$E$39,'Land Price Phase Sc1&amp;2'!AE4+1,0)</f>
        <v>1425</v>
      </c>
      <c r="AF59" s="245">
        <f>VLOOKUP($H59,'Cost inputs'!$A$18:$E$39,'Land Price Phase Sc1&amp;2'!AF4+1,0)</f>
        <v>1425</v>
      </c>
      <c r="AG59" s="245">
        <f>VLOOKUP($H59,'Cost inputs'!$A$18:$E$39,'Land Price Phase Sc1&amp;2'!AG4+1,0)</f>
        <v>1425</v>
      </c>
      <c r="AH59" s="245">
        <f>VLOOKUP($H59,'Cost inputs'!$A$18:$E$39,'Land Price Phase Sc1&amp;2'!AH4+1,0)</f>
        <v>1425</v>
      </c>
      <c r="AI59" s="245">
        <f>VLOOKUP($H59,'Cost inputs'!$A$18:$E$39,'Land Price Phase Sc1&amp;2'!AI4+1,0)</f>
        <v>1425</v>
      </c>
      <c r="AJ59" s="245">
        <f>VLOOKUP($H59,'Cost inputs'!$A$18:$E$39,'Land Price Phase Sc1&amp;2'!AJ4+1,0)</f>
        <v>1425</v>
      </c>
      <c r="AK59" s="245">
        <f>VLOOKUP($H59,'Cost inputs'!$A$18:$E$39,'Land Price Phase Sc1&amp;2'!AK4+1,0)</f>
        <v>1425</v>
      </c>
      <c r="AL59" s="245">
        <f>VLOOKUP($H59,'Cost inputs'!$A$18:$E$39,'Land Price Phase Sc1&amp;2'!AL4+1,0)</f>
        <v>1425</v>
      </c>
      <c r="AM59" s="245">
        <f>VLOOKUP($H59,'Cost inputs'!$A$18:$E$39,'Land Price Phase Sc1&amp;2'!AM4+1,0)</f>
        <v>1425</v>
      </c>
      <c r="AN59" s="245">
        <f>VLOOKUP($H59,'Cost inputs'!$A$18:$E$39,'Land Price Phase Sc1&amp;2'!AN4+1,0)</f>
        <v>1425</v>
      </c>
      <c r="AO59" s="245">
        <f>VLOOKUP($H59,'Cost inputs'!$A$18:$E$39,'Land Price Phase Sc1&amp;2'!AO4+1,0)</f>
        <v>1425</v>
      </c>
      <c r="AP59" s="245">
        <f>VLOOKUP($H59,'Cost inputs'!$A$18:$E$39,'Land Price Phase Sc1&amp;2'!AP4+1,0)</f>
        <v>1425</v>
      </c>
      <c r="AQ59" s="245">
        <f>VLOOKUP($H59,'Cost inputs'!$A$18:$E$39,'Land Price Phase Sc1&amp;2'!AQ4+1,0)</f>
        <v>1425</v>
      </c>
      <c r="AR59" s="245">
        <f>VLOOKUP($H59,'Cost inputs'!$A$18:$E$39,'Land Price Phase Sc1&amp;2'!AR4+1,0)</f>
        <v>1425</v>
      </c>
      <c r="AS59" s="245">
        <f>VLOOKUP($H59,'Cost inputs'!$A$18:$E$39,'Land Price Phase Sc1&amp;2'!AS4+1,0)</f>
        <v>1425</v>
      </c>
      <c r="AT59" s="245">
        <f>VLOOKUP($H59,'Cost inputs'!$A$18:$E$39,'Land Price Phase Sc1&amp;2'!AT4+1,0)</f>
        <v>1425</v>
      </c>
      <c r="AU59" s="245">
        <f>VLOOKUP($H59,'Cost inputs'!$A$18:$E$39,'Land Price Phase Sc1&amp;2'!AU4+1,0)</f>
        <v>1425</v>
      </c>
    </row>
    <row r="60" spans="1:47" x14ac:dyDescent="0.3">
      <c r="A60" s="245" t="str">
        <f t="shared" si="33"/>
        <v>Inner North-West</v>
      </c>
      <c r="B60" s="245" t="str">
        <f t="shared" si="33"/>
        <v>Redhills North/Whenuapai west</v>
      </c>
      <c r="C60" s="245">
        <f t="shared" si="33"/>
        <v>2035</v>
      </c>
      <c r="D60" s="245">
        <f t="shared" si="33"/>
        <v>2031</v>
      </c>
      <c r="E60" s="245">
        <f t="shared" si="33"/>
        <v>2035</v>
      </c>
      <c r="F60" s="245">
        <f t="shared" si="33"/>
        <v>2039</v>
      </c>
      <c r="G60" s="245" t="str">
        <f t="shared" si="34"/>
        <v/>
      </c>
      <c r="H60" s="245" t="str">
        <f t="shared" si="35"/>
        <v>Redhills</v>
      </c>
      <c r="I60" s="245">
        <f>VLOOKUP($H60,'Cost inputs'!$A$18:$E$39,'Land Price Phase Sc1&amp;2'!I5+1,0)</f>
        <v>210</v>
      </c>
      <c r="J60" s="245">
        <f>VLOOKUP($H60,'Cost inputs'!$A$18:$E$39,'Land Price Phase Sc1&amp;2'!J5+1,0)</f>
        <v>210</v>
      </c>
      <c r="K60" s="245">
        <f>VLOOKUP($H60,'Cost inputs'!$A$18:$E$39,'Land Price Phase Sc1&amp;2'!K5+1,0)</f>
        <v>210</v>
      </c>
      <c r="L60" s="245">
        <f>VLOOKUP($H60,'Cost inputs'!$A$18:$E$39,'Land Price Phase Sc1&amp;2'!L5+1,0)</f>
        <v>210</v>
      </c>
      <c r="M60" s="245">
        <f>VLOOKUP($H60,'Cost inputs'!$A$18:$E$39,'Land Price Phase Sc1&amp;2'!M5+1,0)</f>
        <v>210</v>
      </c>
      <c r="N60" s="245">
        <f>VLOOKUP($H60,'Cost inputs'!$A$18:$E$39,'Land Price Phase Sc1&amp;2'!N5+1,0)</f>
        <v>210</v>
      </c>
      <c r="O60" s="245">
        <f>VLOOKUP($H60,'Cost inputs'!$A$18:$E$39,'Land Price Phase Sc1&amp;2'!O5+1,0)</f>
        <v>210</v>
      </c>
      <c r="P60" s="245">
        <f>VLOOKUP($H60,'Cost inputs'!$A$18:$E$39,'Land Price Phase Sc1&amp;2'!P5+1,0)</f>
        <v>260</v>
      </c>
      <c r="Q60" s="245">
        <f>VLOOKUP($H60,'Cost inputs'!$A$18:$E$39,'Land Price Phase Sc1&amp;2'!Q5+1,0)</f>
        <v>260</v>
      </c>
      <c r="R60" s="245">
        <f>VLOOKUP($H60,'Cost inputs'!$A$18:$E$39,'Land Price Phase Sc1&amp;2'!R5+1,0)</f>
        <v>260</v>
      </c>
      <c r="S60" s="245">
        <f>VLOOKUP($H60,'Cost inputs'!$A$18:$E$39,'Land Price Phase Sc1&amp;2'!S5+1,0)</f>
        <v>260</v>
      </c>
      <c r="T60" s="245">
        <f>VLOOKUP($H60,'Cost inputs'!$A$18:$E$39,'Land Price Phase Sc1&amp;2'!T5+1,0)</f>
        <v>500</v>
      </c>
      <c r="U60" s="245">
        <f>VLOOKUP($H60,'Cost inputs'!$A$18:$E$39,'Land Price Phase Sc1&amp;2'!U5+1,0)</f>
        <v>500</v>
      </c>
      <c r="V60" s="245">
        <f>VLOOKUP($H60,'Cost inputs'!$A$18:$E$39,'Land Price Phase Sc1&amp;2'!V5+1,0)</f>
        <v>500</v>
      </c>
      <c r="W60" s="245">
        <f>VLOOKUP($H60,'Cost inputs'!$A$18:$E$39,'Land Price Phase Sc1&amp;2'!W5+1,0)</f>
        <v>500</v>
      </c>
      <c r="X60" s="245">
        <f>VLOOKUP($H60,'Cost inputs'!$A$18:$E$39,'Land Price Phase Sc1&amp;2'!X5+1,0)</f>
        <v>1425</v>
      </c>
      <c r="Y60" s="245">
        <f>VLOOKUP($H60,'Cost inputs'!$A$18:$E$39,'Land Price Phase Sc1&amp;2'!Y5+1,0)</f>
        <v>1425</v>
      </c>
      <c r="Z60" s="245">
        <f>VLOOKUP($H60,'Cost inputs'!$A$18:$E$39,'Land Price Phase Sc1&amp;2'!Z5+1,0)</f>
        <v>1425</v>
      </c>
      <c r="AA60" s="245">
        <f>VLOOKUP($H60,'Cost inputs'!$A$18:$E$39,'Land Price Phase Sc1&amp;2'!AA5+1,0)</f>
        <v>1425</v>
      </c>
      <c r="AB60" s="245">
        <f>VLOOKUP($H60,'Cost inputs'!$A$18:$E$39,'Land Price Phase Sc1&amp;2'!AB5+1,0)</f>
        <v>1425</v>
      </c>
      <c r="AC60" s="245">
        <f>VLOOKUP($H60,'Cost inputs'!$A$18:$E$39,'Land Price Phase Sc1&amp;2'!AC5+1,0)</f>
        <v>1425</v>
      </c>
      <c r="AD60" s="245">
        <f>VLOOKUP($H60,'Cost inputs'!$A$18:$E$39,'Land Price Phase Sc1&amp;2'!AD5+1,0)</f>
        <v>1425</v>
      </c>
      <c r="AE60" s="245">
        <f>VLOOKUP($H60,'Cost inputs'!$A$18:$E$39,'Land Price Phase Sc1&amp;2'!AE5+1,0)</f>
        <v>1425</v>
      </c>
      <c r="AF60" s="245">
        <f>VLOOKUP($H60,'Cost inputs'!$A$18:$E$39,'Land Price Phase Sc1&amp;2'!AF5+1,0)</f>
        <v>1425</v>
      </c>
      <c r="AG60" s="245">
        <f>VLOOKUP($H60,'Cost inputs'!$A$18:$E$39,'Land Price Phase Sc1&amp;2'!AG5+1,0)</f>
        <v>1425</v>
      </c>
      <c r="AH60" s="245">
        <f>VLOOKUP($H60,'Cost inputs'!$A$18:$E$39,'Land Price Phase Sc1&amp;2'!AH5+1,0)</f>
        <v>1425</v>
      </c>
      <c r="AI60" s="245">
        <f>VLOOKUP($H60,'Cost inputs'!$A$18:$E$39,'Land Price Phase Sc1&amp;2'!AI5+1,0)</f>
        <v>1425</v>
      </c>
      <c r="AJ60" s="245">
        <f>VLOOKUP($H60,'Cost inputs'!$A$18:$E$39,'Land Price Phase Sc1&amp;2'!AJ5+1,0)</f>
        <v>1425</v>
      </c>
      <c r="AK60" s="245">
        <f>VLOOKUP($H60,'Cost inputs'!$A$18:$E$39,'Land Price Phase Sc1&amp;2'!AK5+1,0)</f>
        <v>1425</v>
      </c>
      <c r="AL60" s="245">
        <f>VLOOKUP($H60,'Cost inputs'!$A$18:$E$39,'Land Price Phase Sc1&amp;2'!AL5+1,0)</f>
        <v>1425</v>
      </c>
      <c r="AM60" s="245">
        <f>VLOOKUP($H60,'Cost inputs'!$A$18:$E$39,'Land Price Phase Sc1&amp;2'!AM5+1,0)</f>
        <v>1425</v>
      </c>
      <c r="AN60" s="245">
        <f>VLOOKUP($H60,'Cost inputs'!$A$18:$E$39,'Land Price Phase Sc1&amp;2'!AN5+1,0)</f>
        <v>1425</v>
      </c>
      <c r="AO60" s="245">
        <f>VLOOKUP($H60,'Cost inputs'!$A$18:$E$39,'Land Price Phase Sc1&amp;2'!AO5+1,0)</f>
        <v>1425</v>
      </c>
      <c r="AP60" s="245">
        <f>VLOOKUP($H60,'Cost inputs'!$A$18:$E$39,'Land Price Phase Sc1&amp;2'!AP5+1,0)</f>
        <v>1425</v>
      </c>
      <c r="AQ60" s="245">
        <f>VLOOKUP($H60,'Cost inputs'!$A$18:$E$39,'Land Price Phase Sc1&amp;2'!AQ5+1,0)</f>
        <v>1425</v>
      </c>
      <c r="AR60" s="245">
        <f>VLOOKUP($H60,'Cost inputs'!$A$18:$E$39,'Land Price Phase Sc1&amp;2'!AR5+1,0)</f>
        <v>1425</v>
      </c>
      <c r="AS60" s="245">
        <f>VLOOKUP($H60,'Cost inputs'!$A$18:$E$39,'Land Price Phase Sc1&amp;2'!AS5+1,0)</f>
        <v>1425</v>
      </c>
      <c r="AT60" s="245">
        <f>VLOOKUP($H60,'Cost inputs'!$A$18:$E$39,'Land Price Phase Sc1&amp;2'!AT5+1,0)</f>
        <v>1425</v>
      </c>
      <c r="AU60" s="245">
        <f>VLOOKUP($H60,'Cost inputs'!$A$18:$E$39,'Land Price Phase Sc1&amp;2'!AU5+1,0)</f>
        <v>1425</v>
      </c>
    </row>
    <row r="61" spans="1:47" x14ac:dyDescent="0.3">
      <c r="A61" s="245" t="str">
        <f t="shared" si="33"/>
        <v>Inner North-West</v>
      </c>
      <c r="B61" s="245" t="str">
        <f t="shared" si="33"/>
        <v>Whenuapai North (Stage 1a)</v>
      </c>
      <c r="C61" s="245">
        <f t="shared" si="33"/>
        <v>2035</v>
      </c>
      <c r="D61" s="245">
        <f t="shared" si="33"/>
        <v>2031</v>
      </c>
      <c r="E61" s="245">
        <f t="shared" si="33"/>
        <v>2035</v>
      </c>
      <c r="F61" s="245">
        <f t="shared" si="33"/>
        <v>2039</v>
      </c>
      <c r="G61" s="245" t="str">
        <f t="shared" si="34"/>
        <v/>
      </c>
      <c r="H61" s="245" t="str">
        <f t="shared" si="35"/>
        <v>Whenuapai</v>
      </c>
      <c r="I61" s="245">
        <f>VLOOKUP($H61,'Cost inputs'!$A$18:$E$39,'Land Price Phase Sc1&amp;2'!I6+1,0)</f>
        <v>250</v>
      </c>
      <c r="J61" s="245">
        <f>VLOOKUP($H61,'Cost inputs'!$A$18:$E$39,'Land Price Phase Sc1&amp;2'!J6+1,0)</f>
        <v>250</v>
      </c>
      <c r="K61" s="245">
        <f>VLOOKUP($H61,'Cost inputs'!$A$18:$E$39,'Land Price Phase Sc1&amp;2'!K6+1,0)</f>
        <v>250</v>
      </c>
      <c r="L61" s="245">
        <f>VLOOKUP($H61,'Cost inputs'!$A$18:$E$39,'Land Price Phase Sc1&amp;2'!L6+1,0)</f>
        <v>250</v>
      </c>
      <c r="M61" s="245">
        <f>VLOOKUP($H61,'Cost inputs'!$A$18:$E$39,'Land Price Phase Sc1&amp;2'!M6+1,0)</f>
        <v>250</v>
      </c>
      <c r="N61" s="245">
        <f>VLOOKUP($H61,'Cost inputs'!$A$18:$E$39,'Land Price Phase Sc1&amp;2'!N6+1,0)</f>
        <v>250</v>
      </c>
      <c r="O61" s="245">
        <f>VLOOKUP($H61,'Cost inputs'!$A$18:$E$39,'Land Price Phase Sc1&amp;2'!O6+1,0)</f>
        <v>250</v>
      </c>
      <c r="P61" s="245">
        <f>VLOOKUP($H61,'Cost inputs'!$A$18:$E$39,'Land Price Phase Sc1&amp;2'!P6+1,0)</f>
        <v>375</v>
      </c>
      <c r="Q61" s="245">
        <f>VLOOKUP($H61,'Cost inputs'!$A$18:$E$39,'Land Price Phase Sc1&amp;2'!Q6+1,0)</f>
        <v>375</v>
      </c>
      <c r="R61" s="245">
        <f>VLOOKUP($H61,'Cost inputs'!$A$18:$E$39,'Land Price Phase Sc1&amp;2'!R6+1,0)</f>
        <v>375</v>
      </c>
      <c r="S61" s="245">
        <f>VLOOKUP($H61,'Cost inputs'!$A$18:$E$39,'Land Price Phase Sc1&amp;2'!S6+1,0)</f>
        <v>375</v>
      </c>
      <c r="T61" s="245">
        <f>VLOOKUP($H61,'Cost inputs'!$A$18:$E$39,'Land Price Phase Sc1&amp;2'!T6+1,0)</f>
        <v>590</v>
      </c>
      <c r="U61" s="245">
        <f>VLOOKUP($H61,'Cost inputs'!$A$18:$E$39,'Land Price Phase Sc1&amp;2'!U6+1,0)</f>
        <v>590</v>
      </c>
      <c r="V61" s="245">
        <f>VLOOKUP($H61,'Cost inputs'!$A$18:$E$39,'Land Price Phase Sc1&amp;2'!V6+1,0)</f>
        <v>590</v>
      </c>
      <c r="W61" s="245">
        <f>VLOOKUP($H61,'Cost inputs'!$A$18:$E$39,'Land Price Phase Sc1&amp;2'!W6+1,0)</f>
        <v>590</v>
      </c>
      <c r="X61" s="245">
        <f>VLOOKUP($H61,'Cost inputs'!$A$18:$E$39,'Land Price Phase Sc1&amp;2'!X6+1,0)</f>
        <v>1550</v>
      </c>
      <c r="Y61" s="245">
        <f>VLOOKUP($H61,'Cost inputs'!$A$18:$E$39,'Land Price Phase Sc1&amp;2'!Y6+1,0)</f>
        <v>1550</v>
      </c>
      <c r="Z61" s="245">
        <f>VLOOKUP($H61,'Cost inputs'!$A$18:$E$39,'Land Price Phase Sc1&amp;2'!Z6+1,0)</f>
        <v>1550</v>
      </c>
      <c r="AA61" s="245">
        <f>VLOOKUP($H61,'Cost inputs'!$A$18:$E$39,'Land Price Phase Sc1&amp;2'!AA6+1,0)</f>
        <v>1550</v>
      </c>
      <c r="AB61" s="245">
        <f>VLOOKUP($H61,'Cost inputs'!$A$18:$E$39,'Land Price Phase Sc1&amp;2'!AB6+1,0)</f>
        <v>1550</v>
      </c>
      <c r="AC61" s="245">
        <f>VLOOKUP($H61,'Cost inputs'!$A$18:$E$39,'Land Price Phase Sc1&amp;2'!AC6+1,0)</f>
        <v>1550</v>
      </c>
      <c r="AD61" s="245">
        <f>VLOOKUP($H61,'Cost inputs'!$A$18:$E$39,'Land Price Phase Sc1&amp;2'!AD6+1,0)</f>
        <v>1550</v>
      </c>
      <c r="AE61" s="245">
        <f>VLOOKUP($H61,'Cost inputs'!$A$18:$E$39,'Land Price Phase Sc1&amp;2'!AE6+1,0)</f>
        <v>1550</v>
      </c>
      <c r="AF61" s="245">
        <f>VLOOKUP($H61,'Cost inputs'!$A$18:$E$39,'Land Price Phase Sc1&amp;2'!AF6+1,0)</f>
        <v>1550</v>
      </c>
      <c r="AG61" s="245">
        <f>VLOOKUP($H61,'Cost inputs'!$A$18:$E$39,'Land Price Phase Sc1&amp;2'!AG6+1,0)</f>
        <v>1550</v>
      </c>
      <c r="AH61" s="245">
        <f>VLOOKUP($H61,'Cost inputs'!$A$18:$E$39,'Land Price Phase Sc1&amp;2'!AH6+1,0)</f>
        <v>1550</v>
      </c>
      <c r="AI61" s="245">
        <f>VLOOKUP($H61,'Cost inputs'!$A$18:$E$39,'Land Price Phase Sc1&amp;2'!AI6+1,0)</f>
        <v>1550</v>
      </c>
      <c r="AJ61" s="245">
        <f>VLOOKUP($H61,'Cost inputs'!$A$18:$E$39,'Land Price Phase Sc1&amp;2'!AJ6+1,0)</f>
        <v>1550</v>
      </c>
      <c r="AK61" s="245">
        <f>VLOOKUP($H61,'Cost inputs'!$A$18:$E$39,'Land Price Phase Sc1&amp;2'!AK6+1,0)</f>
        <v>1550</v>
      </c>
      <c r="AL61" s="245">
        <f>VLOOKUP($H61,'Cost inputs'!$A$18:$E$39,'Land Price Phase Sc1&amp;2'!AL6+1,0)</f>
        <v>1550</v>
      </c>
      <c r="AM61" s="245">
        <f>VLOOKUP($H61,'Cost inputs'!$A$18:$E$39,'Land Price Phase Sc1&amp;2'!AM6+1,0)</f>
        <v>1550</v>
      </c>
      <c r="AN61" s="245">
        <f>VLOOKUP($H61,'Cost inputs'!$A$18:$E$39,'Land Price Phase Sc1&amp;2'!AN6+1,0)</f>
        <v>1550</v>
      </c>
      <c r="AO61" s="245">
        <f>VLOOKUP($H61,'Cost inputs'!$A$18:$E$39,'Land Price Phase Sc1&amp;2'!AO6+1,0)</f>
        <v>1550</v>
      </c>
      <c r="AP61" s="245">
        <f>VLOOKUP($H61,'Cost inputs'!$A$18:$E$39,'Land Price Phase Sc1&amp;2'!AP6+1,0)</f>
        <v>1550</v>
      </c>
      <c r="AQ61" s="245">
        <f>VLOOKUP($H61,'Cost inputs'!$A$18:$E$39,'Land Price Phase Sc1&amp;2'!AQ6+1,0)</f>
        <v>1550</v>
      </c>
      <c r="AR61" s="245">
        <f>VLOOKUP($H61,'Cost inputs'!$A$18:$E$39,'Land Price Phase Sc1&amp;2'!AR6+1,0)</f>
        <v>1550</v>
      </c>
      <c r="AS61" s="245">
        <f>VLOOKUP($H61,'Cost inputs'!$A$18:$E$39,'Land Price Phase Sc1&amp;2'!AS6+1,0)</f>
        <v>1550</v>
      </c>
      <c r="AT61" s="245">
        <f>VLOOKUP($H61,'Cost inputs'!$A$18:$E$39,'Land Price Phase Sc1&amp;2'!AT6+1,0)</f>
        <v>1550</v>
      </c>
      <c r="AU61" s="245">
        <f>VLOOKUP($H61,'Cost inputs'!$A$18:$E$39,'Land Price Phase Sc1&amp;2'!AU6+1,0)</f>
        <v>1550</v>
      </c>
    </row>
    <row r="62" spans="1:47" x14ac:dyDescent="0.3">
      <c r="A62" s="245" t="str">
        <f t="shared" si="33"/>
        <v>Inner North-West</v>
      </c>
      <c r="B62" s="245" t="str">
        <f t="shared" si="33"/>
        <v>Whenuapai north (Stage 1b)</v>
      </c>
      <c r="C62" s="245">
        <f t="shared" si="33"/>
        <v>2035</v>
      </c>
      <c r="D62" s="245">
        <f t="shared" si="33"/>
        <v>2031</v>
      </c>
      <c r="E62" s="245">
        <f t="shared" si="33"/>
        <v>2035</v>
      </c>
      <c r="F62" s="245">
        <f t="shared" si="33"/>
        <v>2039</v>
      </c>
      <c r="G62" s="245" t="str">
        <f t="shared" si="34"/>
        <v>1a and 1b are the same in this scenario, but 1b diff in Sc2</v>
      </c>
      <c r="H62" s="245" t="str">
        <f t="shared" si="35"/>
        <v>Whenuapai</v>
      </c>
      <c r="I62" s="245">
        <f>VLOOKUP($H62,'Cost inputs'!$A$18:$E$39,'Land Price Phase Sc1&amp;2'!I7+1,0)</f>
        <v>250</v>
      </c>
      <c r="J62" s="245">
        <f>VLOOKUP($H62,'Cost inputs'!$A$18:$E$39,'Land Price Phase Sc1&amp;2'!J7+1,0)</f>
        <v>250</v>
      </c>
      <c r="K62" s="245">
        <f>VLOOKUP($H62,'Cost inputs'!$A$18:$E$39,'Land Price Phase Sc1&amp;2'!K7+1,0)</f>
        <v>250</v>
      </c>
      <c r="L62" s="245">
        <f>VLOOKUP($H62,'Cost inputs'!$A$18:$E$39,'Land Price Phase Sc1&amp;2'!L7+1,0)</f>
        <v>250</v>
      </c>
      <c r="M62" s="245">
        <f>VLOOKUP($H62,'Cost inputs'!$A$18:$E$39,'Land Price Phase Sc1&amp;2'!M7+1,0)</f>
        <v>250</v>
      </c>
      <c r="N62" s="245">
        <f>VLOOKUP($H62,'Cost inputs'!$A$18:$E$39,'Land Price Phase Sc1&amp;2'!N7+1,0)</f>
        <v>250</v>
      </c>
      <c r="O62" s="245">
        <f>VLOOKUP($H62,'Cost inputs'!$A$18:$E$39,'Land Price Phase Sc1&amp;2'!O7+1,0)</f>
        <v>250</v>
      </c>
      <c r="P62" s="245">
        <f>VLOOKUP($H62,'Cost inputs'!$A$18:$E$39,'Land Price Phase Sc1&amp;2'!P7+1,0)</f>
        <v>375</v>
      </c>
      <c r="Q62" s="245">
        <f>VLOOKUP($H62,'Cost inputs'!$A$18:$E$39,'Land Price Phase Sc1&amp;2'!Q7+1,0)</f>
        <v>375</v>
      </c>
      <c r="R62" s="245">
        <f>VLOOKUP($H62,'Cost inputs'!$A$18:$E$39,'Land Price Phase Sc1&amp;2'!R7+1,0)</f>
        <v>375</v>
      </c>
      <c r="S62" s="245">
        <f>VLOOKUP($H62,'Cost inputs'!$A$18:$E$39,'Land Price Phase Sc1&amp;2'!S7+1,0)</f>
        <v>375</v>
      </c>
      <c r="T62" s="245">
        <f>VLOOKUP($H62,'Cost inputs'!$A$18:$E$39,'Land Price Phase Sc1&amp;2'!T7+1,0)</f>
        <v>590</v>
      </c>
      <c r="U62" s="245">
        <f>VLOOKUP($H62,'Cost inputs'!$A$18:$E$39,'Land Price Phase Sc1&amp;2'!U7+1,0)</f>
        <v>590</v>
      </c>
      <c r="V62" s="245">
        <f>VLOOKUP($H62,'Cost inputs'!$A$18:$E$39,'Land Price Phase Sc1&amp;2'!V7+1,0)</f>
        <v>590</v>
      </c>
      <c r="W62" s="245">
        <f>VLOOKUP($H62,'Cost inputs'!$A$18:$E$39,'Land Price Phase Sc1&amp;2'!W7+1,0)</f>
        <v>590</v>
      </c>
      <c r="X62" s="245">
        <f>VLOOKUP($H62,'Cost inputs'!$A$18:$E$39,'Land Price Phase Sc1&amp;2'!X7+1,0)</f>
        <v>1550</v>
      </c>
      <c r="Y62" s="245">
        <f>VLOOKUP($H62,'Cost inputs'!$A$18:$E$39,'Land Price Phase Sc1&amp;2'!Y7+1,0)</f>
        <v>1550</v>
      </c>
      <c r="Z62" s="245">
        <f>VLOOKUP($H62,'Cost inputs'!$A$18:$E$39,'Land Price Phase Sc1&amp;2'!Z7+1,0)</f>
        <v>1550</v>
      </c>
      <c r="AA62" s="245">
        <f>VLOOKUP($H62,'Cost inputs'!$A$18:$E$39,'Land Price Phase Sc1&amp;2'!AA7+1,0)</f>
        <v>1550</v>
      </c>
      <c r="AB62" s="245">
        <f>VLOOKUP($H62,'Cost inputs'!$A$18:$E$39,'Land Price Phase Sc1&amp;2'!AB7+1,0)</f>
        <v>1550</v>
      </c>
      <c r="AC62" s="245">
        <f>VLOOKUP($H62,'Cost inputs'!$A$18:$E$39,'Land Price Phase Sc1&amp;2'!AC7+1,0)</f>
        <v>1550</v>
      </c>
      <c r="AD62" s="245">
        <f>VLOOKUP($H62,'Cost inputs'!$A$18:$E$39,'Land Price Phase Sc1&amp;2'!AD7+1,0)</f>
        <v>1550</v>
      </c>
      <c r="AE62" s="245">
        <f>VLOOKUP($H62,'Cost inputs'!$A$18:$E$39,'Land Price Phase Sc1&amp;2'!AE7+1,0)</f>
        <v>1550</v>
      </c>
      <c r="AF62" s="245">
        <f>VLOOKUP($H62,'Cost inputs'!$A$18:$E$39,'Land Price Phase Sc1&amp;2'!AF7+1,0)</f>
        <v>1550</v>
      </c>
      <c r="AG62" s="245">
        <f>VLOOKUP($H62,'Cost inputs'!$A$18:$E$39,'Land Price Phase Sc1&amp;2'!AG7+1,0)</f>
        <v>1550</v>
      </c>
      <c r="AH62" s="245">
        <f>VLOOKUP($H62,'Cost inputs'!$A$18:$E$39,'Land Price Phase Sc1&amp;2'!AH7+1,0)</f>
        <v>1550</v>
      </c>
      <c r="AI62" s="245">
        <f>VLOOKUP($H62,'Cost inputs'!$A$18:$E$39,'Land Price Phase Sc1&amp;2'!AI7+1,0)</f>
        <v>1550</v>
      </c>
      <c r="AJ62" s="245">
        <f>VLOOKUP($H62,'Cost inputs'!$A$18:$E$39,'Land Price Phase Sc1&amp;2'!AJ7+1,0)</f>
        <v>1550</v>
      </c>
      <c r="AK62" s="245">
        <f>VLOOKUP($H62,'Cost inputs'!$A$18:$E$39,'Land Price Phase Sc1&amp;2'!AK7+1,0)</f>
        <v>1550</v>
      </c>
      <c r="AL62" s="245">
        <f>VLOOKUP($H62,'Cost inputs'!$A$18:$E$39,'Land Price Phase Sc1&amp;2'!AL7+1,0)</f>
        <v>1550</v>
      </c>
      <c r="AM62" s="245">
        <f>VLOOKUP($H62,'Cost inputs'!$A$18:$E$39,'Land Price Phase Sc1&amp;2'!AM7+1,0)</f>
        <v>1550</v>
      </c>
      <c r="AN62" s="245">
        <f>VLOOKUP($H62,'Cost inputs'!$A$18:$E$39,'Land Price Phase Sc1&amp;2'!AN7+1,0)</f>
        <v>1550</v>
      </c>
      <c r="AO62" s="245">
        <f>VLOOKUP($H62,'Cost inputs'!$A$18:$E$39,'Land Price Phase Sc1&amp;2'!AO7+1,0)</f>
        <v>1550</v>
      </c>
      <c r="AP62" s="245">
        <f>VLOOKUP($H62,'Cost inputs'!$A$18:$E$39,'Land Price Phase Sc1&amp;2'!AP7+1,0)</f>
        <v>1550</v>
      </c>
      <c r="AQ62" s="245">
        <f>VLOOKUP($H62,'Cost inputs'!$A$18:$E$39,'Land Price Phase Sc1&amp;2'!AQ7+1,0)</f>
        <v>1550</v>
      </c>
      <c r="AR62" s="245">
        <f>VLOOKUP($H62,'Cost inputs'!$A$18:$E$39,'Land Price Phase Sc1&amp;2'!AR7+1,0)</f>
        <v>1550</v>
      </c>
      <c r="AS62" s="245">
        <f>VLOOKUP($H62,'Cost inputs'!$A$18:$E$39,'Land Price Phase Sc1&amp;2'!AS7+1,0)</f>
        <v>1550</v>
      </c>
      <c r="AT62" s="245">
        <f>VLOOKUP($H62,'Cost inputs'!$A$18:$E$39,'Land Price Phase Sc1&amp;2'!AT7+1,0)</f>
        <v>1550</v>
      </c>
      <c r="AU62" s="245">
        <f>VLOOKUP($H62,'Cost inputs'!$A$18:$E$39,'Land Price Phase Sc1&amp;2'!AU7+1,0)</f>
        <v>1550</v>
      </c>
    </row>
    <row r="63" spans="1:47" x14ac:dyDescent="0.3">
      <c r="A63" s="245" t="str">
        <f t="shared" si="33"/>
        <v>Inner North-West</v>
      </c>
      <c r="B63" s="245" t="str">
        <f t="shared" si="33"/>
        <v>Whenuapai North (Stage 2)</v>
      </c>
      <c r="C63" s="245">
        <f t="shared" si="33"/>
        <v>2050</v>
      </c>
      <c r="D63" s="245">
        <f t="shared" si="33"/>
        <v>2046</v>
      </c>
      <c r="E63" s="245">
        <f t="shared" si="33"/>
        <v>2050</v>
      </c>
      <c r="F63" s="245">
        <f t="shared" si="33"/>
        <v>2054</v>
      </c>
      <c r="G63" s="245" t="str">
        <f t="shared" si="34"/>
        <v>earlier in sc2</v>
      </c>
      <c r="H63" s="245" t="str">
        <f t="shared" si="35"/>
        <v>Whenuapai</v>
      </c>
      <c r="I63" s="245">
        <f>VLOOKUP($H63,'Cost inputs'!$A$18:$E$39,'Land Price Phase Sc1&amp;2'!I8+1,0)</f>
        <v>250</v>
      </c>
      <c r="J63" s="245">
        <f>VLOOKUP($H63,'Cost inputs'!$A$18:$E$39,'Land Price Phase Sc1&amp;2'!J8+1,0)</f>
        <v>250</v>
      </c>
      <c r="K63" s="245">
        <f>VLOOKUP($H63,'Cost inputs'!$A$18:$E$39,'Land Price Phase Sc1&amp;2'!K8+1,0)</f>
        <v>250</v>
      </c>
      <c r="L63" s="245">
        <f>VLOOKUP($H63,'Cost inputs'!$A$18:$E$39,'Land Price Phase Sc1&amp;2'!L8+1,0)</f>
        <v>250</v>
      </c>
      <c r="M63" s="245">
        <f>VLOOKUP($H63,'Cost inputs'!$A$18:$E$39,'Land Price Phase Sc1&amp;2'!M8+1,0)</f>
        <v>250</v>
      </c>
      <c r="N63" s="245">
        <f>VLOOKUP($H63,'Cost inputs'!$A$18:$E$39,'Land Price Phase Sc1&amp;2'!N8+1,0)</f>
        <v>250</v>
      </c>
      <c r="O63" s="245">
        <f>VLOOKUP($H63,'Cost inputs'!$A$18:$E$39,'Land Price Phase Sc1&amp;2'!O8+1,0)</f>
        <v>250</v>
      </c>
      <c r="P63" s="245">
        <f>VLOOKUP($H63,'Cost inputs'!$A$18:$E$39,'Land Price Phase Sc1&amp;2'!P8+1,0)</f>
        <v>250</v>
      </c>
      <c r="Q63" s="245">
        <f>VLOOKUP($H63,'Cost inputs'!$A$18:$E$39,'Land Price Phase Sc1&amp;2'!Q8+1,0)</f>
        <v>250</v>
      </c>
      <c r="R63" s="245">
        <f>VLOOKUP($H63,'Cost inputs'!$A$18:$E$39,'Land Price Phase Sc1&amp;2'!R8+1,0)</f>
        <v>250</v>
      </c>
      <c r="S63" s="245">
        <f>VLOOKUP($H63,'Cost inputs'!$A$18:$E$39,'Land Price Phase Sc1&amp;2'!S8+1,0)</f>
        <v>250</v>
      </c>
      <c r="T63" s="245">
        <f>VLOOKUP($H63,'Cost inputs'!$A$18:$E$39,'Land Price Phase Sc1&amp;2'!T8+1,0)</f>
        <v>250</v>
      </c>
      <c r="U63" s="245">
        <f>VLOOKUP($H63,'Cost inputs'!$A$18:$E$39,'Land Price Phase Sc1&amp;2'!U8+1,0)</f>
        <v>250</v>
      </c>
      <c r="V63" s="245">
        <f>VLOOKUP($H63,'Cost inputs'!$A$18:$E$39,'Land Price Phase Sc1&amp;2'!V8+1,0)</f>
        <v>250</v>
      </c>
      <c r="W63" s="245">
        <f>VLOOKUP($H63,'Cost inputs'!$A$18:$E$39,'Land Price Phase Sc1&amp;2'!W8+1,0)</f>
        <v>250</v>
      </c>
      <c r="X63" s="245">
        <f>VLOOKUP($H63,'Cost inputs'!$A$18:$E$39,'Land Price Phase Sc1&amp;2'!X8+1,0)</f>
        <v>250</v>
      </c>
      <c r="Y63" s="245">
        <f>VLOOKUP($H63,'Cost inputs'!$A$18:$E$39,'Land Price Phase Sc1&amp;2'!Y8+1,0)</f>
        <v>250</v>
      </c>
      <c r="Z63" s="245">
        <f>VLOOKUP($H63,'Cost inputs'!$A$18:$E$39,'Land Price Phase Sc1&amp;2'!Z8+1,0)</f>
        <v>250</v>
      </c>
      <c r="AA63" s="245">
        <f>VLOOKUP($H63,'Cost inputs'!$A$18:$E$39,'Land Price Phase Sc1&amp;2'!AA8+1,0)</f>
        <v>250</v>
      </c>
      <c r="AB63" s="245">
        <f>VLOOKUP($H63,'Cost inputs'!$A$18:$E$39,'Land Price Phase Sc1&amp;2'!AB8+1,0)</f>
        <v>250</v>
      </c>
      <c r="AC63" s="245">
        <f>VLOOKUP($H63,'Cost inputs'!$A$18:$E$39,'Land Price Phase Sc1&amp;2'!AC8+1,0)</f>
        <v>250</v>
      </c>
      <c r="AD63" s="245">
        <f>VLOOKUP($H63,'Cost inputs'!$A$18:$E$39,'Land Price Phase Sc1&amp;2'!AD8+1,0)</f>
        <v>250</v>
      </c>
      <c r="AE63" s="245">
        <f>VLOOKUP($H63,'Cost inputs'!$A$18:$E$39,'Land Price Phase Sc1&amp;2'!AE8+1,0)</f>
        <v>375</v>
      </c>
      <c r="AF63" s="245">
        <f>VLOOKUP($H63,'Cost inputs'!$A$18:$E$39,'Land Price Phase Sc1&amp;2'!AF8+1,0)</f>
        <v>375</v>
      </c>
      <c r="AG63" s="245">
        <f>VLOOKUP($H63,'Cost inputs'!$A$18:$E$39,'Land Price Phase Sc1&amp;2'!AG8+1,0)</f>
        <v>375</v>
      </c>
      <c r="AH63" s="245">
        <f>VLOOKUP($H63,'Cost inputs'!$A$18:$E$39,'Land Price Phase Sc1&amp;2'!AH8+1,0)</f>
        <v>375</v>
      </c>
      <c r="AI63" s="245">
        <f>VLOOKUP($H63,'Cost inputs'!$A$18:$E$39,'Land Price Phase Sc1&amp;2'!AI8+1,0)</f>
        <v>590</v>
      </c>
      <c r="AJ63" s="245">
        <f>VLOOKUP($H63,'Cost inputs'!$A$18:$E$39,'Land Price Phase Sc1&amp;2'!AJ8+1,0)</f>
        <v>590</v>
      </c>
      <c r="AK63" s="245">
        <f>VLOOKUP($H63,'Cost inputs'!$A$18:$E$39,'Land Price Phase Sc1&amp;2'!AK8+1,0)</f>
        <v>590</v>
      </c>
      <c r="AL63" s="245">
        <f>VLOOKUP($H63,'Cost inputs'!$A$18:$E$39,'Land Price Phase Sc1&amp;2'!AL8+1,0)</f>
        <v>590</v>
      </c>
      <c r="AM63" s="245">
        <f>VLOOKUP($H63,'Cost inputs'!$A$18:$E$39,'Land Price Phase Sc1&amp;2'!AM8+1,0)</f>
        <v>1550</v>
      </c>
      <c r="AN63" s="245">
        <f>VLOOKUP($H63,'Cost inputs'!$A$18:$E$39,'Land Price Phase Sc1&amp;2'!AN8+1,0)</f>
        <v>1550</v>
      </c>
      <c r="AO63" s="245">
        <f>VLOOKUP($H63,'Cost inputs'!$A$18:$E$39,'Land Price Phase Sc1&amp;2'!AO8+1,0)</f>
        <v>1550</v>
      </c>
      <c r="AP63" s="245">
        <f>VLOOKUP($H63,'Cost inputs'!$A$18:$E$39,'Land Price Phase Sc1&amp;2'!AP8+1,0)</f>
        <v>1550</v>
      </c>
      <c r="AQ63" s="245">
        <f>VLOOKUP($H63,'Cost inputs'!$A$18:$E$39,'Land Price Phase Sc1&amp;2'!AQ8+1,0)</f>
        <v>1550</v>
      </c>
      <c r="AR63" s="245">
        <f>VLOOKUP($H63,'Cost inputs'!$A$18:$E$39,'Land Price Phase Sc1&amp;2'!AR8+1,0)</f>
        <v>1550</v>
      </c>
      <c r="AS63" s="245">
        <f>VLOOKUP($H63,'Cost inputs'!$A$18:$E$39,'Land Price Phase Sc1&amp;2'!AS8+1,0)</f>
        <v>1550</v>
      </c>
      <c r="AT63" s="245">
        <f>VLOOKUP($H63,'Cost inputs'!$A$18:$E$39,'Land Price Phase Sc1&amp;2'!AT8+1,0)</f>
        <v>1550</v>
      </c>
      <c r="AU63" s="245">
        <f>VLOOKUP($H63,'Cost inputs'!$A$18:$E$39,'Land Price Phase Sc1&amp;2'!AU8+1,0)</f>
        <v>1550</v>
      </c>
    </row>
    <row r="64" spans="1:47" x14ac:dyDescent="0.3">
      <c r="A64" s="245" t="str">
        <f t="shared" si="33"/>
        <v>Inner North-West</v>
      </c>
      <c r="B64" s="245" t="str">
        <f t="shared" si="33"/>
        <v>Whenuapai Business</v>
      </c>
      <c r="C64" s="245">
        <f t="shared" si="33"/>
        <v>2025</v>
      </c>
      <c r="D64" s="245">
        <f t="shared" si="33"/>
        <v>2021</v>
      </c>
      <c r="E64" s="245">
        <f t="shared" si="33"/>
        <v>2025</v>
      </c>
      <c r="F64" s="245">
        <f t="shared" si="33"/>
        <v>2029</v>
      </c>
      <c r="G64" s="245" t="str">
        <f t="shared" si="34"/>
        <v/>
      </c>
      <c r="H64" s="245" t="str">
        <f t="shared" si="35"/>
        <v>Whenuapai</v>
      </c>
      <c r="I64" s="245">
        <f>VLOOKUP($H64,'Cost inputs'!$A$18:$E$39,'Land Price Phase Sc1&amp;2'!I9+1,0)</f>
        <v>375</v>
      </c>
      <c r="J64" s="245">
        <f>VLOOKUP($H64,'Cost inputs'!$A$18:$E$39,'Land Price Phase Sc1&amp;2'!J9+1,0)</f>
        <v>590</v>
      </c>
      <c r="K64" s="245">
        <f>VLOOKUP($H64,'Cost inputs'!$A$18:$E$39,'Land Price Phase Sc1&amp;2'!K9+1,0)</f>
        <v>590</v>
      </c>
      <c r="L64" s="245">
        <f>VLOOKUP($H64,'Cost inputs'!$A$18:$E$39,'Land Price Phase Sc1&amp;2'!L9+1,0)</f>
        <v>590</v>
      </c>
      <c r="M64" s="245">
        <f>VLOOKUP($H64,'Cost inputs'!$A$18:$E$39,'Land Price Phase Sc1&amp;2'!M9+1,0)</f>
        <v>590</v>
      </c>
      <c r="N64" s="245">
        <f>VLOOKUP($H64,'Cost inputs'!$A$18:$E$39,'Land Price Phase Sc1&amp;2'!N9+1,0)</f>
        <v>1550</v>
      </c>
      <c r="O64" s="245">
        <f>VLOOKUP($H64,'Cost inputs'!$A$18:$E$39,'Land Price Phase Sc1&amp;2'!O9+1,0)</f>
        <v>1550</v>
      </c>
      <c r="P64" s="245">
        <f>VLOOKUP($H64,'Cost inputs'!$A$18:$E$39,'Land Price Phase Sc1&amp;2'!P9+1,0)</f>
        <v>1550</v>
      </c>
      <c r="Q64" s="245">
        <f>VLOOKUP($H64,'Cost inputs'!$A$18:$E$39,'Land Price Phase Sc1&amp;2'!Q9+1,0)</f>
        <v>1550</v>
      </c>
      <c r="R64" s="245">
        <f>VLOOKUP($H64,'Cost inputs'!$A$18:$E$39,'Land Price Phase Sc1&amp;2'!R9+1,0)</f>
        <v>1550</v>
      </c>
      <c r="S64" s="245">
        <f>VLOOKUP($H64,'Cost inputs'!$A$18:$E$39,'Land Price Phase Sc1&amp;2'!S9+1,0)</f>
        <v>1550</v>
      </c>
      <c r="T64" s="245">
        <f>VLOOKUP($H64,'Cost inputs'!$A$18:$E$39,'Land Price Phase Sc1&amp;2'!T9+1,0)</f>
        <v>1550</v>
      </c>
      <c r="U64" s="245">
        <f>VLOOKUP($H64,'Cost inputs'!$A$18:$E$39,'Land Price Phase Sc1&amp;2'!U9+1,0)</f>
        <v>1550</v>
      </c>
      <c r="V64" s="245">
        <f>VLOOKUP($H64,'Cost inputs'!$A$18:$E$39,'Land Price Phase Sc1&amp;2'!V9+1,0)</f>
        <v>1550</v>
      </c>
      <c r="W64" s="245">
        <f>VLOOKUP($H64,'Cost inputs'!$A$18:$E$39,'Land Price Phase Sc1&amp;2'!W9+1,0)</f>
        <v>1550</v>
      </c>
      <c r="X64" s="245">
        <f>VLOOKUP($H64,'Cost inputs'!$A$18:$E$39,'Land Price Phase Sc1&amp;2'!X9+1,0)</f>
        <v>1550</v>
      </c>
      <c r="Y64" s="245">
        <f>VLOOKUP($H64,'Cost inputs'!$A$18:$E$39,'Land Price Phase Sc1&amp;2'!Y9+1,0)</f>
        <v>1550</v>
      </c>
      <c r="Z64" s="245">
        <f>VLOOKUP($H64,'Cost inputs'!$A$18:$E$39,'Land Price Phase Sc1&amp;2'!Z9+1,0)</f>
        <v>1550</v>
      </c>
      <c r="AA64" s="245">
        <f>VLOOKUP($H64,'Cost inputs'!$A$18:$E$39,'Land Price Phase Sc1&amp;2'!AA9+1,0)</f>
        <v>1550</v>
      </c>
      <c r="AB64" s="245">
        <f>VLOOKUP($H64,'Cost inputs'!$A$18:$E$39,'Land Price Phase Sc1&amp;2'!AB9+1,0)</f>
        <v>1550</v>
      </c>
      <c r="AC64" s="245">
        <f>VLOOKUP($H64,'Cost inputs'!$A$18:$E$39,'Land Price Phase Sc1&amp;2'!AC9+1,0)</f>
        <v>1550</v>
      </c>
      <c r="AD64" s="245">
        <f>VLOOKUP($H64,'Cost inputs'!$A$18:$E$39,'Land Price Phase Sc1&amp;2'!AD9+1,0)</f>
        <v>1550</v>
      </c>
      <c r="AE64" s="245">
        <f>VLOOKUP($H64,'Cost inputs'!$A$18:$E$39,'Land Price Phase Sc1&amp;2'!AE9+1,0)</f>
        <v>1550</v>
      </c>
      <c r="AF64" s="245">
        <f>VLOOKUP($H64,'Cost inputs'!$A$18:$E$39,'Land Price Phase Sc1&amp;2'!AF9+1,0)</f>
        <v>1550</v>
      </c>
      <c r="AG64" s="245">
        <f>VLOOKUP($H64,'Cost inputs'!$A$18:$E$39,'Land Price Phase Sc1&amp;2'!AG9+1,0)</f>
        <v>1550</v>
      </c>
      <c r="AH64" s="245">
        <f>VLOOKUP($H64,'Cost inputs'!$A$18:$E$39,'Land Price Phase Sc1&amp;2'!AH9+1,0)</f>
        <v>1550</v>
      </c>
      <c r="AI64" s="245">
        <f>VLOOKUP($H64,'Cost inputs'!$A$18:$E$39,'Land Price Phase Sc1&amp;2'!AI9+1,0)</f>
        <v>1550</v>
      </c>
      <c r="AJ64" s="245">
        <f>VLOOKUP($H64,'Cost inputs'!$A$18:$E$39,'Land Price Phase Sc1&amp;2'!AJ9+1,0)</f>
        <v>1550</v>
      </c>
      <c r="AK64" s="245">
        <f>VLOOKUP($H64,'Cost inputs'!$A$18:$E$39,'Land Price Phase Sc1&amp;2'!AK9+1,0)</f>
        <v>1550</v>
      </c>
      <c r="AL64" s="245">
        <f>VLOOKUP($H64,'Cost inputs'!$A$18:$E$39,'Land Price Phase Sc1&amp;2'!AL9+1,0)</f>
        <v>1550</v>
      </c>
      <c r="AM64" s="245">
        <f>VLOOKUP($H64,'Cost inputs'!$A$18:$E$39,'Land Price Phase Sc1&amp;2'!AM9+1,0)</f>
        <v>1550</v>
      </c>
      <c r="AN64" s="245">
        <f>VLOOKUP($H64,'Cost inputs'!$A$18:$E$39,'Land Price Phase Sc1&amp;2'!AN9+1,0)</f>
        <v>1550</v>
      </c>
      <c r="AO64" s="245">
        <f>VLOOKUP($H64,'Cost inputs'!$A$18:$E$39,'Land Price Phase Sc1&amp;2'!AO9+1,0)</f>
        <v>1550</v>
      </c>
      <c r="AP64" s="245">
        <f>VLOOKUP($H64,'Cost inputs'!$A$18:$E$39,'Land Price Phase Sc1&amp;2'!AP9+1,0)</f>
        <v>1550</v>
      </c>
      <c r="AQ64" s="245">
        <f>VLOOKUP($H64,'Cost inputs'!$A$18:$E$39,'Land Price Phase Sc1&amp;2'!AQ9+1,0)</f>
        <v>1550</v>
      </c>
      <c r="AR64" s="245">
        <f>VLOOKUP($H64,'Cost inputs'!$A$18:$E$39,'Land Price Phase Sc1&amp;2'!AR9+1,0)</f>
        <v>1550</v>
      </c>
      <c r="AS64" s="245">
        <f>VLOOKUP($H64,'Cost inputs'!$A$18:$E$39,'Land Price Phase Sc1&amp;2'!AS9+1,0)</f>
        <v>1550</v>
      </c>
      <c r="AT64" s="245">
        <f>VLOOKUP($H64,'Cost inputs'!$A$18:$E$39,'Land Price Phase Sc1&amp;2'!AT9+1,0)</f>
        <v>1550</v>
      </c>
      <c r="AU64" s="245">
        <f>VLOOKUP($H64,'Cost inputs'!$A$18:$E$39,'Land Price Phase Sc1&amp;2'!AU9+1,0)</f>
        <v>1550</v>
      </c>
    </row>
    <row r="65" spans="1:47" x14ac:dyDescent="0.3">
      <c r="A65" s="245" t="str">
        <f t="shared" si="33"/>
        <v>Inner North-West</v>
      </c>
      <c r="B65" s="245" t="str">
        <f t="shared" si="33"/>
        <v>Whenuapai East/South</v>
      </c>
      <c r="C65" s="245">
        <f t="shared" si="33"/>
        <v>2035</v>
      </c>
      <c r="D65" s="245">
        <f t="shared" si="33"/>
        <v>2031</v>
      </c>
      <c r="E65" s="245">
        <f t="shared" si="33"/>
        <v>2035</v>
      </c>
      <c r="F65" s="245">
        <f t="shared" si="33"/>
        <v>2039</v>
      </c>
      <c r="G65" s="245" t="str">
        <f t="shared" si="34"/>
        <v>same timing for East and South</v>
      </c>
      <c r="H65" s="245" t="str">
        <f t="shared" si="35"/>
        <v>Whenuapai</v>
      </c>
      <c r="I65" s="245">
        <f>VLOOKUP($H65,'Cost inputs'!$A$18:$E$39,'Land Price Phase Sc1&amp;2'!I10+1,0)</f>
        <v>250</v>
      </c>
      <c r="J65" s="245">
        <f>VLOOKUP($H65,'Cost inputs'!$A$18:$E$39,'Land Price Phase Sc1&amp;2'!J10+1,0)</f>
        <v>250</v>
      </c>
      <c r="K65" s="245">
        <f>VLOOKUP($H65,'Cost inputs'!$A$18:$E$39,'Land Price Phase Sc1&amp;2'!K10+1,0)</f>
        <v>250</v>
      </c>
      <c r="L65" s="245">
        <f>VLOOKUP($H65,'Cost inputs'!$A$18:$E$39,'Land Price Phase Sc1&amp;2'!L10+1,0)</f>
        <v>250</v>
      </c>
      <c r="M65" s="245">
        <f>VLOOKUP($H65,'Cost inputs'!$A$18:$E$39,'Land Price Phase Sc1&amp;2'!M10+1,0)</f>
        <v>250</v>
      </c>
      <c r="N65" s="245">
        <f>VLOOKUP($H65,'Cost inputs'!$A$18:$E$39,'Land Price Phase Sc1&amp;2'!N10+1,0)</f>
        <v>250</v>
      </c>
      <c r="O65" s="245">
        <f>VLOOKUP($H65,'Cost inputs'!$A$18:$E$39,'Land Price Phase Sc1&amp;2'!O10+1,0)</f>
        <v>250</v>
      </c>
      <c r="P65" s="245">
        <f>VLOOKUP($H65,'Cost inputs'!$A$18:$E$39,'Land Price Phase Sc1&amp;2'!P10+1,0)</f>
        <v>375</v>
      </c>
      <c r="Q65" s="245">
        <f>VLOOKUP($H65,'Cost inputs'!$A$18:$E$39,'Land Price Phase Sc1&amp;2'!Q10+1,0)</f>
        <v>375</v>
      </c>
      <c r="R65" s="245">
        <f>VLOOKUP($H65,'Cost inputs'!$A$18:$E$39,'Land Price Phase Sc1&amp;2'!R10+1,0)</f>
        <v>375</v>
      </c>
      <c r="S65" s="245">
        <f>VLOOKUP($H65,'Cost inputs'!$A$18:$E$39,'Land Price Phase Sc1&amp;2'!S10+1,0)</f>
        <v>375</v>
      </c>
      <c r="T65" s="245">
        <f>VLOOKUP($H65,'Cost inputs'!$A$18:$E$39,'Land Price Phase Sc1&amp;2'!T10+1,0)</f>
        <v>590</v>
      </c>
      <c r="U65" s="245">
        <f>VLOOKUP($H65,'Cost inputs'!$A$18:$E$39,'Land Price Phase Sc1&amp;2'!U10+1,0)</f>
        <v>590</v>
      </c>
      <c r="V65" s="245">
        <f>VLOOKUP($H65,'Cost inputs'!$A$18:$E$39,'Land Price Phase Sc1&amp;2'!V10+1,0)</f>
        <v>590</v>
      </c>
      <c r="W65" s="245">
        <f>VLOOKUP($H65,'Cost inputs'!$A$18:$E$39,'Land Price Phase Sc1&amp;2'!W10+1,0)</f>
        <v>590</v>
      </c>
      <c r="X65" s="245">
        <f>VLOOKUP($H65,'Cost inputs'!$A$18:$E$39,'Land Price Phase Sc1&amp;2'!X10+1,0)</f>
        <v>1550</v>
      </c>
      <c r="Y65" s="245">
        <f>VLOOKUP($H65,'Cost inputs'!$A$18:$E$39,'Land Price Phase Sc1&amp;2'!Y10+1,0)</f>
        <v>1550</v>
      </c>
      <c r="Z65" s="245">
        <f>VLOOKUP($H65,'Cost inputs'!$A$18:$E$39,'Land Price Phase Sc1&amp;2'!Z10+1,0)</f>
        <v>1550</v>
      </c>
      <c r="AA65" s="245">
        <f>VLOOKUP($H65,'Cost inputs'!$A$18:$E$39,'Land Price Phase Sc1&amp;2'!AA10+1,0)</f>
        <v>1550</v>
      </c>
      <c r="AB65" s="245">
        <f>VLOOKUP($H65,'Cost inputs'!$A$18:$E$39,'Land Price Phase Sc1&amp;2'!AB10+1,0)</f>
        <v>1550</v>
      </c>
      <c r="AC65" s="245">
        <f>VLOOKUP($H65,'Cost inputs'!$A$18:$E$39,'Land Price Phase Sc1&amp;2'!AC10+1,0)</f>
        <v>1550</v>
      </c>
      <c r="AD65" s="245">
        <f>VLOOKUP($H65,'Cost inputs'!$A$18:$E$39,'Land Price Phase Sc1&amp;2'!AD10+1,0)</f>
        <v>1550</v>
      </c>
      <c r="AE65" s="245">
        <f>VLOOKUP($H65,'Cost inputs'!$A$18:$E$39,'Land Price Phase Sc1&amp;2'!AE10+1,0)</f>
        <v>1550</v>
      </c>
      <c r="AF65" s="245">
        <f>VLOOKUP($H65,'Cost inputs'!$A$18:$E$39,'Land Price Phase Sc1&amp;2'!AF10+1,0)</f>
        <v>1550</v>
      </c>
      <c r="AG65" s="245">
        <f>VLOOKUP($H65,'Cost inputs'!$A$18:$E$39,'Land Price Phase Sc1&amp;2'!AG10+1,0)</f>
        <v>1550</v>
      </c>
      <c r="AH65" s="245">
        <f>VLOOKUP($H65,'Cost inputs'!$A$18:$E$39,'Land Price Phase Sc1&amp;2'!AH10+1,0)</f>
        <v>1550</v>
      </c>
      <c r="AI65" s="245">
        <f>VLOOKUP($H65,'Cost inputs'!$A$18:$E$39,'Land Price Phase Sc1&amp;2'!AI10+1,0)</f>
        <v>1550</v>
      </c>
      <c r="AJ65" s="245">
        <f>VLOOKUP($H65,'Cost inputs'!$A$18:$E$39,'Land Price Phase Sc1&amp;2'!AJ10+1,0)</f>
        <v>1550</v>
      </c>
      <c r="AK65" s="245">
        <f>VLOOKUP($H65,'Cost inputs'!$A$18:$E$39,'Land Price Phase Sc1&amp;2'!AK10+1,0)</f>
        <v>1550</v>
      </c>
      <c r="AL65" s="245">
        <f>VLOOKUP($H65,'Cost inputs'!$A$18:$E$39,'Land Price Phase Sc1&amp;2'!AL10+1,0)</f>
        <v>1550</v>
      </c>
      <c r="AM65" s="245">
        <f>VLOOKUP($H65,'Cost inputs'!$A$18:$E$39,'Land Price Phase Sc1&amp;2'!AM10+1,0)</f>
        <v>1550</v>
      </c>
      <c r="AN65" s="245">
        <f>VLOOKUP($H65,'Cost inputs'!$A$18:$E$39,'Land Price Phase Sc1&amp;2'!AN10+1,0)</f>
        <v>1550</v>
      </c>
      <c r="AO65" s="245">
        <f>VLOOKUP($H65,'Cost inputs'!$A$18:$E$39,'Land Price Phase Sc1&amp;2'!AO10+1,0)</f>
        <v>1550</v>
      </c>
      <c r="AP65" s="245">
        <f>VLOOKUP($H65,'Cost inputs'!$A$18:$E$39,'Land Price Phase Sc1&amp;2'!AP10+1,0)</f>
        <v>1550</v>
      </c>
      <c r="AQ65" s="245">
        <f>VLOOKUP($H65,'Cost inputs'!$A$18:$E$39,'Land Price Phase Sc1&amp;2'!AQ10+1,0)</f>
        <v>1550</v>
      </c>
      <c r="AR65" s="245">
        <f>VLOOKUP($H65,'Cost inputs'!$A$18:$E$39,'Land Price Phase Sc1&amp;2'!AR10+1,0)</f>
        <v>1550</v>
      </c>
      <c r="AS65" s="245">
        <f>VLOOKUP($H65,'Cost inputs'!$A$18:$E$39,'Land Price Phase Sc1&amp;2'!AS10+1,0)</f>
        <v>1550</v>
      </c>
      <c r="AT65" s="245">
        <f>VLOOKUP($H65,'Cost inputs'!$A$18:$E$39,'Land Price Phase Sc1&amp;2'!AT10+1,0)</f>
        <v>1550</v>
      </c>
      <c r="AU65" s="245">
        <f>VLOOKUP($H65,'Cost inputs'!$A$18:$E$39,'Land Price Phase Sc1&amp;2'!AU10+1,0)</f>
        <v>1550</v>
      </c>
    </row>
    <row r="66" spans="1:47" x14ac:dyDescent="0.3">
      <c r="A66" s="245" t="str">
        <f t="shared" si="33"/>
        <v>Inner North-West</v>
      </c>
      <c r="B66" s="245" t="str">
        <f t="shared" si="33"/>
        <v>Spedding Rd PC Area</v>
      </c>
      <c r="C66" s="245">
        <f t="shared" si="33"/>
        <v>2028</v>
      </c>
      <c r="D66" s="245">
        <f t="shared" si="33"/>
        <v>2024</v>
      </c>
      <c r="E66" s="245">
        <f t="shared" si="33"/>
        <v>2028</v>
      </c>
      <c r="F66" s="245">
        <f t="shared" si="33"/>
        <v>2032</v>
      </c>
      <c r="G66" s="245" t="str">
        <f t="shared" si="34"/>
        <v>The Spedding Rd PC area is constrained for development until the bulk network HIF wastewater upgrades are complete, estimated end of 2028.</v>
      </c>
      <c r="H66" s="245" t="str">
        <f t="shared" si="35"/>
        <v>NA</v>
      </c>
      <c r="I66" s="245" t="e">
        <f>VLOOKUP($H66,'Cost inputs'!$A$18:$E$39,'Land Price Phase Sc1&amp;2'!I11+1,0)</f>
        <v>#N/A</v>
      </c>
      <c r="J66" s="245" t="e">
        <f>VLOOKUP($H66,'Cost inputs'!$A$18:$E$39,'Land Price Phase Sc1&amp;2'!J11+1,0)</f>
        <v>#N/A</v>
      </c>
      <c r="K66" s="245" t="e">
        <f>VLOOKUP($H66,'Cost inputs'!$A$18:$E$39,'Land Price Phase Sc1&amp;2'!K11+1,0)</f>
        <v>#N/A</v>
      </c>
      <c r="L66" s="245" t="e">
        <f>VLOOKUP($H66,'Cost inputs'!$A$18:$E$39,'Land Price Phase Sc1&amp;2'!L11+1,0)</f>
        <v>#N/A</v>
      </c>
      <c r="M66" s="245" t="e">
        <f>VLOOKUP($H66,'Cost inputs'!$A$18:$E$39,'Land Price Phase Sc1&amp;2'!M11+1,0)</f>
        <v>#N/A</v>
      </c>
      <c r="N66" s="245" t="e">
        <f>VLOOKUP($H66,'Cost inputs'!$A$18:$E$39,'Land Price Phase Sc1&amp;2'!N11+1,0)</f>
        <v>#N/A</v>
      </c>
      <c r="O66" s="245" t="e">
        <f>VLOOKUP($H66,'Cost inputs'!$A$18:$E$39,'Land Price Phase Sc1&amp;2'!O11+1,0)</f>
        <v>#N/A</v>
      </c>
      <c r="P66" s="245" t="e">
        <f>VLOOKUP($H66,'Cost inputs'!$A$18:$E$39,'Land Price Phase Sc1&amp;2'!P11+1,0)</f>
        <v>#N/A</v>
      </c>
      <c r="Q66" s="245" t="e">
        <f>VLOOKUP($H66,'Cost inputs'!$A$18:$E$39,'Land Price Phase Sc1&amp;2'!Q11+1,0)</f>
        <v>#N/A</v>
      </c>
      <c r="R66" s="245" t="e">
        <f>VLOOKUP($H66,'Cost inputs'!$A$18:$E$39,'Land Price Phase Sc1&amp;2'!R11+1,0)</f>
        <v>#N/A</v>
      </c>
      <c r="S66" s="245" t="e">
        <f>VLOOKUP($H66,'Cost inputs'!$A$18:$E$39,'Land Price Phase Sc1&amp;2'!S11+1,0)</f>
        <v>#N/A</v>
      </c>
      <c r="T66" s="245" t="e">
        <f>VLOOKUP($H66,'Cost inputs'!$A$18:$E$39,'Land Price Phase Sc1&amp;2'!T11+1,0)</f>
        <v>#N/A</v>
      </c>
      <c r="U66" s="245" t="e">
        <f>VLOOKUP($H66,'Cost inputs'!$A$18:$E$39,'Land Price Phase Sc1&amp;2'!U11+1,0)</f>
        <v>#N/A</v>
      </c>
      <c r="V66" s="245" t="e">
        <f>VLOOKUP($H66,'Cost inputs'!$A$18:$E$39,'Land Price Phase Sc1&amp;2'!V11+1,0)</f>
        <v>#N/A</v>
      </c>
      <c r="W66" s="245" t="e">
        <f>VLOOKUP($H66,'Cost inputs'!$A$18:$E$39,'Land Price Phase Sc1&amp;2'!W11+1,0)</f>
        <v>#N/A</v>
      </c>
      <c r="X66" s="245" t="e">
        <f>VLOOKUP($H66,'Cost inputs'!$A$18:$E$39,'Land Price Phase Sc1&amp;2'!X11+1,0)</f>
        <v>#N/A</v>
      </c>
      <c r="Y66" s="245" t="e">
        <f>VLOOKUP($H66,'Cost inputs'!$A$18:$E$39,'Land Price Phase Sc1&amp;2'!Y11+1,0)</f>
        <v>#N/A</v>
      </c>
      <c r="Z66" s="245" t="e">
        <f>VLOOKUP($H66,'Cost inputs'!$A$18:$E$39,'Land Price Phase Sc1&amp;2'!Z11+1,0)</f>
        <v>#N/A</v>
      </c>
      <c r="AA66" s="245" t="e">
        <f>VLOOKUP($H66,'Cost inputs'!$A$18:$E$39,'Land Price Phase Sc1&amp;2'!AA11+1,0)</f>
        <v>#N/A</v>
      </c>
      <c r="AB66" s="245" t="e">
        <f>VLOOKUP($H66,'Cost inputs'!$A$18:$E$39,'Land Price Phase Sc1&amp;2'!AB11+1,0)</f>
        <v>#N/A</v>
      </c>
      <c r="AC66" s="245" t="e">
        <f>VLOOKUP($H66,'Cost inputs'!$A$18:$E$39,'Land Price Phase Sc1&amp;2'!AC11+1,0)</f>
        <v>#N/A</v>
      </c>
      <c r="AD66" s="245" t="e">
        <f>VLOOKUP($H66,'Cost inputs'!$A$18:$E$39,'Land Price Phase Sc1&amp;2'!AD11+1,0)</f>
        <v>#N/A</v>
      </c>
      <c r="AE66" s="245" t="e">
        <f>VLOOKUP($H66,'Cost inputs'!$A$18:$E$39,'Land Price Phase Sc1&amp;2'!AE11+1,0)</f>
        <v>#N/A</v>
      </c>
      <c r="AF66" s="245" t="e">
        <f>VLOOKUP($H66,'Cost inputs'!$A$18:$E$39,'Land Price Phase Sc1&amp;2'!AF11+1,0)</f>
        <v>#N/A</v>
      </c>
      <c r="AG66" s="245" t="e">
        <f>VLOOKUP($H66,'Cost inputs'!$A$18:$E$39,'Land Price Phase Sc1&amp;2'!AG11+1,0)</f>
        <v>#N/A</v>
      </c>
      <c r="AH66" s="245" t="e">
        <f>VLOOKUP($H66,'Cost inputs'!$A$18:$E$39,'Land Price Phase Sc1&amp;2'!AH11+1,0)</f>
        <v>#N/A</v>
      </c>
      <c r="AI66" s="245" t="e">
        <f>VLOOKUP($H66,'Cost inputs'!$A$18:$E$39,'Land Price Phase Sc1&amp;2'!AI11+1,0)</f>
        <v>#N/A</v>
      </c>
      <c r="AJ66" s="245" t="e">
        <f>VLOOKUP($H66,'Cost inputs'!$A$18:$E$39,'Land Price Phase Sc1&amp;2'!AJ11+1,0)</f>
        <v>#N/A</v>
      </c>
      <c r="AK66" s="245" t="e">
        <f>VLOOKUP($H66,'Cost inputs'!$A$18:$E$39,'Land Price Phase Sc1&amp;2'!AK11+1,0)</f>
        <v>#N/A</v>
      </c>
      <c r="AL66" s="245" t="e">
        <f>VLOOKUP($H66,'Cost inputs'!$A$18:$E$39,'Land Price Phase Sc1&amp;2'!AL11+1,0)</f>
        <v>#N/A</v>
      </c>
      <c r="AM66" s="245" t="e">
        <f>VLOOKUP($H66,'Cost inputs'!$A$18:$E$39,'Land Price Phase Sc1&amp;2'!AM11+1,0)</f>
        <v>#N/A</v>
      </c>
      <c r="AN66" s="245" t="e">
        <f>VLOOKUP($H66,'Cost inputs'!$A$18:$E$39,'Land Price Phase Sc1&amp;2'!AN11+1,0)</f>
        <v>#N/A</v>
      </c>
      <c r="AO66" s="245" t="e">
        <f>VLOOKUP($H66,'Cost inputs'!$A$18:$E$39,'Land Price Phase Sc1&amp;2'!AO11+1,0)</f>
        <v>#N/A</v>
      </c>
      <c r="AP66" s="245" t="e">
        <f>VLOOKUP($H66,'Cost inputs'!$A$18:$E$39,'Land Price Phase Sc1&amp;2'!AP11+1,0)</f>
        <v>#N/A</v>
      </c>
      <c r="AQ66" s="245" t="e">
        <f>VLOOKUP($H66,'Cost inputs'!$A$18:$E$39,'Land Price Phase Sc1&amp;2'!AQ11+1,0)</f>
        <v>#N/A</v>
      </c>
      <c r="AR66" s="245" t="e">
        <f>VLOOKUP($H66,'Cost inputs'!$A$18:$E$39,'Land Price Phase Sc1&amp;2'!AR11+1,0)</f>
        <v>#N/A</v>
      </c>
      <c r="AS66" s="245" t="e">
        <f>VLOOKUP($H66,'Cost inputs'!$A$18:$E$39,'Land Price Phase Sc1&amp;2'!AS11+1,0)</f>
        <v>#N/A</v>
      </c>
      <c r="AT66" s="245" t="e">
        <f>VLOOKUP($H66,'Cost inputs'!$A$18:$E$39,'Land Price Phase Sc1&amp;2'!AT11+1,0)</f>
        <v>#N/A</v>
      </c>
      <c r="AU66" s="245" t="e">
        <f>VLOOKUP($H66,'Cost inputs'!$A$18:$E$39,'Land Price Phase Sc1&amp;2'!AU11+1,0)</f>
        <v>#N/A</v>
      </c>
    </row>
    <row r="67" spans="1:47" x14ac:dyDescent="0.3">
      <c r="A67" s="245" t="str">
        <f t="shared" si="33"/>
        <v>Inner North-West</v>
      </c>
      <c r="B67" s="245" t="str">
        <f t="shared" si="33"/>
        <v>Westgate</v>
      </c>
      <c r="C67" s="245" t="str">
        <f t="shared" si="33"/>
        <v>SUL ongoing</v>
      </c>
      <c r="D67" s="245">
        <f t="shared" si="33"/>
        <v>0</v>
      </c>
      <c r="E67" s="245">
        <f t="shared" si="33"/>
        <v>0</v>
      </c>
      <c r="F67" s="245">
        <f t="shared" si="33"/>
        <v>2024</v>
      </c>
      <c r="G67" s="245" t="str">
        <f t="shared" si="34"/>
        <v>Westgate does not contain bulk infrastructure constraints and development has been progressing across the area for many years. Consider in SUL stage ongoing.</v>
      </c>
      <c r="H67" s="245" t="str">
        <f t="shared" si="35"/>
        <v>Redhills</v>
      </c>
      <c r="I67" s="245">
        <f>VLOOKUP($H67,'Cost inputs'!$A$18:$E$39,'Land Price Phase Sc1&amp;2'!I12+1,0)</f>
        <v>1425</v>
      </c>
      <c r="J67" s="245">
        <f>VLOOKUP($H67,'Cost inputs'!$A$18:$E$39,'Land Price Phase Sc1&amp;2'!J12+1,0)</f>
        <v>1425</v>
      </c>
      <c r="K67" s="245">
        <f>VLOOKUP($H67,'Cost inputs'!$A$18:$E$39,'Land Price Phase Sc1&amp;2'!K12+1,0)</f>
        <v>1425</v>
      </c>
      <c r="L67" s="245">
        <f>VLOOKUP($H67,'Cost inputs'!$A$18:$E$39,'Land Price Phase Sc1&amp;2'!L12+1,0)</f>
        <v>1425</v>
      </c>
      <c r="M67" s="245">
        <f>VLOOKUP($H67,'Cost inputs'!$A$18:$E$39,'Land Price Phase Sc1&amp;2'!M12+1,0)</f>
        <v>1425</v>
      </c>
      <c r="N67" s="245">
        <f>VLOOKUP($H67,'Cost inputs'!$A$18:$E$39,'Land Price Phase Sc1&amp;2'!N12+1,0)</f>
        <v>1425</v>
      </c>
      <c r="O67" s="245">
        <f>VLOOKUP($H67,'Cost inputs'!$A$18:$E$39,'Land Price Phase Sc1&amp;2'!O12+1,0)</f>
        <v>1425</v>
      </c>
      <c r="P67" s="245">
        <f>VLOOKUP($H67,'Cost inputs'!$A$18:$E$39,'Land Price Phase Sc1&amp;2'!P12+1,0)</f>
        <v>1425</v>
      </c>
      <c r="Q67" s="245">
        <f>VLOOKUP($H67,'Cost inputs'!$A$18:$E$39,'Land Price Phase Sc1&amp;2'!Q12+1,0)</f>
        <v>1425</v>
      </c>
      <c r="R67" s="245">
        <f>VLOOKUP($H67,'Cost inputs'!$A$18:$E$39,'Land Price Phase Sc1&amp;2'!R12+1,0)</f>
        <v>1425</v>
      </c>
      <c r="S67" s="245">
        <f>VLOOKUP($H67,'Cost inputs'!$A$18:$E$39,'Land Price Phase Sc1&amp;2'!S12+1,0)</f>
        <v>1425</v>
      </c>
      <c r="T67" s="245">
        <f>VLOOKUP($H67,'Cost inputs'!$A$18:$E$39,'Land Price Phase Sc1&amp;2'!T12+1,0)</f>
        <v>1425</v>
      </c>
      <c r="U67" s="245">
        <f>VLOOKUP($H67,'Cost inputs'!$A$18:$E$39,'Land Price Phase Sc1&amp;2'!U12+1,0)</f>
        <v>1425</v>
      </c>
      <c r="V67" s="245">
        <f>VLOOKUP($H67,'Cost inputs'!$A$18:$E$39,'Land Price Phase Sc1&amp;2'!V12+1,0)</f>
        <v>1425</v>
      </c>
      <c r="W67" s="245">
        <f>VLOOKUP($H67,'Cost inputs'!$A$18:$E$39,'Land Price Phase Sc1&amp;2'!W12+1,0)</f>
        <v>1425</v>
      </c>
      <c r="X67" s="245">
        <f>VLOOKUP($H67,'Cost inputs'!$A$18:$E$39,'Land Price Phase Sc1&amp;2'!X12+1,0)</f>
        <v>1425</v>
      </c>
      <c r="Y67" s="245">
        <f>VLOOKUP($H67,'Cost inputs'!$A$18:$E$39,'Land Price Phase Sc1&amp;2'!Y12+1,0)</f>
        <v>1425</v>
      </c>
      <c r="Z67" s="245">
        <f>VLOOKUP($H67,'Cost inputs'!$A$18:$E$39,'Land Price Phase Sc1&amp;2'!Z12+1,0)</f>
        <v>1425</v>
      </c>
      <c r="AA67" s="245">
        <f>VLOOKUP($H67,'Cost inputs'!$A$18:$E$39,'Land Price Phase Sc1&amp;2'!AA12+1,0)</f>
        <v>1425</v>
      </c>
      <c r="AB67" s="245">
        <f>VLOOKUP($H67,'Cost inputs'!$A$18:$E$39,'Land Price Phase Sc1&amp;2'!AB12+1,0)</f>
        <v>1425</v>
      </c>
      <c r="AC67" s="245">
        <f>VLOOKUP($H67,'Cost inputs'!$A$18:$E$39,'Land Price Phase Sc1&amp;2'!AC12+1,0)</f>
        <v>1425</v>
      </c>
      <c r="AD67" s="245">
        <f>VLOOKUP($H67,'Cost inputs'!$A$18:$E$39,'Land Price Phase Sc1&amp;2'!AD12+1,0)</f>
        <v>1425</v>
      </c>
      <c r="AE67" s="245">
        <f>VLOOKUP($H67,'Cost inputs'!$A$18:$E$39,'Land Price Phase Sc1&amp;2'!AE12+1,0)</f>
        <v>1425</v>
      </c>
      <c r="AF67" s="245">
        <f>VLOOKUP($H67,'Cost inputs'!$A$18:$E$39,'Land Price Phase Sc1&amp;2'!AF12+1,0)</f>
        <v>1425</v>
      </c>
      <c r="AG67" s="245">
        <f>VLOOKUP($H67,'Cost inputs'!$A$18:$E$39,'Land Price Phase Sc1&amp;2'!AG12+1,0)</f>
        <v>1425</v>
      </c>
      <c r="AH67" s="245">
        <f>VLOOKUP($H67,'Cost inputs'!$A$18:$E$39,'Land Price Phase Sc1&amp;2'!AH12+1,0)</f>
        <v>1425</v>
      </c>
      <c r="AI67" s="245">
        <f>VLOOKUP($H67,'Cost inputs'!$A$18:$E$39,'Land Price Phase Sc1&amp;2'!AI12+1,0)</f>
        <v>1425</v>
      </c>
      <c r="AJ67" s="245">
        <f>VLOOKUP($H67,'Cost inputs'!$A$18:$E$39,'Land Price Phase Sc1&amp;2'!AJ12+1,0)</f>
        <v>1425</v>
      </c>
      <c r="AK67" s="245">
        <f>VLOOKUP($H67,'Cost inputs'!$A$18:$E$39,'Land Price Phase Sc1&amp;2'!AK12+1,0)</f>
        <v>1425</v>
      </c>
      <c r="AL67" s="245">
        <f>VLOOKUP($H67,'Cost inputs'!$A$18:$E$39,'Land Price Phase Sc1&amp;2'!AL12+1,0)</f>
        <v>1425</v>
      </c>
      <c r="AM67" s="245">
        <f>VLOOKUP($H67,'Cost inputs'!$A$18:$E$39,'Land Price Phase Sc1&amp;2'!AM12+1,0)</f>
        <v>1425</v>
      </c>
      <c r="AN67" s="245">
        <f>VLOOKUP($H67,'Cost inputs'!$A$18:$E$39,'Land Price Phase Sc1&amp;2'!AN12+1,0)</f>
        <v>1425</v>
      </c>
      <c r="AO67" s="245">
        <f>VLOOKUP($H67,'Cost inputs'!$A$18:$E$39,'Land Price Phase Sc1&amp;2'!AO12+1,0)</f>
        <v>1425</v>
      </c>
      <c r="AP67" s="245">
        <f>VLOOKUP($H67,'Cost inputs'!$A$18:$E$39,'Land Price Phase Sc1&amp;2'!AP12+1,0)</f>
        <v>1425</v>
      </c>
      <c r="AQ67" s="245">
        <f>VLOOKUP($H67,'Cost inputs'!$A$18:$E$39,'Land Price Phase Sc1&amp;2'!AQ12+1,0)</f>
        <v>1425</v>
      </c>
      <c r="AR67" s="245">
        <f>VLOOKUP($H67,'Cost inputs'!$A$18:$E$39,'Land Price Phase Sc1&amp;2'!AR12+1,0)</f>
        <v>1425</v>
      </c>
      <c r="AS67" s="245">
        <f>VLOOKUP($H67,'Cost inputs'!$A$18:$E$39,'Land Price Phase Sc1&amp;2'!AS12+1,0)</f>
        <v>1425</v>
      </c>
      <c r="AT67" s="245">
        <f>VLOOKUP($H67,'Cost inputs'!$A$18:$E$39,'Land Price Phase Sc1&amp;2'!AT12+1,0)</f>
        <v>1425</v>
      </c>
      <c r="AU67" s="245">
        <f>VLOOKUP($H67,'Cost inputs'!$A$18:$E$39,'Land Price Phase Sc1&amp;2'!AU12+1,0)</f>
        <v>1425</v>
      </c>
    </row>
    <row r="68" spans="1:47" x14ac:dyDescent="0.3">
      <c r="A68" s="245" t="str">
        <f t="shared" si="33"/>
        <v>Northwest</v>
      </c>
      <c r="B68" s="245" t="str">
        <f t="shared" si="33"/>
        <v>Kumeu-Huapai</v>
      </c>
      <c r="C68" s="245">
        <f t="shared" si="33"/>
        <v>2050</v>
      </c>
      <c r="D68" s="245">
        <f t="shared" si="33"/>
        <v>2046</v>
      </c>
      <c r="E68" s="245">
        <f t="shared" si="33"/>
        <v>2050</v>
      </c>
      <c r="F68" s="245">
        <f t="shared" si="33"/>
        <v>2054</v>
      </c>
      <c r="G68" s="245" t="str">
        <f t="shared" si="34"/>
        <v/>
      </c>
      <c r="H68" s="245" t="str">
        <f t="shared" si="35"/>
        <v>Riverhead-Huapai-Kumeu</v>
      </c>
      <c r="I68" s="245">
        <f>VLOOKUP($H68,'Cost inputs'!$A$18:$E$39,'Land Price Phase Sc1&amp;2'!I13+1,0)</f>
        <v>140</v>
      </c>
      <c r="J68" s="245">
        <f>VLOOKUP($H68,'Cost inputs'!$A$18:$E$39,'Land Price Phase Sc1&amp;2'!J13+1,0)</f>
        <v>140</v>
      </c>
      <c r="K68" s="245">
        <f>VLOOKUP($H68,'Cost inputs'!$A$18:$E$39,'Land Price Phase Sc1&amp;2'!K13+1,0)</f>
        <v>140</v>
      </c>
      <c r="L68" s="245">
        <f>VLOOKUP($H68,'Cost inputs'!$A$18:$E$39,'Land Price Phase Sc1&amp;2'!L13+1,0)</f>
        <v>140</v>
      </c>
      <c r="M68" s="245">
        <f>VLOOKUP($H68,'Cost inputs'!$A$18:$E$39,'Land Price Phase Sc1&amp;2'!M13+1,0)</f>
        <v>140</v>
      </c>
      <c r="N68" s="245">
        <f>VLOOKUP($H68,'Cost inputs'!$A$18:$E$39,'Land Price Phase Sc1&amp;2'!N13+1,0)</f>
        <v>140</v>
      </c>
      <c r="O68" s="245">
        <f>VLOOKUP($H68,'Cost inputs'!$A$18:$E$39,'Land Price Phase Sc1&amp;2'!O13+1,0)</f>
        <v>140</v>
      </c>
      <c r="P68" s="245">
        <f>VLOOKUP($H68,'Cost inputs'!$A$18:$E$39,'Land Price Phase Sc1&amp;2'!P13+1,0)</f>
        <v>140</v>
      </c>
      <c r="Q68" s="245">
        <f>VLOOKUP($H68,'Cost inputs'!$A$18:$E$39,'Land Price Phase Sc1&amp;2'!Q13+1,0)</f>
        <v>140</v>
      </c>
      <c r="R68" s="245">
        <f>VLOOKUP($H68,'Cost inputs'!$A$18:$E$39,'Land Price Phase Sc1&amp;2'!R13+1,0)</f>
        <v>140</v>
      </c>
      <c r="S68" s="245">
        <f>VLOOKUP($H68,'Cost inputs'!$A$18:$E$39,'Land Price Phase Sc1&amp;2'!S13+1,0)</f>
        <v>140</v>
      </c>
      <c r="T68" s="245">
        <f>VLOOKUP($H68,'Cost inputs'!$A$18:$E$39,'Land Price Phase Sc1&amp;2'!T13+1,0)</f>
        <v>140</v>
      </c>
      <c r="U68" s="245">
        <f>VLOOKUP($H68,'Cost inputs'!$A$18:$E$39,'Land Price Phase Sc1&amp;2'!U13+1,0)</f>
        <v>140</v>
      </c>
      <c r="V68" s="245">
        <f>VLOOKUP($H68,'Cost inputs'!$A$18:$E$39,'Land Price Phase Sc1&amp;2'!V13+1,0)</f>
        <v>140</v>
      </c>
      <c r="W68" s="245">
        <f>VLOOKUP($H68,'Cost inputs'!$A$18:$E$39,'Land Price Phase Sc1&amp;2'!W13+1,0)</f>
        <v>140</v>
      </c>
      <c r="X68" s="245">
        <f>VLOOKUP($H68,'Cost inputs'!$A$18:$E$39,'Land Price Phase Sc1&amp;2'!X13+1,0)</f>
        <v>140</v>
      </c>
      <c r="Y68" s="245">
        <f>VLOOKUP($H68,'Cost inputs'!$A$18:$E$39,'Land Price Phase Sc1&amp;2'!Y13+1,0)</f>
        <v>140</v>
      </c>
      <c r="Z68" s="245">
        <f>VLOOKUP($H68,'Cost inputs'!$A$18:$E$39,'Land Price Phase Sc1&amp;2'!Z13+1,0)</f>
        <v>140</v>
      </c>
      <c r="AA68" s="245">
        <f>VLOOKUP($H68,'Cost inputs'!$A$18:$E$39,'Land Price Phase Sc1&amp;2'!AA13+1,0)</f>
        <v>140</v>
      </c>
      <c r="AB68" s="245">
        <f>VLOOKUP($H68,'Cost inputs'!$A$18:$E$39,'Land Price Phase Sc1&amp;2'!AB13+1,0)</f>
        <v>140</v>
      </c>
      <c r="AC68" s="245">
        <f>VLOOKUP($H68,'Cost inputs'!$A$18:$E$39,'Land Price Phase Sc1&amp;2'!AC13+1,0)</f>
        <v>140</v>
      </c>
      <c r="AD68" s="245">
        <f>VLOOKUP($H68,'Cost inputs'!$A$18:$E$39,'Land Price Phase Sc1&amp;2'!AD13+1,0)</f>
        <v>140</v>
      </c>
      <c r="AE68" s="245">
        <f>VLOOKUP($H68,'Cost inputs'!$A$18:$E$39,'Land Price Phase Sc1&amp;2'!AE13+1,0)</f>
        <v>275</v>
      </c>
      <c r="AF68" s="245">
        <f>VLOOKUP($H68,'Cost inputs'!$A$18:$E$39,'Land Price Phase Sc1&amp;2'!AF13+1,0)</f>
        <v>275</v>
      </c>
      <c r="AG68" s="245">
        <f>VLOOKUP($H68,'Cost inputs'!$A$18:$E$39,'Land Price Phase Sc1&amp;2'!AG13+1,0)</f>
        <v>275</v>
      </c>
      <c r="AH68" s="245">
        <f>VLOOKUP($H68,'Cost inputs'!$A$18:$E$39,'Land Price Phase Sc1&amp;2'!AH13+1,0)</f>
        <v>275</v>
      </c>
      <c r="AI68" s="245">
        <f>VLOOKUP($H68,'Cost inputs'!$A$18:$E$39,'Land Price Phase Sc1&amp;2'!AI13+1,0)</f>
        <v>410</v>
      </c>
      <c r="AJ68" s="245">
        <f>VLOOKUP($H68,'Cost inputs'!$A$18:$E$39,'Land Price Phase Sc1&amp;2'!AJ13+1,0)</f>
        <v>410</v>
      </c>
      <c r="AK68" s="245">
        <f>VLOOKUP($H68,'Cost inputs'!$A$18:$E$39,'Land Price Phase Sc1&amp;2'!AK13+1,0)</f>
        <v>410</v>
      </c>
      <c r="AL68" s="245">
        <f>VLOOKUP($H68,'Cost inputs'!$A$18:$E$39,'Land Price Phase Sc1&amp;2'!AL13+1,0)</f>
        <v>410</v>
      </c>
      <c r="AM68" s="245">
        <f>VLOOKUP($H68,'Cost inputs'!$A$18:$E$39,'Land Price Phase Sc1&amp;2'!AM13+1,0)</f>
        <v>1325</v>
      </c>
      <c r="AN68" s="245">
        <f>VLOOKUP($H68,'Cost inputs'!$A$18:$E$39,'Land Price Phase Sc1&amp;2'!AN13+1,0)</f>
        <v>1325</v>
      </c>
      <c r="AO68" s="245">
        <f>VLOOKUP($H68,'Cost inputs'!$A$18:$E$39,'Land Price Phase Sc1&amp;2'!AO13+1,0)</f>
        <v>1325</v>
      </c>
      <c r="AP68" s="245">
        <f>VLOOKUP($H68,'Cost inputs'!$A$18:$E$39,'Land Price Phase Sc1&amp;2'!AP13+1,0)</f>
        <v>1325</v>
      </c>
      <c r="AQ68" s="245">
        <f>VLOOKUP($H68,'Cost inputs'!$A$18:$E$39,'Land Price Phase Sc1&amp;2'!AQ13+1,0)</f>
        <v>1325</v>
      </c>
      <c r="AR68" s="245">
        <f>VLOOKUP($H68,'Cost inputs'!$A$18:$E$39,'Land Price Phase Sc1&amp;2'!AR13+1,0)</f>
        <v>1325</v>
      </c>
      <c r="AS68" s="245">
        <f>VLOOKUP($H68,'Cost inputs'!$A$18:$E$39,'Land Price Phase Sc1&amp;2'!AS13+1,0)</f>
        <v>1325</v>
      </c>
      <c r="AT68" s="245">
        <f>VLOOKUP($H68,'Cost inputs'!$A$18:$E$39,'Land Price Phase Sc1&amp;2'!AT13+1,0)</f>
        <v>1325</v>
      </c>
      <c r="AU68" s="245">
        <f>VLOOKUP($H68,'Cost inputs'!$A$18:$E$39,'Land Price Phase Sc1&amp;2'!AU13+1,0)</f>
        <v>1325</v>
      </c>
    </row>
    <row r="69" spans="1:47" x14ac:dyDescent="0.3">
      <c r="A69" s="245" t="str">
        <f t="shared" ref="A69:F74" si="36">A14</f>
        <v>Northwest</v>
      </c>
      <c r="B69" s="245" t="str">
        <f t="shared" si="36"/>
        <v>Riverhead</v>
      </c>
      <c r="C69" s="245">
        <f t="shared" si="36"/>
        <v>2050</v>
      </c>
      <c r="D69" s="245">
        <f t="shared" si="36"/>
        <v>2046</v>
      </c>
      <c r="E69" s="245">
        <f t="shared" si="36"/>
        <v>2050</v>
      </c>
      <c r="F69" s="245">
        <f t="shared" si="36"/>
        <v>2054</v>
      </c>
      <c r="G69" s="245" t="str">
        <f t="shared" si="34"/>
        <v/>
      </c>
      <c r="H69" s="245" t="str">
        <f t="shared" si="35"/>
        <v>Riverhead-Huapai-Kumeu</v>
      </c>
      <c r="I69" s="245">
        <f>VLOOKUP($H69,'Cost inputs'!$A$18:$E$39,'Land Price Phase Sc1&amp;2'!I14+1,0)</f>
        <v>140</v>
      </c>
      <c r="J69" s="245">
        <f>VLOOKUP($H69,'Cost inputs'!$A$18:$E$39,'Land Price Phase Sc1&amp;2'!J14+1,0)</f>
        <v>140</v>
      </c>
      <c r="K69" s="245">
        <f>VLOOKUP($H69,'Cost inputs'!$A$18:$E$39,'Land Price Phase Sc1&amp;2'!K14+1,0)</f>
        <v>140</v>
      </c>
      <c r="L69" s="245">
        <f>VLOOKUP($H69,'Cost inputs'!$A$18:$E$39,'Land Price Phase Sc1&amp;2'!L14+1,0)</f>
        <v>140</v>
      </c>
      <c r="M69" s="245">
        <f>VLOOKUP($H69,'Cost inputs'!$A$18:$E$39,'Land Price Phase Sc1&amp;2'!M14+1,0)</f>
        <v>140</v>
      </c>
      <c r="N69" s="245">
        <f>VLOOKUP($H69,'Cost inputs'!$A$18:$E$39,'Land Price Phase Sc1&amp;2'!N14+1,0)</f>
        <v>140</v>
      </c>
      <c r="O69" s="245">
        <f>VLOOKUP($H69,'Cost inputs'!$A$18:$E$39,'Land Price Phase Sc1&amp;2'!O14+1,0)</f>
        <v>140</v>
      </c>
      <c r="P69" s="245">
        <f>VLOOKUP($H69,'Cost inputs'!$A$18:$E$39,'Land Price Phase Sc1&amp;2'!P14+1,0)</f>
        <v>140</v>
      </c>
      <c r="Q69" s="245">
        <f>VLOOKUP($H69,'Cost inputs'!$A$18:$E$39,'Land Price Phase Sc1&amp;2'!Q14+1,0)</f>
        <v>140</v>
      </c>
      <c r="R69" s="245">
        <f>VLOOKUP($H69,'Cost inputs'!$A$18:$E$39,'Land Price Phase Sc1&amp;2'!R14+1,0)</f>
        <v>140</v>
      </c>
      <c r="S69" s="245">
        <f>VLOOKUP($H69,'Cost inputs'!$A$18:$E$39,'Land Price Phase Sc1&amp;2'!S14+1,0)</f>
        <v>140</v>
      </c>
      <c r="T69" s="245">
        <f>VLOOKUP($H69,'Cost inputs'!$A$18:$E$39,'Land Price Phase Sc1&amp;2'!T14+1,0)</f>
        <v>140</v>
      </c>
      <c r="U69" s="245">
        <f>VLOOKUP($H69,'Cost inputs'!$A$18:$E$39,'Land Price Phase Sc1&amp;2'!U14+1,0)</f>
        <v>140</v>
      </c>
      <c r="V69" s="245">
        <f>VLOOKUP($H69,'Cost inputs'!$A$18:$E$39,'Land Price Phase Sc1&amp;2'!V14+1,0)</f>
        <v>140</v>
      </c>
      <c r="W69" s="245">
        <f>VLOOKUP($H69,'Cost inputs'!$A$18:$E$39,'Land Price Phase Sc1&amp;2'!W14+1,0)</f>
        <v>140</v>
      </c>
      <c r="X69" s="245">
        <f>VLOOKUP($H69,'Cost inputs'!$A$18:$E$39,'Land Price Phase Sc1&amp;2'!X14+1,0)</f>
        <v>140</v>
      </c>
      <c r="Y69" s="245">
        <f>VLOOKUP($H69,'Cost inputs'!$A$18:$E$39,'Land Price Phase Sc1&amp;2'!Y14+1,0)</f>
        <v>140</v>
      </c>
      <c r="Z69" s="245">
        <f>VLOOKUP($H69,'Cost inputs'!$A$18:$E$39,'Land Price Phase Sc1&amp;2'!Z14+1,0)</f>
        <v>140</v>
      </c>
      <c r="AA69" s="245">
        <f>VLOOKUP($H69,'Cost inputs'!$A$18:$E$39,'Land Price Phase Sc1&amp;2'!AA14+1,0)</f>
        <v>140</v>
      </c>
      <c r="AB69" s="245">
        <f>VLOOKUP($H69,'Cost inputs'!$A$18:$E$39,'Land Price Phase Sc1&amp;2'!AB14+1,0)</f>
        <v>140</v>
      </c>
      <c r="AC69" s="245">
        <f>VLOOKUP($H69,'Cost inputs'!$A$18:$E$39,'Land Price Phase Sc1&amp;2'!AC14+1,0)</f>
        <v>140</v>
      </c>
      <c r="AD69" s="245">
        <f>VLOOKUP($H69,'Cost inputs'!$A$18:$E$39,'Land Price Phase Sc1&amp;2'!AD14+1,0)</f>
        <v>140</v>
      </c>
      <c r="AE69" s="245">
        <f>VLOOKUP($H69,'Cost inputs'!$A$18:$E$39,'Land Price Phase Sc1&amp;2'!AE14+1,0)</f>
        <v>275</v>
      </c>
      <c r="AF69" s="245">
        <f>VLOOKUP($H69,'Cost inputs'!$A$18:$E$39,'Land Price Phase Sc1&amp;2'!AF14+1,0)</f>
        <v>275</v>
      </c>
      <c r="AG69" s="245">
        <f>VLOOKUP($H69,'Cost inputs'!$A$18:$E$39,'Land Price Phase Sc1&amp;2'!AG14+1,0)</f>
        <v>275</v>
      </c>
      <c r="AH69" s="245">
        <f>VLOOKUP($H69,'Cost inputs'!$A$18:$E$39,'Land Price Phase Sc1&amp;2'!AH14+1,0)</f>
        <v>275</v>
      </c>
      <c r="AI69" s="245">
        <f>VLOOKUP($H69,'Cost inputs'!$A$18:$E$39,'Land Price Phase Sc1&amp;2'!AI14+1,0)</f>
        <v>410</v>
      </c>
      <c r="AJ69" s="245">
        <f>VLOOKUP($H69,'Cost inputs'!$A$18:$E$39,'Land Price Phase Sc1&amp;2'!AJ14+1,0)</f>
        <v>410</v>
      </c>
      <c r="AK69" s="245">
        <f>VLOOKUP($H69,'Cost inputs'!$A$18:$E$39,'Land Price Phase Sc1&amp;2'!AK14+1,0)</f>
        <v>410</v>
      </c>
      <c r="AL69" s="245">
        <f>VLOOKUP($H69,'Cost inputs'!$A$18:$E$39,'Land Price Phase Sc1&amp;2'!AL14+1,0)</f>
        <v>410</v>
      </c>
      <c r="AM69" s="245">
        <f>VLOOKUP($H69,'Cost inputs'!$A$18:$E$39,'Land Price Phase Sc1&amp;2'!AM14+1,0)</f>
        <v>1325</v>
      </c>
      <c r="AN69" s="245">
        <f>VLOOKUP($H69,'Cost inputs'!$A$18:$E$39,'Land Price Phase Sc1&amp;2'!AN14+1,0)</f>
        <v>1325</v>
      </c>
      <c r="AO69" s="245">
        <f>VLOOKUP($H69,'Cost inputs'!$A$18:$E$39,'Land Price Phase Sc1&amp;2'!AO14+1,0)</f>
        <v>1325</v>
      </c>
      <c r="AP69" s="245">
        <f>VLOOKUP($H69,'Cost inputs'!$A$18:$E$39,'Land Price Phase Sc1&amp;2'!AP14+1,0)</f>
        <v>1325</v>
      </c>
      <c r="AQ69" s="245">
        <f>VLOOKUP($H69,'Cost inputs'!$A$18:$E$39,'Land Price Phase Sc1&amp;2'!AQ14+1,0)</f>
        <v>1325</v>
      </c>
      <c r="AR69" s="245">
        <f>VLOOKUP($H69,'Cost inputs'!$A$18:$E$39,'Land Price Phase Sc1&amp;2'!AR14+1,0)</f>
        <v>1325</v>
      </c>
      <c r="AS69" s="245">
        <f>VLOOKUP($H69,'Cost inputs'!$A$18:$E$39,'Land Price Phase Sc1&amp;2'!AS14+1,0)</f>
        <v>1325</v>
      </c>
      <c r="AT69" s="245">
        <f>VLOOKUP($H69,'Cost inputs'!$A$18:$E$39,'Land Price Phase Sc1&amp;2'!AT14+1,0)</f>
        <v>1325</v>
      </c>
      <c r="AU69" s="245">
        <f>VLOOKUP($H69,'Cost inputs'!$A$18:$E$39,'Land Price Phase Sc1&amp;2'!AU14+1,0)</f>
        <v>1325</v>
      </c>
    </row>
    <row r="70" spans="1:47" x14ac:dyDescent="0.3">
      <c r="A70" s="245" t="str">
        <f t="shared" si="36"/>
        <v>Warkworth</v>
      </c>
      <c r="B70" s="245" t="str">
        <f t="shared" si="36"/>
        <v>Warkworth North (remainder)</v>
      </c>
      <c r="C70" s="245">
        <f t="shared" si="36"/>
        <v>2035</v>
      </c>
      <c r="D70" s="245">
        <f t="shared" si="36"/>
        <v>2031</v>
      </c>
      <c r="E70" s="245">
        <f t="shared" si="36"/>
        <v>2035</v>
      </c>
      <c r="F70" s="245">
        <f t="shared" si="36"/>
        <v>2039</v>
      </c>
      <c r="G70" s="245" t="str">
        <f t="shared" si="34"/>
        <v/>
      </c>
      <c r="H70" s="245" t="str">
        <f t="shared" si="35"/>
        <v>Warkworth</v>
      </c>
      <c r="I70" s="245">
        <f>VLOOKUP($H70,'Cost inputs'!$A$18:$E$39,'Land Price Phase Sc1&amp;2'!I15+1,0)</f>
        <v>75</v>
      </c>
      <c r="J70" s="245">
        <f>VLOOKUP($H70,'Cost inputs'!$A$18:$E$39,'Land Price Phase Sc1&amp;2'!J15+1,0)</f>
        <v>75</v>
      </c>
      <c r="K70" s="245">
        <f>VLOOKUP($H70,'Cost inputs'!$A$18:$E$39,'Land Price Phase Sc1&amp;2'!K15+1,0)</f>
        <v>75</v>
      </c>
      <c r="L70" s="245">
        <f>VLOOKUP($H70,'Cost inputs'!$A$18:$E$39,'Land Price Phase Sc1&amp;2'!L15+1,0)</f>
        <v>75</v>
      </c>
      <c r="M70" s="245">
        <f>VLOOKUP($H70,'Cost inputs'!$A$18:$E$39,'Land Price Phase Sc1&amp;2'!M15+1,0)</f>
        <v>75</v>
      </c>
      <c r="N70" s="245">
        <f>VLOOKUP($H70,'Cost inputs'!$A$18:$E$39,'Land Price Phase Sc1&amp;2'!N15+1,0)</f>
        <v>75</v>
      </c>
      <c r="O70" s="245">
        <f>VLOOKUP($H70,'Cost inputs'!$A$18:$E$39,'Land Price Phase Sc1&amp;2'!O15+1,0)</f>
        <v>75</v>
      </c>
      <c r="P70" s="245">
        <f>VLOOKUP($H70,'Cost inputs'!$A$18:$E$39,'Land Price Phase Sc1&amp;2'!P15+1,0)</f>
        <v>130</v>
      </c>
      <c r="Q70" s="245">
        <f>VLOOKUP($H70,'Cost inputs'!$A$18:$E$39,'Land Price Phase Sc1&amp;2'!Q15+1,0)</f>
        <v>130</v>
      </c>
      <c r="R70" s="245">
        <f>VLOOKUP($H70,'Cost inputs'!$A$18:$E$39,'Land Price Phase Sc1&amp;2'!R15+1,0)</f>
        <v>130</v>
      </c>
      <c r="S70" s="245">
        <f>VLOOKUP($H70,'Cost inputs'!$A$18:$E$39,'Land Price Phase Sc1&amp;2'!S15+1,0)</f>
        <v>130</v>
      </c>
      <c r="T70" s="245">
        <f>VLOOKUP($H70,'Cost inputs'!$A$18:$E$39,'Land Price Phase Sc1&amp;2'!T15+1,0)</f>
        <v>230</v>
      </c>
      <c r="U70" s="245">
        <f>VLOOKUP($H70,'Cost inputs'!$A$18:$E$39,'Land Price Phase Sc1&amp;2'!U15+1,0)</f>
        <v>230</v>
      </c>
      <c r="V70" s="245">
        <f>VLOOKUP($H70,'Cost inputs'!$A$18:$E$39,'Land Price Phase Sc1&amp;2'!V15+1,0)</f>
        <v>230</v>
      </c>
      <c r="W70" s="245">
        <f>VLOOKUP($H70,'Cost inputs'!$A$18:$E$39,'Land Price Phase Sc1&amp;2'!W15+1,0)</f>
        <v>230</v>
      </c>
      <c r="X70" s="245">
        <f>VLOOKUP($H70,'Cost inputs'!$A$18:$E$39,'Land Price Phase Sc1&amp;2'!X15+1,0)</f>
        <v>750</v>
      </c>
      <c r="Y70" s="245">
        <f>VLOOKUP($H70,'Cost inputs'!$A$18:$E$39,'Land Price Phase Sc1&amp;2'!Y15+1,0)</f>
        <v>750</v>
      </c>
      <c r="Z70" s="245">
        <f>VLOOKUP($H70,'Cost inputs'!$A$18:$E$39,'Land Price Phase Sc1&amp;2'!Z15+1,0)</f>
        <v>750</v>
      </c>
      <c r="AA70" s="245">
        <f>VLOOKUP($H70,'Cost inputs'!$A$18:$E$39,'Land Price Phase Sc1&amp;2'!AA15+1,0)</f>
        <v>750</v>
      </c>
      <c r="AB70" s="245">
        <f>VLOOKUP($H70,'Cost inputs'!$A$18:$E$39,'Land Price Phase Sc1&amp;2'!AB15+1,0)</f>
        <v>750</v>
      </c>
      <c r="AC70" s="245">
        <f>VLOOKUP($H70,'Cost inputs'!$A$18:$E$39,'Land Price Phase Sc1&amp;2'!AC15+1,0)</f>
        <v>750</v>
      </c>
      <c r="AD70" s="245">
        <f>VLOOKUP($H70,'Cost inputs'!$A$18:$E$39,'Land Price Phase Sc1&amp;2'!AD15+1,0)</f>
        <v>750</v>
      </c>
      <c r="AE70" s="245">
        <f>VLOOKUP($H70,'Cost inputs'!$A$18:$E$39,'Land Price Phase Sc1&amp;2'!AE15+1,0)</f>
        <v>750</v>
      </c>
      <c r="AF70" s="245">
        <f>VLOOKUP($H70,'Cost inputs'!$A$18:$E$39,'Land Price Phase Sc1&amp;2'!AF15+1,0)</f>
        <v>750</v>
      </c>
      <c r="AG70" s="245">
        <f>VLOOKUP($H70,'Cost inputs'!$A$18:$E$39,'Land Price Phase Sc1&amp;2'!AG15+1,0)</f>
        <v>750</v>
      </c>
      <c r="AH70" s="245">
        <f>VLOOKUP($H70,'Cost inputs'!$A$18:$E$39,'Land Price Phase Sc1&amp;2'!AH15+1,0)</f>
        <v>750</v>
      </c>
      <c r="AI70" s="245">
        <f>VLOOKUP($H70,'Cost inputs'!$A$18:$E$39,'Land Price Phase Sc1&amp;2'!AI15+1,0)</f>
        <v>750</v>
      </c>
      <c r="AJ70" s="245">
        <f>VLOOKUP($H70,'Cost inputs'!$A$18:$E$39,'Land Price Phase Sc1&amp;2'!AJ15+1,0)</f>
        <v>750</v>
      </c>
      <c r="AK70" s="245">
        <f>VLOOKUP($H70,'Cost inputs'!$A$18:$E$39,'Land Price Phase Sc1&amp;2'!AK15+1,0)</f>
        <v>750</v>
      </c>
      <c r="AL70" s="245">
        <f>VLOOKUP($H70,'Cost inputs'!$A$18:$E$39,'Land Price Phase Sc1&amp;2'!AL15+1,0)</f>
        <v>750</v>
      </c>
      <c r="AM70" s="245">
        <f>VLOOKUP($H70,'Cost inputs'!$A$18:$E$39,'Land Price Phase Sc1&amp;2'!AM15+1,0)</f>
        <v>750</v>
      </c>
      <c r="AN70" s="245">
        <f>VLOOKUP($H70,'Cost inputs'!$A$18:$E$39,'Land Price Phase Sc1&amp;2'!AN15+1,0)</f>
        <v>750</v>
      </c>
      <c r="AO70" s="245">
        <f>VLOOKUP($H70,'Cost inputs'!$A$18:$E$39,'Land Price Phase Sc1&amp;2'!AO15+1,0)</f>
        <v>750</v>
      </c>
      <c r="AP70" s="245">
        <f>VLOOKUP($H70,'Cost inputs'!$A$18:$E$39,'Land Price Phase Sc1&amp;2'!AP15+1,0)</f>
        <v>750</v>
      </c>
      <c r="AQ70" s="245">
        <f>VLOOKUP($H70,'Cost inputs'!$A$18:$E$39,'Land Price Phase Sc1&amp;2'!AQ15+1,0)</f>
        <v>750</v>
      </c>
      <c r="AR70" s="245">
        <f>VLOOKUP($H70,'Cost inputs'!$A$18:$E$39,'Land Price Phase Sc1&amp;2'!AR15+1,0)</f>
        <v>750</v>
      </c>
      <c r="AS70" s="245">
        <f>VLOOKUP($H70,'Cost inputs'!$A$18:$E$39,'Land Price Phase Sc1&amp;2'!AS15+1,0)</f>
        <v>750</v>
      </c>
      <c r="AT70" s="245">
        <f>VLOOKUP($H70,'Cost inputs'!$A$18:$E$39,'Land Price Phase Sc1&amp;2'!AT15+1,0)</f>
        <v>750</v>
      </c>
      <c r="AU70" s="245">
        <f>VLOOKUP($H70,'Cost inputs'!$A$18:$E$39,'Land Price Phase Sc1&amp;2'!AU15+1,0)</f>
        <v>750</v>
      </c>
    </row>
    <row r="71" spans="1:47" x14ac:dyDescent="0.3">
      <c r="A71" s="245" t="str">
        <f t="shared" si="36"/>
        <v>Warkworth</v>
      </c>
      <c r="B71" s="245" t="str">
        <f t="shared" si="36"/>
        <v>Warkworth West (remainder)</v>
      </c>
      <c r="C71" s="245">
        <f t="shared" si="36"/>
        <v>2040</v>
      </c>
      <c r="D71" s="245">
        <f t="shared" si="36"/>
        <v>2036</v>
      </c>
      <c r="E71" s="245">
        <f t="shared" si="36"/>
        <v>2040</v>
      </c>
      <c r="F71" s="245">
        <f t="shared" si="36"/>
        <v>2044</v>
      </c>
      <c r="G71" s="245" t="str">
        <f t="shared" si="34"/>
        <v/>
      </c>
      <c r="H71" s="245" t="str">
        <f t="shared" si="35"/>
        <v>Warkworth</v>
      </c>
      <c r="I71" s="245">
        <f>VLOOKUP($H71,'Cost inputs'!$A$18:$E$39,'Land Price Phase Sc1&amp;2'!I16+1,0)</f>
        <v>75</v>
      </c>
      <c r="J71" s="245">
        <f>VLOOKUP($H71,'Cost inputs'!$A$18:$E$39,'Land Price Phase Sc1&amp;2'!J16+1,0)</f>
        <v>75</v>
      </c>
      <c r="K71" s="245">
        <f>VLOOKUP($H71,'Cost inputs'!$A$18:$E$39,'Land Price Phase Sc1&amp;2'!K16+1,0)</f>
        <v>75</v>
      </c>
      <c r="L71" s="245">
        <f>VLOOKUP($H71,'Cost inputs'!$A$18:$E$39,'Land Price Phase Sc1&amp;2'!L16+1,0)</f>
        <v>75</v>
      </c>
      <c r="M71" s="245">
        <f>VLOOKUP($H71,'Cost inputs'!$A$18:$E$39,'Land Price Phase Sc1&amp;2'!M16+1,0)</f>
        <v>75</v>
      </c>
      <c r="N71" s="245">
        <f>VLOOKUP($H71,'Cost inputs'!$A$18:$E$39,'Land Price Phase Sc1&amp;2'!N16+1,0)</f>
        <v>75</v>
      </c>
      <c r="O71" s="245">
        <f>VLOOKUP($H71,'Cost inputs'!$A$18:$E$39,'Land Price Phase Sc1&amp;2'!O16+1,0)</f>
        <v>75</v>
      </c>
      <c r="P71" s="245">
        <f>VLOOKUP($H71,'Cost inputs'!$A$18:$E$39,'Land Price Phase Sc1&amp;2'!P16+1,0)</f>
        <v>75</v>
      </c>
      <c r="Q71" s="245">
        <f>VLOOKUP($H71,'Cost inputs'!$A$18:$E$39,'Land Price Phase Sc1&amp;2'!Q16+1,0)</f>
        <v>75</v>
      </c>
      <c r="R71" s="245">
        <f>VLOOKUP($H71,'Cost inputs'!$A$18:$E$39,'Land Price Phase Sc1&amp;2'!R16+1,0)</f>
        <v>75</v>
      </c>
      <c r="S71" s="245">
        <f>VLOOKUP($H71,'Cost inputs'!$A$18:$E$39,'Land Price Phase Sc1&amp;2'!S16+1,0)</f>
        <v>75</v>
      </c>
      <c r="T71" s="245">
        <f>VLOOKUP($H71,'Cost inputs'!$A$18:$E$39,'Land Price Phase Sc1&amp;2'!T16+1,0)</f>
        <v>75</v>
      </c>
      <c r="U71" s="245">
        <f>VLOOKUP($H71,'Cost inputs'!$A$18:$E$39,'Land Price Phase Sc1&amp;2'!U16+1,0)</f>
        <v>130</v>
      </c>
      <c r="V71" s="245">
        <f>VLOOKUP($H71,'Cost inputs'!$A$18:$E$39,'Land Price Phase Sc1&amp;2'!V16+1,0)</f>
        <v>130</v>
      </c>
      <c r="W71" s="245">
        <f>VLOOKUP($H71,'Cost inputs'!$A$18:$E$39,'Land Price Phase Sc1&amp;2'!W16+1,0)</f>
        <v>130</v>
      </c>
      <c r="X71" s="245">
        <f>VLOOKUP($H71,'Cost inputs'!$A$18:$E$39,'Land Price Phase Sc1&amp;2'!X16+1,0)</f>
        <v>130</v>
      </c>
      <c r="Y71" s="245">
        <f>VLOOKUP($H71,'Cost inputs'!$A$18:$E$39,'Land Price Phase Sc1&amp;2'!Y16+1,0)</f>
        <v>230</v>
      </c>
      <c r="Z71" s="245">
        <f>VLOOKUP($H71,'Cost inputs'!$A$18:$E$39,'Land Price Phase Sc1&amp;2'!Z16+1,0)</f>
        <v>230</v>
      </c>
      <c r="AA71" s="245">
        <f>VLOOKUP($H71,'Cost inputs'!$A$18:$E$39,'Land Price Phase Sc1&amp;2'!AA16+1,0)</f>
        <v>230</v>
      </c>
      <c r="AB71" s="245">
        <f>VLOOKUP($H71,'Cost inputs'!$A$18:$E$39,'Land Price Phase Sc1&amp;2'!AB16+1,0)</f>
        <v>230</v>
      </c>
      <c r="AC71" s="245">
        <f>VLOOKUP($H71,'Cost inputs'!$A$18:$E$39,'Land Price Phase Sc1&amp;2'!AC16+1,0)</f>
        <v>750</v>
      </c>
      <c r="AD71" s="245">
        <f>VLOOKUP($H71,'Cost inputs'!$A$18:$E$39,'Land Price Phase Sc1&amp;2'!AD16+1,0)</f>
        <v>750</v>
      </c>
      <c r="AE71" s="245">
        <f>VLOOKUP($H71,'Cost inputs'!$A$18:$E$39,'Land Price Phase Sc1&amp;2'!AE16+1,0)</f>
        <v>750</v>
      </c>
      <c r="AF71" s="245">
        <f>VLOOKUP($H71,'Cost inputs'!$A$18:$E$39,'Land Price Phase Sc1&amp;2'!AF16+1,0)</f>
        <v>750</v>
      </c>
      <c r="AG71" s="245">
        <f>VLOOKUP($H71,'Cost inputs'!$A$18:$E$39,'Land Price Phase Sc1&amp;2'!AG16+1,0)</f>
        <v>750</v>
      </c>
      <c r="AH71" s="245">
        <f>VLOOKUP($H71,'Cost inputs'!$A$18:$E$39,'Land Price Phase Sc1&amp;2'!AH16+1,0)</f>
        <v>750</v>
      </c>
      <c r="AI71" s="245">
        <f>VLOOKUP($H71,'Cost inputs'!$A$18:$E$39,'Land Price Phase Sc1&amp;2'!AI16+1,0)</f>
        <v>750</v>
      </c>
      <c r="AJ71" s="245">
        <f>VLOOKUP($H71,'Cost inputs'!$A$18:$E$39,'Land Price Phase Sc1&amp;2'!AJ16+1,0)</f>
        <v>750</v>
      </c>
      <c r="AK71" s="245">
        <f>VLOOKUP($H71,'Cost inputs'!$A$18:$E$39,'Land Price Phase Sc1&amp;2'!AK16+1,0)</f>
        <v>750</v>
      </c>
      <c r="AL71" s="245">
        <f>VLOOKUP($H71,'Cost inputs'!$A$18:$E$39,'Land Price Phase Sc1&amp;2'!AL16+1,0)</f>
        <v>750</v>
      </c>
      <c r="AM71" s="245">
        <f>VLOOKUP($H71,'Cost inputs'!$A$18:$E$39,'Land Price Phase Sc1&amp;2'!AM16+1,0)</f>
        <v>750</v>
      </c>
      <c r="AN71" s="245">
        <f>VLOOKUP($H71,'Cost inputs'!$A$18:$E$39,'Land Price Phase Sc1&amp;2'!AN16+1,0)</f>
        <v>750</v>
      </c>
      <c r="AO71" s="245">
        <f>VLOOKUP($H71,'Cost inputs'!$A$18:$E$39,'Land Price Phase Sc1&amp;2'!AO16+1,0)</f>
        <v>750</v>
      </c>
      <c r="AP71" s="245">
        <f>VLOOKUP($H71,'Cost inputs'!$A$18:$E$39,'Land Price Phase Sc1&amp;2'!AP16+1,0)</f>
        <v>750</v>
      </c>
      <c r="AQ71" s="245">
        <f>VLOOKUP($H71,'Cost inputs'!$A$18:$E$39,'Land Price Phase Sc1&amp;2'!AQ16+1,0)</f>
        <v>750</v>
      </c>
      <c r="AR71" s="245">
        <f>VLOOKUP($H71,'Cost inputs'!$A$18:$E$39,'Land Price Phase Sc1&amp;2'!AR16+1,0)</f>
        <v>750</v>
      </c>
      <c r="AS71" s="245">
        <f>VLOOKUP($H71,'Cost inputs'!$A$18:$E$39,'Land Price Phase Sc1&amp;2'!AS16+1,0)</f>
        <v>750</v>
      </c>
      <c r="AT71" s="245">
        <f>VLOOKUP($H71,'Cost inputs'!$A$18:$E$39,'Land Price Phase Sc1&amp;2'!AT16+1,0)</f>
        <v>750</v>
      </c>
      <c r="AU71" s="245">
        <f>VLOOKUP($H71,'Cost inputs'!$A$18:$E$39,'Land Price Phase Sc1&amp;2'!AU16+1,0)</f>
        <v>750</v>
      </c>
    </row>
    <row r="72" spans="1:47" x14ac:dyDescent="0.3">
      <c r="A72" s="245" t="str">
        <f t="shared" si="36"/>
        <v>Warkworth</v>
      </c>
      <c r="B72" s="245" t="str">
        <f t="shared" si="36"/>
        <v>Warkworth North-East</v>
      </c>
      <c r="C72" s="245">
        <f t="shared" si="36"/>
        <v>2045</v>
      </c>
      <c r="D72" s="245">
        <f t="shared" si="36"/>
        <v>2041</v>
      </c>
      <c r="E72" s="245">
        <f t="shared" si="36"/>
        <v>2045</v>
      </c>
      <c r="F72" s="245">
        <f t="shared" si="36"/>
        <v>2049</v>
      </c>
      <c r="G72" s="245" t="str">
        <f t="shared" si="34"/>
        <v/>
      </c>
      <c r="H72" s="245" t="str">
        <f t="shared" si="35"/>
        <v>Warkworth</v>
      </c>
      <c r="I72" s="245">
        <f>VLOOKUP($H72,'Cost inputs'!$A$18:$E$39,'Land Price Phase Sc1&amp;2'!I17+1,0)</f>
        <v>75</v>
      </c>
      <c r="J72" s="245">
        <f>VLOOKUP($H72,'Cost inputs'!$A$18:$E$39,'Land Price Phase Sc1&amp;2'!J17+1,0)</f>
        <v>75</v>
      </c>
      <c r="K72" s="245">
        <f>VLOOKUP($H72,'Cost inputs'!$A$18:$E$39,'Land Price Phase Sc1&amp;2'!K17+1,0)</f>
        <v>75</v>
      </c>
      <c r="L72" s="245">
        <f>VLOOKUP($H72,'Cost inputs'!$A$18:$E$39,'Land Price Phase Sc1&amp;2'!L17+1,0)</f>
        <v>75</v>
      </c>
      <c r="M72" s="245">
        <f>VLOOKUP($H72,'Cost inputs'!$A$18:$E$39,'Land Price Phase Sc1&amp;2'!M17+1,0)</f>
        <v>75</v>
      </c>
      <c r="N72" s="245">
        <f>VLOOKUP($H72,'Cost inputs'!$A$18:$E$39,'Land Price Phase Sc1&amp;2'!N17+1,0)</f>
        <v>75</v>
      </c>
      <c r="O72" s="245">
        <f>VLOOKUP($H72,'Cost inputs'!$A$18:$E$39,'Land Price Phase Sc1&amp;2'!O17+1,0)</f>
        <v>75</v>
      </c>
      <c r="P72" s="245">
        <f>VLOOKUP($H72,'Cost inputs'!$A$18:$E$39,'Land Price Phase Sc1&amp;2'!P17+1,0)</f>
        <v>75</v>
      </c>
      <c r="Q72" s="245">
        <f>VLOOKUP($H72,'Cost inputs'!$A$18:$E$39,'Land Price Phase Sc1&amp;2'!Q17+1,0)</f>
        <v>75</v>
      </c>
      <c r="R72" s="245">
        <f>VLOOKUP($H72,'Cost inputs'!$A$18:$E$39,'Land Price Phase Sc1&amp;2'!R17+1,0)</f>
        <v>75</v>
      </c>
      <c r="S72" s="245">
        <f>VLOOKUP($H72,'Cost inputs'!$A$18:$E$39,'Land Price Phase Sc1&amp;2'!S17+1,0)</f>
        <v>75</v>
      </c>
      <c r="T72" s="245">
        <f>VLOOKUP($H72,'Cost inputs'!$A$18:$E$39,'Land Price Phase Sc1&amp;2'!T17+1,0)</f>
        <v>75</v>
      </c>
      <c r="U72" s="245">
        <f>VLOOKUP($H72,'Cost inputs'!$A$18:$E$39,'Land Price Phase Sc1&amp;2'!U17+1,0)</f>
        <v>75</v>
      </c>
      <c r="V72" s="245">
        <f>VLOOKUP($H72,'Cost inputs'!$A$18:$E$39,'Land Price Phase Sc1&amp;2'!V17+1,0)</f>
        <v>75</v>
      </c>
      <c r="W72" s="245">
        <f>VLOOKUP($H72,'Cost inputs'!$A$18:$E$39,'Land Price Phase Sc1&amp;2'!W17+1,0)</f>
        <v>75</v>
      </c>
      <c r="X72" s="245">
        <f>VLOOKUP($H72,'Cost inputs'!$A$18:$E$39,'Land Price Phase Sc1&amp;2'!X17+1,0)</f>
        <v>75</v>
      </c>
      <c r="Y72" s="245">
        <f>VLOOKUP($H72,'Cost inputs'!$A$18:$E$39,'Land Price Phase Sc1&amp;2'!Y17+1,0)</f>
        <v>75</v>
      </c>
      <c r="Z72" s="245">
        <f>VLOOKUP($H72,'Cost inputs'!$A$18:$E$39,'Land Price Phase Sc1&amp;2'!Z17+1,0)</f>
        <v>130</v>
      </c>
      <c r="AA72" s="245">
        <f>VLOOKUP($H72,'Cost inputs'!$A$18:$E$39,'Land Price Phase Sc1&amp;2'!AA17+1,0)</f>
        <v>130</v>
      </c>
      <c r="AB72" s="245">
        <f>VLOOKUP($H72,'Cost inputs'!$A$18:$E$39,'Land Price Phase Sc1&amp;2'!AB17+1,0)</f>
        <v>130</v>
      </c>
      <c r="AC72" s="245">
        <f>VLOOKUP($H72,'Cost inputs'!$A$18:$E$39,'Land Price Phase Sc1&amp;2'!AC17+1,0)</f>
        <v>130</v>
      </c>
      <c r="AD72" s="245">
        <f>VLOOKUP($H72,'Cost inputs'!$A$18:$E$39,'Land Price Phase Sc1&amp;2'!AD17+1,0)</f>
        <v>230</v>
      </c>
      <c r="AE72" s="245">
        <f>VLOOKUP($H72,'Cost inputs'!$A$18:$E$39,'Land Price Phase Sc1&amp;2'!AE17+1,0)</f>
        <v>230</v>
      </c>
      <c r="AF72" s="245">
        <f>VLOOKUP($H72,'Cost inputs'!$A$18:$E$39,'Land Price Phase Sc1&amp;2'!AF17+1,0)</f>
        <v>230</v>
      </c>
      <c r="AG72" s="245">
        <f>VLOOKUP($H72,'Cost inputs'!$A$18:$E$39,'Land Price Phase Sc1&amp;2'!AG17+1,0)</f>
        <v>230</v>
      </c>
      <c r="AH72" s="245">
        <f>VLOOKUP($H72,'Cost inputs'!$A$18:$E$39,'Land Price Phase Sc1&amp;2'!AH17+1,0)</f>
        <v>750</v>
      </c>
      <c r="AI72" s="245">
        <f>VLOOKUP($H72,'Cost inputs'!$A$18:$E$39,'Land Price Phase Sc1&amp;2'!AI17+1,0)</f>
        <v>750</v>
      </c>
      <c r="AJ72" s="245">
        <f>VLOOKUP($H72,'Cost inputs'!$A$18:$E$39,'Land Price Phase Sc1&amp;2'!AJ17+1,0)</f>
        <v>750</v>
      </c>
      <c r="AK72" s="245">
        <f>VLOOKUP($H72,'Cost inputs'!$A$18:$E$39,'Land Price Phase Sc1&amp;2'!AK17+1,0)</f>
        <v>750</v>
      </c>
      <c r="AL72" s="245">
        <f>VLOOKUP($H72,'Cost inputs'!$A$18:$E$39,'Land Price Phase Sc1&amp;2'!AL17+1,0)</f>
        <v>750</v>
      </c>
      <c r="AM72" s="245">
        <f>VLOOKUP($H72,'Cost inputs'!$A$18:$E$39,'Land Price Phase Sc1&amp;2'!AM17+1,0)</f>
        <v>750</v>
      </c>
      <c r="AN72" s="245">
        <f>VLOOKUP($H72,'Cost inputs'!$A$18:$E$39,'Land Price Phase Sc1&amp;2'!AN17+1,0)</f>
        <v>750</v>
      </c>
      <c r="AO72" s="245">
        <f>VLOOKUP($H72,'Cost inputs'!$A$18:$E$39,'Land Price Phase Sc1&amp;2'!AO17+1,0)</f>
        <v>750</v>
      </c>
      <c r="AP72" s="245">
        <f>VLOOKUP($H72,'Cost inputs'!$A$18:$E$39,'Land Price Phase Sc1&amp;2'!AP17+1,0)</f>
        <v>750</v>
      </c>
      <c r="AQ72" s="245">
        <f>VLOOKUP($H72,'Cost inputs'!$A$18:$E$39,'Land Price Phase Sc1&amp;2'!AQ17+1,0)</f>
        <v>750</v>
      </c>
      <c r="AR72" s="245">
        <f>VLOOKUP($H72,'Cost inputs'!$A$18:$E$39,'Land Price Phase Sc1&amp;2'!AR17+1,0)</f>
        <v>750</v>
      </c>
      <c r="AS72" s="245">
        <f>VLOOKUP($H72,'Cost inputs'!$A$18:$E$39,'Land Price Phase Sc1&amp;2'!AS17+1,0)</f>
        <v>750</v>
      </c>
      <c r="AT72" s="245">
        <f>VLOOKUP($H72,'Cost inputs'!$A$18:$E$39,'Land Price Phase Sc1&amp;2'!AT17+1,0)</f>
        <v>750</v>
      </c>
      <c r="AU72" s="245">
        <f>VLOOKUP($H72,'Cost inputs'!$A$18:$E$39,'Land Price Phase Sc1&amp;2'!AU17+1,0)</f>
        <v>750</v>
      </c>
    </row>
    <row r="73" spans="1:47" x14ac:dyDescent="0.3">
      <c r="A73" s="245" t="str">
        <f t="shared" si="36"/>
        <v>Warkworth</v>
      </c>
      <c r="B73" s="245" t="str">
        <f t="shared" si="36"/>
        <v>Warkworth South-Central</v>
      </c>
      <c r="C73" s="245">
        <f t="shared" si="36"/>
        <v>2040</v>
      </c>
      <c r="D73" s="245">
        <f t="shared" si="36"/>
        <v>2036</v>
      </c>
      <c r="E73" s="245">
        <f t="shared" si="36"/>
        <v>2040</v>
      </c>
      <c r="F73" s="245">
        <f t="shared" si="36"/>
        <v>2044</v>
      </c>
      <c r="G73" s="245" t="str">
        <f t="shared" si="34"/>
        <v/>
      </c>
      <c r="H73" s="245" t="str">
        <f t="shared" si="35"/>
        <v>Warkworth</v>
      </c>
      <c r="I73" s="245">
        <f>VLOOKUP($H73,'Cost inputs'!$A$18:$E$39,'Land Price Phase Sc1&amp;2'!I18+1,0)</f>
        <v>75</v>
      </c>
      <c r="J73" s="245">
        <f>VLOOKUP($H73,'Cost inputs'!$A$18:$E$39,'Land Price Phase Sc1&amp;2'!J18+1,0)</f>
        <v>75</v>
      </c>
      <c r="K73" s="245">
        <f>VLOOKUP($H73,'Cost inputs'!$A$18:$E$39,'Land Price Phase Sc1&amp;2'!K18+1,0)</f>
        <v>75</v>
      </c>
      <c r="L73" s="245">
        <f>VLOOKUP($H73,'Cost inputs'!$A$18:$E$39,'Land Price Phase Sc1&amp;2'!L18+1,0)</f>
        <v>75</v>
      </c>
      <c r="M73" s="245">
        <f>VLOOKUP($H73,'Cost inputs'!$A$18:$E$39,'Land Price Phase Sc1&amp;2'!M18+1,0)</f>
        <v>75</v>
      </c>
      <c r="N73" s="245">
        <f>VLOOKUP($H73,'Cost inputs'!$A$18:$E$39,'Land Price Phase Sc1&amp;2'!N18+1,0)</f>
        <v>75</v>
      </c>
      <c r="O73" s="245">
        <f>VLOOKUP($H73,'Cost inputs'!$A$18:$E$39,'Land Price Phase Sc1&amp;2'!O18+1,0)</f>
        <v>75</v>
      </c>
      <c r="P73" s="245">
        <f>VLOOKUP($H73,'Cost inputs'!$A$18:$E$39,'Land Price Phase Sc1&amp;2'!P18+1,0)</f>
        <v>75</v>
      </c>
      <c r="Q73" s="245">
        <f>VLOOKUP($H73,'Cost inputs'!$A$18:$E$39,'Land Price Phase Sc1&amp;2'!Q18+1,0)</f>
        <v>75</v>
      </c>
      <c r="R73" s="245">
        <f>VLOOKUP($H73,'Cost inputs'!$A$18:$E$39,'Land Price Phase Sc1&amp;2'!R18+1,0)</f>
        <v>75</v>
      </c>
      <c r="S73" s="245">
        <f>VLOOKUP($H73,'Cost inputs'!$A$18:$E$39,'Land Price Phase Sc1&amp;2'!S18+1,0)</f>
        <v>75</v>
      </c>
      <c r="T73" s="245">
        <f>VLOOKUP($H73,'Cost inputs'!$A$18:$E$39,'Land Price Phase Sc1&amp;2'!T18+1,0)</f>
        <v>75</v>
      </c>
      <c r="U73" s="245">
        <f>VLOOKUP($H73,'Cost inputs'!$A$18:$E$39,'Land Price Phase Sc1&amp;2'!U18+1,0)</f>
        <v>130</v>
      </c>
      <c r="V73" s="245">
        <f>VLOOKUP($H73,'Cost inputs'!$A$18:$E$39,'Land Price Phase Sc1&amp;2'!V18+1,0)</f>
        <v>130</v>
      </c>
      <c r="W73" s="245">
        <f>VLOOKUP($H73,'Cost inputs'!$A$18:$E$39,'Land Price Phase Sc1&amp;2'!W18+1,0)</f>
        <v>130</v>
      </c>
      <c r="X73" s="245">
        <f>VLOOKUP($H73,'Cost inputs'!$A$18:$E$39,'Land Price Phase Sc1&amp;2'!X18+1,0)</f>
        <v>130</v>
      </c>
      <c r="Y73" s="245">
        <f>VLOOKUP($H73,'Cost inputs'!$A$18:$E$39,'Land Price Phase Sc1&amp;2'!Y18+1,0)</f>
        <v>230</v>
      </c>
      <c r="Z73" s="245">
        <f>VLOOKUP($H73,'Cost inputs'!$A$18:$E$39,'Land Price Phase Sc1&amp;2'!Z18+1,0)</f>
        <v>230</v>
      </c>
      <c r="AA73" s="245">
        <f>VLOOKUP($H73,'Cost inputs'!$A$18:$E$39,'Land Price Phase Sc1&amp;2'!AA18+1,0)</f>
        <v>230</v>
      </c>
      <c r="AB73" s="245">
        <f>VLOOKUP($H73,'Cost inputs'!$A$18:$E$39,'Land Price Phase Sc1&amp;2'!AB18+1,0)</f>
        <v>230</v>
      </c>
      <c r="AC73" s="245">
        <f>VLOOKUP($H73,'Cost inputs'!$A$18:$E$39,'Land Price Phase Sc1&amp;2'!AC18+1,0)</f>
        <v>750</v>
      </c>
      <c r="AD73" s="245">
        <f>VLOOKUP($H73,'Cost inputs'!$A$18:$E$39,'Land Price Phase Sc1&amp;2'!AD18+1,0)</f>
        <v>750</v>
      </c>
      <c r="AE73" s="245">
        <f>VLOOKUP($H73,'Cost inputs'!$A$18:$E$39,'Land Price Phase Sc1&amp;2'!AE18+1,0)</f>
        <v>750</v>
      </c>
      <c r="AF73" s="245">
        <f>VLOOKUP($H73,'Cost inputs'!$A$18:$E$39,'Land Price Phase Sc1&amp;2'!AF18+1,0)</f>
        <v>750</v>
      </c>
      <c r="AG73" s="245">
        <f>VLOOKUP($H73,'Cost inputs'!$A$18:$E$39,'Land Price Phase Sc1&amp;2'!AG18+1,0)</f>
        <v>750</v>
      </c>
      <c r="AH73" s="245">
        <f>VLOOKUP($H73,'Cost inputs'!$A$18:$E$39,'Land Price Phase Sc1&amp;2'!AH18+1,0)</f>
        <v>750</v>
      </c>
      <c r="AI73" s="245">
        <f>VLOOKUP($H73,'Cost inputs'!$A$18:$E$39,'Land Price Phase Sc1&amp;2'!AI18+1,0)</f>
        <v>750</v>
      </c>
      <c r="AJ73" s="245">
        <f>VLOOKUP($H73,'Cost inputs'!$A$18:$E$39,'Land Price Phase Sc1&amp;2'!AJ18+1,0)</f>
        <v>750</v>
      </c>
      <c r="AK73" s="245">
        <f>VLOOKUP($H73,'Cost inputs'!$A$18:$E$39,'Land Price Phase Sc1&amp;2'!AK18+1,0)</f>
        <v>750</v>
      </c>
      <c r="AL73" s="245">
        <f>VLOOKUP($H73,'Cost inputs'!$A$18:$E$39,'Land Price Phase Sc1&amp;2'!AL18+1,0)</f>
        <v>750</v>
      </c>
      <c r="AM73" s="245">
        <f>VLOOKUP($H73,'Cost inputs'!$A$18:$E$39,'Land Price Phase Sc1&amp;2'!AM18+1,0)</f>
        <v>750</v>
      </c>
      <c r="AN73" s="245">
        <f>VLOOKUP($H73,'Cost inputs'!$A$18:$E$39,'Land Price Phase Sc1&amp;2'!AN18+1,0)</f>
        <v>750</v>
      </c>
      <c r="AO73" s="245">
        <f>VLOOKUP($H73,'Cost inputs'!$A$18:$E$39,'Land Price Phase Sc1&amp;2'!AO18+1,0)</f>
        <v>750</v>
      </c>
      <c r="AP73" s="245">
        <f>VLOOKUP($H73,'Cost inputs'!$A$18:$E$39,'Land Price Phase Sc1&amp;2'!AP18+1,0)</f>
        <v>750</v>
      </c>
      <c r="AQ73" s="245">
        <f>VLOOKUP($H73,'Cost inputs'!$A$18:$E$39,'Land Price Phase Sc1&amp;2'!AQ18+1,0)</f>
        <v>750</v>
      </c>
      <c r="AR73" s="245">
        <f>VLOOKUP($H73,'Cost inputs'!$A$18:$E$39,'Land Price Phase Sc1&amp;2'!AR18+1,0)</f>
        <v>750</v>
      </c>
      <c r="AS73" s="245">
        <f>VLOOKUP($H73,'Cost inputs'!$A$18:$E$39,'Land Price Phase Sc1&amp;2'!AS18+1,0)</f>
        <v>750</v>
      </c>
      <c r="AT73" s="245">
        <f>VLOOKUP($H73,'Cost inputs'!$A$18:$E$39,'Land Price Phase Sc1&amp;2'!AT18+1,0)</f>
        <v>750</v>
      </c>
      <c r="AU73" s="245">
        <f>VLOOKUP($H73,'Cost inputs'!$A$18:$E$39,'Land Price Phase Sc1&amp;2'!AU18+1,0)</f>
        <v>750</v>
      </c>
    </row>
    <row r="74" spans="1:47" x14ac:dyDescent="0.3">
      <c r="A74" s="245" t="str">
        <f t="shared" si="36"/>
        <v>Warkworth</v>
      </c>
      <c r="B74" s="245" t="str">
        <f t="shared" si="36"/>
        <v>Warkworth South-East, South-west</v>
      </c>
      <c r="C74" s="245">
        <f t="shared" si="36"/>
        <v>2045</v>
      </c>
      <c r="D74" s="245">
        <f t="shared" si="36"/>
        <v>2041</v>
      </c>
      <c r="E74" s="245">
        <f t="shared" si="36"/>
        <v>2045</v>
      </c>
      <c r="F74" s="245">
        <f t="shared" si="36"/>
        <v>2049</v>
      </c>
      <c r="G74" s="245" t="str">
        <f t="shared" si="34"/>
        <v/>
      </c>
      <c r="H74" s="245" t="str">
        <f t="shared" si="35"/>
        <v>Warkworth</v>
      </c>
      <c r="I74" s="245">
        <f>VLOOKUP($H74,'Cost inputs'!$A$18:$E$39,'Land Price Phase Sc1&amp;2'!I19+1,0)</f>
        <v>75</v>
      </c>
      <c r="J74" s="245">
        <f>VLOOKUP($H74,'Cost inputs'!$A$18:$E$39,'Land Price Phase Sc1&amp;2'!J19+1,0)</f>
        <v>75</v>
      </c>
      <c r="K74" s="245">
        <f>VLOOKUP($H74,'Cost inputs'!$A$18:$E$39,'Land Price Phase Sc1&amp;2'!K19+1,0)</f>
        <v>75</v>
      </c>
      <c r="L74" s="245">
        <f>VLOOKUP($H74,'Cost inputs'!$A$18:$E$39,'Land Price Phase Sc1&amp;2'!L19+1,0)</f>
        <v>75</v>
      </c>
      <c r="M74" s="245">
        <f>VLOOKUP($H74,'Cost inputs'!$A$18:$E$39,'Land Price Phase Sc1&amp;2'!M19+1,0)</f>
        <v>75</v>
      </c>
      <c r="N74" s="245">
        <f>VLOOKUP($H74,'Cost inputs'!$A$18:$E$39,'Land Price Phase Sc1&amp;2'!N19+1,0)</f>
        <v>75</v>
      </c>
      <c r="O74" s="245">
        <f>VLOOKUP($H74,'Cost inputs'!$A$18:$E$39,'Land Price Phase Sc1&amp;2'!O19+1,0)</f>
        <v>75</v>
      </c>
      <c r="P74" s="245">
        <f>VLOOKUP($H74,'Cost inputs'!$A$18:$E$39,'Land Price Phase Sc1&amp;2'!P19+1,0)</f>
        <v>75</v>
      </c>
      <c r="Q74" s="245">
        <f>VLOOKUP($H74,'Cost inputs'!$A$18:$E$39,'Land Price Phase Sc1&amp;2'!Q19+1,0)</f>
        <v>75</v>
      </c>
      <c r="R74" s="245">
        <f>VLOOKUP($H74,'Cost inputs'!$A$18:$E$39,'Land Price Phase Sc1&amp;2'!R19+1,0)</f>
        <v>75</v>
      </c>
      <c r="S74" s="245">
        <f>VLOOKUP($H74,'Cost inputs'!$A$18:$E$39,'Land Price Phase Sc1&amp;2'!S19+1,0)</f>
        <v>75</v>
      </c>
      <c r="T74" s="245">
        <f>VLOOKUP($H74,'Cost inputs'!$A$18:$E$39,'Land Price Phase Sc1&amp;2'!T19+1,0)</f>
        <v>75</v>
      </c>
      <c r="U74" s="245">
        <f>VLOOKUP($H74,'Cost inputs'!$A$18:$E$39,'Land Price Phase Sc1&amp;2'!U19+1,0)</f>
        <v>75</v>
      </c>
      <c r="V74" s="245">
        <f>VLOOKUP($H74,'Cost inputs'!$A$18:$E$39,'Land Price Phase Sc1&amp;2'!V19+1,0)</f>
        <v>75</v>
      </c>
      <c r="W74" s="245">
        <f>VLOOKUP($H74,'Cost inputs'!$A$18:$E$39,'Land Price Phase Sc1&amp;2'!W19+1,0)</f>
        <v>75</v>
      </c>
      <c r="X74" s="245">
        <f>VLOOKUP($H74,'Cost inputs'!$A$18:$E$39,'Land Price Phase Sc1&amp;2'!X19+1,0)</f>
        <v>75</v>
      </c>
      <c r="Y74" s="245">
        <f>VLOOKUP($H74,'Cost inputs'!$A$18:$E$39,'Land Price Phase Sc1&amp;2'!Y19+1,0)</f>
        <v>75</v>
      </c>
      <c r="Z74" s="245">
        <f>VLOOKUP($H74,'Cost inputs'!$A$18:$E$39,'Land Price Phase Sc1&amp;2'!Z19+1,0)</f>
        <v>130</v>
      </c>
      <c r="AA74" s="245">
        <f>VLOOKUP($H74,'Cost inputs'!$A$18:$E$39,'Land Price Phase Sc1&amp;2'!AA19+1,0)</f>
        <v>130</v>
      </c>
      <c r="AB74" s="245">
        <f>VLOOKUP($H74,'Cost inputs'!$A$18:$E$39,'Land Price Phase Sc1&amp;2'!AB19+1,0)</f>
        <v>130</v>
      </c>
      <c r="AC74" s="245">
        <f>VLOOKUP($H74,'Cost inputs'!$A$18:$E$39,'Land Price Phase Sc1&amp;2'!AC19+1,0)</f>
        <v>130</v>
      </c>
      <c r="AD74" s="245">
        <f>VLOOKUP($H74,'Cost inputs'!$A$18:$E$39,'Land Price Phase Sc1&amp;2'!AD19+1,0)</f>
        <v>230</v>
      </c>
      <c r="AE74" s="245">
        <f>VLOOKUP($H74,'Cost inputs'!$A$18:$E$39,'Land Price Phase Sc1&amp;2'!AE19+1,0)</f>
        <v>230</v>
      </c>
      <c r="AF74" s="245">
        <f>VLOOKUP($H74,'Cost inputs'!$A$18:$E$39,'Land Price Phase Sc1&amp;2'!AF19+1,0)</f>
        <v>230</v>
      </c>
      <c r="AG74" s="245">
        <f>VLOOKUP($H74,'Cost inputs'!$A$18:$E$39,'Land Price Phase Sc1&amp;2'!AG19+1,0)</f>
        <v>230</v>
      </c>
      <c r="AH74" s="245">
        <f>VLOOKUP($H74,'Cost inputs'!$A$18:$E$39,'Land Price Phase Sc1&amp;2'!AH19+1,0)</f>
        <v>750</v>
      </c>
      <c r="AI74" s="245">
        <f>VLOOKUP($H74,'Cost inputs'!$A$18:$E$39,'Land Price Phase Sc1&amp;2'!AI19+1,0)</f>
        <v>750</v>
      </c>
      <c r="AJ74" s="245">
        <f>VLOOKUP($H74,'Cost inputs'!$A$18:$E$39,'Land Price Phase Sc1&amp;2'!AJ19+1,0)</f>
        <v>750</v>
      </c>
      <c r="AK74" s="245">
        <f>VLOOKUP($H74,'Cost inputs'!$A$18:$E$39,'Land Price Phase Sc1&amp;2'!AK19+1,0)</f>
        <v>750</v>
      </c>
      <c r="AL74" s="245">
        <f>VLOOKUP($H74,'Cost inputs'!$A$18:$E$39,'Land Price Phase Sc1&amp;2'!AL19+1,0)</f>
        <v>750</v>
      </c>
      <c r="AM74" s="245">
        <f>VLOOKUP($H74,'Cost inputs'!$A$18:$E$39,'Land Price Phase Sc1&amp;2'!AM19+1,0)</f>
        <v>750</v>
      </c>
      <c r="AN74" s="245">
        <f>VLOOKUP($H74,'Cost inputs'!$A$18:$E$39,'Land Price Phase Sc1&amp;2'!AN19+1,0)</f>
        <v>750</v>
      </c>
      <c r="AO74" s="245">
        <f>VLOOKUP($H74,'Cost inputs'!$A$18:$E$39,'Land Price Phase Sc1&amp;2'!AO19+1,0)</f>
        <v>750</v>
      </c>
      <c r="AP74" s="245">
        <f>VLOOKUP($H74,'Cost inputs'!$A$18:$E$39,'Land Price Phase Sc1&amp;2'!AP19+1,0)</f>
        <v>750</v>
      </c>
      <c r="AQ74" s="245">
        <f>VLOOKUP($H74,'Cost inputs'!$A$18:$E$39,'Land Price Phase Sc1&amp;2'!AQ19+1,0)</f>
        <v>750</v>
      </c>
      <c r="AR74" s="245">
        <f>VLOOKUP($H74,'Cost inputs'!$A$18:$E$39,'Land Price Phase Sc1&amp;2'!AR19+1,0)</f>
        <v>750</v>
      </c>
      <c r="AS74" s="245">
        <f>VLOOKUP($H74,'Cost inputs'!$A$18:$E$39,'Land Price Phase Sc1&amp;2'!AS19+1,0)</f>
        <v>750</v>
      </c>
      <c r="AT74" s="245">
        <f>VLOOKUP($H74,'Cost inputs'!$A$18:$E$39,'Land Price Phase Sc1&amp;2'!AT19+1,0)</f>
        <v>750</v>
      </c>
      <c r="AU74" s="245">
        <f>VLOOKUP($H74,'Cost inputs'!$A$18:$E$39,'Land Price Phase Sc1&amp;2'!AU19+1,0)</f>
        <v>750</v>
      </c>
    </row>
    <row r="75" spans="1:47" x14ac:dyDescent="0.3">
      <c r="A75" s="245" t="str">
        <f t="shared" ref="A75:F75" si="37">A20</f>
        <v>Warkworth</v>
      </c>
      <c r="B75" s="245" t="str">
        <f t="shared" si="37"/>
        <v>Warkworth N LZ</v>
      </c>
      <c r="C75" s="245">
        <f t="shared" si="37"/>
        <v>0</v>
      </c>
      <c r="D75" s="245">
        <f t="shared" si="37"/>
        <v>2022</v>
      </c>
      <c r="E75" s="245">
        <f t="shared" si="37"/>
        <v>2026</v>
      </c>
      <c r="F75" s="245">
        <f t="shared" si="37"/>
        <v>2030</v>
      </c>
      <c r="G75" s="245" t="str">
        <f t="shared" ref="G75:G76" si="38">IF(G20="","",G20)</f>
        <v/>
      </c>
      <c r="H75" s="245" t="str">
        <f t="shared" ref="H75:H76" si="39">H20</f>
        <v>Warkworth</v>
      </c>
      <c r="I75" s="245">
        <f>VLOOKUP($H75,'Cost inputs'!$A$18:$E$39,'Land Price Phase Sc1&amp;2'!I20+1,0)</f>
        <v>130</v>
      </c>
      <c r="J75" s="245">
        <f>VLOOKUP($H75,'Cost inputs'!$A$18:$E$39,'Land Price Phase Sc1&amp;2'!J20+1,0)</f>
        <v>130</v>
      </c>
      <c r="K75" s="245">
        <f>VLOOKUP($H75,'Cost inputs'!$A$18:$E$39,'Land Price Phase Sc1&amp;2'!K20+1,0)</f>
        <v>230</v>
      </c>
      <c r="L75" s="245">
        <f>VLOOKUP($H75,'Cost inputs'!$A$18:$E$39,'Land Price Phase Sc1&amp;2'!L20+1,0)</f>
        <v>230</v>
      </c>
      <c r="M75" s="245">
        <f>VLOOKUP($H75,'Cost inputs'!$A$18:$E$39,'Land Price Phase Sc1&amp;2'!M20+1,0)</f>
        <v>230</v>
      </c>
      <c r="N75" s="245">
        <f>VLOOKUP($H75,'Cost inputs'!$A$18:$E$39,'Land Price Phase Sc1&amp;2'!N20+1,0)</f>
        <v>230</v>
      </c>
      <c r="O75" s="245">
        <f>VLOOKUP($H75,'Cost inputs'!$A$18:$E$39,'Land Price Phase Sc1&amp;2'!O20+1,0)</f>
        <v>750</v>
      </c>
      <c r="P75" s="245">
        <f>VLOOKUP($H75,'Cost inputs'!$A$18:$E$39,'Land Price Phase Sc1&amp;2'!P20+1,0)</f>
        <v>750</v>
      </c>
      <c r="Q75" s="245">
        <f>VLOOKUP($H75,'Cost inputs'!$A$18:$E$39,'Land Price Phase Sc1&amp;2'!Q20+1,0)</f>
        <v>750</v>
      </c>
      <c r="R75" s="245">
        <f>VLOOKUP($H75,'Cost inputs'!$A$18:$E$39,'Land Price Phase Sc1&amp;2'!R20+1,0)</f>
        <v>750</v>
      </c>
      <c r="S75" s="245">
        <f>VLOOKUP($H75,'Cost inputs'!$A$18:$E$39,'Land Price Phase Sc1&amp;2'!S20+1,0)</f>
        <v>750</v>
      </c>
      <c r="T75" s="245">
        <f>VLOOKUP($H75,'Cost inputs'!$A$18:$E$39,'Land Price Phase Sc1&amp;2'!T20+1,0)</f>
        <v>750</v>
      </c>
      <c r="U75" s="245">
        <f>VLOOKUP($H75,'Cost inputs'!$A$18:$E$39,'Land Price Phase Sc1&amp;2'!U20+1,0)</f>
        <v>750</v>
      </c>
      <c r="V75" s="245">
        <f>VLOOKUP($H75,'Cost inputs'!$A$18:$E$39,'Land Price Phase Sc1&amp;2'!V20+1,0)</f>
        <v>750</v>
      </c>
      <c r="W75" s="245">
        <f>VLOOKUP($H75,'Cost inputs'!$A$18:$E$39,'Land Price Phase Sc1&amp;2'!W20+1,0)</f>
        <v>750</v>
      </c>
      <c r="X75" s="245">
        <f>VLOOKUP($H75,'Cost inputs'!$A$18:$E$39,'Land Price Phase Sc1&amp;2'!X20+1,0)</f>
        <v>750</v>
      </c>
      <c r="Y75" s="245">
        <f>VLOOKUP($H75,'Cost inputs'!$A$18:$E$39,'Land Price Phase Sc1&amp;2'!Y20+1,0)</f>
        <v>750</v>
      </c>
      <c r="Z75" s="245">
        <f>VLOOKUP($H75,'Cost inputs'!$A$18:$E$39,'Land Price Phase Sc1&amp;2'!Z20+1,0)</f>
        <v>750</v>
      </c>
      <c r="AA75" s="245">
        <f>VLOOKUP($H75,'Cost inputs'!$A$18:$E$39,'Land Price Phase Sc1&amp;2'!AA20+1,0)</f>
        <v>750</v>
      </c>
      <c r="AB75" s="245">
        <f>VLOOKUP($H75,'Cost inputs'!$A$18:$E$39,'Land Price Phase Sc1&amp;2'!AB20+1,0)</f>
        <v>750</v>
      </c>
      <c r="AC75" s="245">
        <f>VLOOKUP($H75,'Cost inputs'!$A$18:$E$39,'Land Price Phase Sc1&amp;2'!AC20+1,0)</f>
        <v>750</v>
      </c>
      <c r="AD75" s="245">
        <f>VLOOKUP($H75,'Cost inputs'!$A$18:$E$39,'Land Price Phase Sc1&amp;2'!AD20+1,0)</f>
        <v>750</v>
      </c>
      <c r="AE75" s="245">
        <f>VLOOKUP($H75,'Cost inputs'!$A$18:$E$39,'Land Price Phase Sc1&amp;2'!AE20+1,0)</f>
        <v>750</v>
      </c>
      <c r="AF75" s="245">
        <f>VLOOKUP($H75,'Cost inputs'!$A$18:$E$39,'Land Price Phase Sc1&amp;2'!AF20+1,0)</f>
        <v>750</v>
      </c>
      <c r="AG75" s="245">
        <f>VLOOKUP($H75,'Cost inputs'!$A$18:$E$39,'Land Price Phase Sc1&amp;2'!AG20+1,0)</f>
        <v>750</v>
      </c>
      <c r="AH75" s="245">
        <f>VLOOKUP($H75,'Cost inputs'!$A$18:$E$39,'Land Price Phase Sc1&amp;2'!AH20+1,0)</f>
        <v>750</v>
      </c>
      <c r="AI75" s="245">
        <f>VLOOKUP($H75,'Cost inputs'!$A$18:$E$39,'Land Price Phase Sc1&amp;2'!AI20+1,0)</f>
        <v>750</v>
      </c>
      <c r="AJ75" s="245">
        <f>VLOOKUP($H75,'Cost inputs'!$A$18:$E$39,'Land Price Phase Sc1&amp;2'!AJ20+1,0)</f>
        <v>750</v>
      </c>
      <c r="AK75" s="245">
        <f>VLOOKUP($H75,'Cost inputs'!$A$18:$E$39,'Land Price Phase Sc1&amp;2'!AK20+1,0)</f>
        <v>750</v>
      </c>
      <c r="AL75" s="245">
        <f>VLOOKUP($H75,'Cost inputs'!$A$18:$E$39,'Land Price Phase Sc1&amp;2'!AL20+1,0)</f>
        <v>750</v>
      </c>
      <c r="AM75" s="245">
        <f>VLOOKUP($H75,'Cost inputs'!$A$18:$E$39,'Land Price Phase Sc1&amp;2'!AM20+1,0)</f>
        <v>750</v>
      </c>
      <c r="AN75" s="245">
        <f>VLOOKUP($H75,'Cost inputs'!$A$18:$E$39,'Land Price Phase Sc1&amp;2'!AN20+1,0)</f>
        <v>750</v>
      </c>
      <c r="AO75" s="245">
        <f>VLOOKUP($H75,'Cost inputs'!$A$18:$E$39,'Land Price Phase Sc1&amp;2'!AO20+1,0)</f>
        <v>750</v>
      </c>
      <c r="AP75" s="245">
        <f>VLOOKUP($H75,'Cost inputs'!$A$18:$E$39,'Land Price Phase Sc1&amp;2'!AP20+1,0)</f>
        <v>750</v>
      </c>
      <c r="AQ75" s="245">
        <f>VLOOKUP($H75,'Cost inputs'!$A$18:$E$39,'Land Price Phase Sc1&amp;2'!AQ20+1,0)</f>
        <v>750</v>
      </c>
      <c r="AR75" s="245">
        <f>VLOOKUP($H75,'Cost inputs'!$A$18:$E$39,'Land Price Phase Sc1&amp;2'!AR20+1,0)</f>
        <v>750</v>
      </c>
      <c r="AS75" s="245">
        <f>VLOOKUP($H75,'Cost inputs'!$A$18:$E$39,'Land Price Phase Sc1&amp;2'!AS20+1,0)</f>
        <v>750</v>
      </c>
      <c r="AT75" s="245">
        <f>VLOOKUP($H75,'Cost inputs'!$A$18:$E$39,'Land Price Phase Sc1&amp;2'!AT20+1,0)</f>
        <v>750</v>
      </c>
      <c r="AU75" s="245">
        <f>VLOOKUP($H75,'Cost inputs'!$A$18:$E$39,'Land Price Phase Sc1&amp;2'!AU20+1,0)</f>
        <v>750</v>
      </c>
    </row>
    <row r="76" spans="1:47" x14ac:dyDescent="0.3">
      <c r="A76" s="245" t="str">
        <f t="shared" ref="A76:F76" si="40">A21</f>
        <v>Warkworth</v>
      </c>
      <c r="B76" s="245" t="str">
        <f t="shared" si="40"/>
        <v>Warkworth West LZ</v>
      </c>
      <c r="C76" s="245">
        <f t="shared" si="40"/>
        <v>0</v>
      </c>
      <c r="D76" s="245">
        <f t="shared" si="40"/>
        <v>2023</v>
      </c>
      <c r="E76" s="245">
        <f t="shared" si="40"/>
        <v>2027</v>
      </c>
      <c r="F76" s="245">
        <f t="shared" si="40"/>
        <v>2031</v>
      </c>
      <c r="G76" s="245" t="str">
        <f t="shared" si="38"/>
        <v/>
      </c>
      <c r="H76" s="245" t="str">
        <f t="shared" si="39"/>
        <v>Warkworth</v>
      </c>
      <c r="I76" s="245">
        <f>VLOOKUP($H76,'Cost inputs'!$A$18:$E$39,'Land Price Phase Sc1&amp;2'!I21+1,0)</f>
        <v>130</v>
      </c>
      <c r="J76" s="245">
        <f>VLOOKUP($H76,'Cost inputs'!$A$18:$E$39,'Land Price Phase Sc1&amp;2'!J21+1,0)</f>
        <v>130</v>
      </c>
      <c r="K76" s="245">
        <f>VLOOKUP($H76,'Cost inputs'!$A$18:$E$39,'Land Price Phase Sc1&amp;2'!K21+1,0)</f>
        <v>130</v>
      </c>
      <c r="L76" s="245">
        <f>VLOOKUP($H76,'Cost inputs'!$A$18:$E$39,'Land Price Phase Sc1&amp;2'!L21+1,0)</f>
        <v>230</v>
      </c>
      <c r="M76" s="245">
        <f>VLOOKUP($H76,'Cost inputs'!$A$18:$E$39,'Land Price Phase Sc1&amp;2'!M21+1,0)</f>
        <v>230</v>
      </c>
      <c r="N76" s="245">
        <f>VLOOKUP($H76,'Cost inputs'!$A$18:$E$39,'Land Price Phase Sc1&amp;2'!N21+1,0)</f>
        <v>230</v>
      </c>
      <c r="O76" s="245">
        <f>VLOOKUP($H76,'Cost inputs'!$A$18:$E$39,'Land Price Phase Sc1&amp;2'!O21+1,0)</f>
        <v>230</v>
      </c>
      <c r="P76" s="245">
        <f>VLOOKUP($H76,'Cost inputs'!$A$18:$E$39,'Land Price Phase Sc1&amp;2'!P21+1,0)</f>
        <v>750</v>
      </c>
      <c r="Q76" s="245">
        <f>VLOOKUP($H76,'Cost inputs'!$A$18:$E$39,'Land Price Phase Sc1&amp;2'!Q21+1,0)</f>
        <v>750</v>
      </c>
      <c r="R76" s="245">
        <f>VLOOKUP($H76,'Cost inputs'!$A$18:$E$39,'Land Price Phase Sc1&amp;2'!R21+1,0)</f>
        <v>750</v>
      </c>
      <c r="S76" s="245">
        <f>VLOOKUP($H76,'Cost inputs'!$A$18:$E$39,'Land Price Phase Sc1&amp;2'!S21+1,0)</f>
        <v>750</v>
      </c>
      <c r="T76" s="245">
        <f>VLOOKUP($H76,'Cost inputs'!$A$18:$E$39,'Land Price Phase Sc1&amp;2'!T21+1,0)</f>
        <v>750</v>
      </c>
      <c r="U76" s="245">
        <f>VLOOKUP($H76,'Cost inputs'!$A$18:$E$39,'Land Price Phase Sc1&amp;2'!U21+1,0)</f>
        <v>750</v>
      </c>
      <c r="V76" s="245">
        <f>VLOOKUP($H76,'Cost inputs'!$A$18:$E$39,'Land Price Phase Sc1&amp;2'!V21+1,0)</f>
        <v>750</v>
      </c>
      <c r="W76" s="245">
        <f>VLOOKUP($H76,'Cost inputs'!$A$18:$E$39,'Land Price Phase Sc1&amp;2'!W21+1,0)</f>
        <v>750</v>
      </c>
      <c r="X76" s="245">
        <f>VLOOKUP($H76,'Cost inputs'!$A$18:$E$39,'Land Price Phase Sc1&amp;2'!X21+1,0)</f>
        <v>750</v>
      </c>
      <c r="Y76" s="245">
        <f>VLOOKUP($H76,'Cost inputs'!$A$18:$E$39,'Land Price Phase Sc1&amp;2'!Y21+1,0)</f>
        <v>750</v>
      </c>
      <c r="Z76" s="245">
        <f>VLOOKUP($H76,'Cost inputs'!$A$18:$E$39,'Land Price Phase Sc1&amp;2'!Z21+1,0)</f>
        <v>750</v>
      </c>
      <c r="AA76" s="245">
        <f>VLOOKUP($H76,'Cost inputs'!$A$18:$E$39,'Land Price Phase Sc1&amp;2'!AA21+1,0)</f>
        <v>750</v>
      </c>
      <c r="AB76" s="245">
        <f>VLOOKUP($H76,'Cost inputs'!$A$18:$E$39,'Land Price Phase Sc1&amp;2'!AB21+1,0)</f>
        <v>750</v>
      </c>
      <c r="AC76" s="245">
        <f>VLOOKUP($H76,'Cost inputs'!$A$18:$E$39,'Land Price Phase Sc1&amp;2'!AC21+1,0)</f>
        <v>750</v>
      </c>
      <c r="AD76" s="245">
        <f>VLOOKUP($H76,'Cost inputs'!$A$18:$E$39,'Land Price Phase Sc1&amp;2'!AD21+1,0)</f>
        <v>750</v>
      </c>
      <c r="AE76" s="245">
        <f>VLOOKUP($H76,'Cost inputs'!$A$18:$E$39,'Land Price Phase Sc1&amp;2'!AE21+1,0)</f>
        <v>750</v>
      </c>
      <c r="AF76" s="245">
        <f>VLOOKUP($H76,'Cost inputs'!$A$18:$E$39,'Land Price Phase Sc1&amp;2'!AF21+1,0)</f>
        <v>750</v>
      </c>
      <c r="AG76" s="245">
        <f>VLOOKUP($H76,'Cost inputs'!$A$18:$E$39,'Land Price Phase Sc1&amp;2'!AG21+1,0)</f>
        <v>750</v>
      </c>
      <c r="AH76" s="245">
        <f>VLOOKUP($H76,'Cost inputs'!$A$18:$E$39,'Land Price Phase Sc1&amp;2'!AH21+1,0)</f>
        <v>750</v>
      </c>
      <c r="AI76" s="245">
        <f>VLOOKUP($H76,'Cost inputs'!$A$18:$E$39,'Land Price Phase Sc1&amp;2'!AI21+1,0)</f>
        <v>750</v>
      </c>
      <c r="AJ76" s="245">
        <f>VLOOKUP($H76,'Cost inputs'!$A$18:$E$39,'Land Price Phase Sc1&amp;2'!AJ21+1,0)</f>
        <v>750</v>
      </c>
      <c r="AK76" s="245">
        <f>VLOOKUP($H76,'Cost inputs'!$A$18:$E$39,'Land Price Phase Sc1&amp;2'!AK21+1,0)</f>
        <v>750</v>
      </c>
      <c r="AL76" s="245">
        <f>VLOOKUP($H76,'Cost inputs'!$A$18:$E$39,'Land Price Phase Sc1&amp;2'!AL21+1,0)</f>
        <v>750</v>
      </c>
      <c r="AM76" s="245">
        <f>VLOOKUP($H76,'Cost inputs'!$A$18:$E$39,'Land Price Phase Sc1&amp;2'!AM21+1,0)</f>
        <v>750</v>
      </c>
      <c r="AN76" s="245">
        <f>VLOOKUP($H76,'Cost inputs'!$A$18:$E$39,'Land Price Phase Sc1&amp;2'!AN21+1,0)</f>
        <v>750</v>
      </c>
      <c r="AO76" s="245">
        <f>VLOOKUP($H76,'Cost inputs'!$A$18:$E$39,'Land Price Phase Sc1&amp;2'!AO21+1,0)</f>
        <v>750</v>
      </c>
      <c r="AP76" s="245">
        <f>VLOOKUP($H76,'Cost inputs'!$A$18:$E$39,'Land Price Phase Sc1&amp;2'!AP21+1,0)</f>
        <v>750</v>
      </c>
      <c r="AQ76" s="245">
        <f>VLOOKUP($H76,'Cost inputs'!$A$18:$E$39,'Land Price Phase Sc1&amp;2'!AQ21+1,0)</f>
        <v>750</v>
      </c>
      <c r="AR76" s="245">
        <f>VLOOKUP($H76,'Cost inputs'!$A$18:$E$39,'Land Price Phase Sc1&amp;2'!AR21+1,0)</f>
        <v>750</v>
      </c>
      <c r="AS76" s="245">
        <f>VLOOKUP($H76,'Cost inputs'!$A$18:$E$39,'Land Price Phase Sc1&amp;2'!AS21+1,0)</f>
        <v>750</v>
      </c>
      <c r="AT76" s="245">
        <f>VLOOKUP($H76,'Cost inputs'!$A$18:$E$39,'Land Price Phase Sc1&amp;2'!AT21+1,0)</f>
        <v>750</v>
      </c>
      <c r="AU76" s="245">
        <f>VLOOKUP($H76,'Cost inputs'!$A$18:$E$39,'Land Price Phase Sc1&amp;2'!AU21+1,0)</f>
        <v>750</v>
      </c>
    </row>
    <row r="77" spans="1:47" x14ac:dyDescent="0.3">
      <c r="A77" s="245" t="str">
        <f t="shared" ref="A77:F86" si="41">A22</f>
        <v>North</v>
      </c>
      <c r="B77" s="245" t="str">
        <f t="shared" si="41"/>
        <v>Silverdale West (Stage 1)</v>
      </c>
      <c r="C77" s="245">
        <f t="shared" si="41"/>
        <v>2030</v>
      </c>
      <c r="D77" s="245">
        <f t="shared" si="41"/>
        <v>2026</v>
      </c>
      <c r="E77" s="245">
        <f t="shared" si="41"/>
        <v>2030</v>
      </c>
      <c r="F77" s="245">
        <f t="shared" si="41"/>
        <v>2034</v>
      </c>
      <c r="G77" s="245" t="str">
        <f t="shared" ref="G77:G110" si="42">IF(G22="","",G22)</f>
        <v/>
      </c>
      <c r="H77" s="245" t="str">
        <f t="shared" ref="H77:H105" si="43">H22</f>
        <v>Dairy Flat</v>
      </c>
      <c r="I77" s="245">
        <f>VLOOKUP($H77,'Cost inputs'!$A$18:$E$39,'Land Price Phase Sc1&amp;2'!I22+1,0)</f>
        <v>85</v>
      </c>
      <c r="J77" s="245">
        <f>VLOOKUP($H77,'Cost inputs'!$A$18:$E$39,'Land Price Phase Sc1&amp;2'!J22+1,0)</f>
        <v>85</v>
      </c>
      <c r="K77" s="245">
        <f>VLOOKUP($H77,'Cost inputs'!$A$18:$E$39,'Land Price Phase Sc1&amp;2'!K22+1,0)</f>
        <v>225</v>
      </c>
      <c r="L77" s="245">
        <f>VLOOKUP($H77,'Cost inputs'!$A$18:$E$39,'Land Price Phase Sc1&amp;2'!L22+1,0)</f>
        <v>225</v>
      </c>
      <c r="M77" s="245">
        <f>VLOOKUP($H77,'Cost inputs'!$A$18:$E$39,'Land Price Phase Sc1&amp;2'!M22+1,0)</f>
        <v>225</v>
      </c>
      <c r="N77" s="245">
        <f>VLOOKUP($H77,'Cost inputs'!$A$18:$E$39,'Land Price Phase Sc1&amp;2'!N22+1,0)</f>
        <v>225</v>
      </c>
      <c r="O77" s="245">
        <f>VLOOKUP($H77,'Cost inputs'!$A$18:$E$39,'Land Price Phase Sc1&amp;2'!O22+1,0)</f>
        <v>400</v>
      </c>
      <c r="P77" s="245">
        <f>VLOOKUP($H77,'Cost inputs'!$A$18:$E$39,'Land Price Phase Sc1&amp;2'!P22+1,0)</f>
        <v>400</v>
      </c>
      <c r="Q77" s="245">
        <f>VLOOKUP($H77,'Cost inputs'!$A$18:$E$39,'Land Price Phase Sc1&amp;2'!Q22+1,0)</f>
        <v>400</v>
      </c>
      <c r="R77" s="245">
        <f>VLOOKUP($H77,'Cost inputs'!$A$18:$E$39,'Land Price Phase Sc1&amp;2'!R22+1,0)</f>
        <v>400</v>
      </c>
      <c r="S77" s="245">
        <f>VLOOKUP($H77,'Cost inputs'!$A$18:$E$39,'Land Price Phase Sc1&amp;2'!S22+1,0)</f>
        <v>1200</v>
      </c>
      <c r="T77" s="245">
        <f>VLOOKUP($H77,'Cost inputs'!$A$18:$E$39,'Land Price Phase Sc1&amp;2'!T22+1,0)</f>
        <v>1200</v>
      </c>
      <c r="U77" s="245">
        <f>VLOOKUP($H77,'Cost inputs'!$A$18:$E$39,'Land Price Phase Sc1&amp;2'!U22+1,0)</f>
        <v>1200</v>
      </c>
      <c r="V77" s="245">
        <f>VLOOKUP($H77,'Cost inputs'!$A$18:$E$39,'Land Price Phase Sc1&amp;2'!V22+1,0)</f>
        <v>1200</v>
      </c>
      <c r="W77" s="245">
        <f>VLOOKUP($H77,'Cost inputs'!$A$18:$E$39,'Land Price Phase Sc1&amp;2'!W22+1,0)</f>
        <v>1200</v>
      </c>
      <c r="X77" s="245">
        <f>VLOOKUP($H77,'Cost inputs'!$A$18:$E$39,'Land Price Phase Sc1&amp;2'!X22+1,0)</f>
        <v>1200</v>
      </c>
      <c r="Y77" s="245">
        <f>VLOOKUP($H77,'Cost inputs'!$A$18:$E$39,'Land Price Phase Sc1&amp;2'!Y22+1,0)</f>
        <v>1200</v>
      </c>
      <c r="Z77" s="245">
        <f>VLOOKUP($H77,'Cost inputs'!$A$18:$E$39,'Land Price Phase Sc1&amp;2'!Z22+1,0)</f>
        <v>1200</v>
      </c>
      <c r="AA77" s="245">
        <f>VLOOKUP($H77,'Cost inputs'!$A$18:$E$39,'Land Price Phase Sc1&amp;2'!AA22+1,0)</f>
        <v>1200</v>
      </c>
      <c r="AB77" s="245">
        <f>VLOOKUP($H77,'Cost inputs'!$A$18:$E$39,'Land Price Phase Sc1&amp;2'!AB22+1,0)</f>
        <v>1200</v>
      </c>
      <c r="AC77" s="245">
        <f>VLOOKUP($H77,'Cost inputs'!$A$18:$E$39,'Land Price Phase Sc1&amp;2'!AC22+1,0)</f>
        <v>1200</v>
      </c>
      <c r="AD77" s="245">
        <f>VLOOKUP($H77,'Cost inputs'!$A$18:$E$39,'Land Price Phase Sc1&amp;2'!AD22+1,0)</f>
        <v>1200</v>
      </c>
      <c r="AE77" s="245">
        <f>VLOOKUP($H77,'Cost inputs'!$A$18:$E$39,'Land Price Phase Sc1&amp;2'!AE22+1,0)</f>
        <v>1200</v>
      </c>
      <c r="AF77" s="245">
        <f>VLOOKUP($H77,'Cost inputs'!$A$18:$E$39,'Land Price Phase Sc1&amp;2'!AF22+1,0)</f>
        <v>1200</v>
      </c>
      <c r="AG77" s="245">
        <f>VLOOKUP($H77,'Cost inputs'!$A$18:$E$39,'Land Price Phase Sc1&amp;2'!AG22+1,0)</f>
        <v>1200</v>
      </c>
      <c r="AH77" s="245">
        <f>VLOOKUP($H77,'Cost inputs'!$A$18:$E$39,'Land Price Phase Sc1&amp;2'!AH22+1,0)</f>
        <v>1200</v>
      </c>
      <c r="AI77" s="245">
        <f>VLOOKUP($H77,'Cost inputs'!$A$18:$E$39,'Land Price Phase Sc1&amp;2'!AI22+1,0)</f>
        <v>1200</v>
      </c>
      <c r="AJ77" s="245">
        <f>VLOOKUP($H77,'Cost inputs'!$A$18:$E$39,'Land Price Phase Sc1&amp;2'!AJ22+1,0)</f>
        <v>1200</v>
      </c>
      <c r="AK77" s="245">
        <f>VLOOKUP($H77,'Cost inputs'!$A$18:$E$39,'Land Price Phase Sc1&amp;2'!AK22+1,0)</f>
        <v>1200</v>
      </c>
      <c r="AL77" s="245">
        <f>VLOOKUP($H77,'Cost inputs'!$A$18:$E$39,'Land Price Phase Sc1&amp;2'!AL22+1,0)</f>
        <v>1200</v>
      </c>
      <c r="AM77" s="245">
        <f>VLOOKUP($H77,'Cost inputs'!$A$18:$E$39,'Land Price Phase Sc1&amp;2'!AM22+1,0)</f>
        <v>1200</v>
      </c>
      <c r="AN77" s="245">
        <f>VLOOKUP($H77,'Cost inputs'!$A$18:$E$39,'Land Price Phase Sc1&amp;2'!AN22+1,0)</f>
        <v>1200</v>
      </c>
      <c r="AO77" s="245">
        <f>VLOOKUP($H77,'Cost inputs'!$A$18:$E$39,'Land Price Phase Sc1&amp;2'!AO22+1,0)</f>
        <v>1200</v>
      </c>
      <c r="AP77" s="245">
        <f>VLOOKUP($H77,'Cost inputs'!$A$18:$E$39,'Land Price Phase Sc1&amp;2'!AP22+1,0)</f>
        <v>1200</v>
      </c>
      <c r="AQ77" s="245">
        <f>VLOOKUP($H77,'Cost inputs'!$A$18:$E$39,'Land Price Phase Sc1&amp;2'!AQ22+1,0)</f>
        <v>1200</v>
      </c>
      <c r="AR77" s="245">
        <f>VLOOKUP($H77,'Cost inputs'!$A$18:$E$39,'Land Price Phase Sc1&amp;2'!AR22+1,0)</f>
        <v>1200</v>
      </c>
      <c r="AS77" s="245">
        <f>VLOOKUP($H77,'Cost inputs'!$A$18:$E$39,'Land Price Phase Sc1&amp;2'!AS22+1,0)</f>
        <v>1200</v>
      </c>
      <c r="AT77" s="245">
        <f>VLOOKUP($H77,'Cost inputs'!$A$18:$E$39,'Land Price Phase Sc1&amp;2'!AT22+1,0)</f>
        <v>1200</v>
      </c>
      <c r="AU77" s="245">
        <f>VLOOKUP($H77,'Cost inputs'!$A$18:$E$39,'Land Price Phase Sc1&amp;2'!AU22+1,0)</f>
        <v>1200</v>
      </c>
    </row>
    <row r="78" spans="1:47" x14ac:dyDescent="0.3">
      <c r="A78" s="245" t="str">
        <f t="shared" si="41"/>
        <v>North</v>
      </c>
      <c r="B78" s="245" t="str">
        <f t="shared" si="41"/>
        <v>Silverdale West (Stage 2)</v>
      </c>
      <c r="C78" s="245">
        <f t="shared" si="41"/>
        <v>2030</v>
      </c>
      <c r="D78" s="245">
        <f t="shared" si="41"/>
        <v>2026</v>
      </c>
      <c r="E78" s="245">
        <f t="shared" si="41"/>
        <v>2030</v>
      </c>
      <c r="F78" s="245">
        <f t="shared" si="41"/>
        <v>2034</v>
      </c>
      <c r="G78" s="245" t="str">
        <f t="shared" si="42"/>
        <v/>
      </c>
      <c r="H78" s="245" t="str">
        <f t="shared" si="43"/>
        <v>Dairy Flat</v>
      </c>
      <c r="I78" s="245">
        <f>VLOOKUP($H78,'Cost inputs'!$A$18:$E$39,'Land Price Phase Sc1&amp;2'!I23+1,0)</f>
        <v>85</v>
      </c>
      <c r="J78" s="245">
        <f>VLOOKUP($H78,'Cost inputs'!$A$18:$E$39,'Land Price Phase Sc1&amp;2'!J23+1,0)</f>
        <v>85</v>
      </c>
      <c r="K78" s="245">
        <f>VLOOKUP($H78,'Cost inputs'!$A$18:$E$39,'Land Price Phase Sc1&amp;2'!K23+1,0)</f>
        <v>225</v>
      </c>
      <c r="L78" s="245">
        <f>VLOOKUP($H78,'Cost inputs'!$A$18:$E$39,'Land Price Phase Sc1&amp;2'!L23+1,0)</f>
        <v>225</v>
      </c>
      <c r="M78" s="245">
        <f>VLOOKUP($H78,'Cost inputs'!$A$18:$E$39,'Land Price Phase Sc1&amp;2'!M23+1,0)</f>
        <v>225</v>
      </c>
      <c r="N78" s="245">
        <f>VLOOKUP($H78,'Cost inputs'!$A$18:$E$39,'Land Price Phase Sc1&amp;2'!N23+1,0)</f>
        <v>225</v>
      </c>
      <c r="O78" s="245">
        <f>VLOOKUP($H78,'Cost inputs'!$A$18:$E$39,'Land Price Phase Sc1&amp;2'!O23+1,0)</f>
        <v>400</v>
      </c>
      <c r="P78" s="245">
        <f>VLOOKUP($H78,'Cost inputs'!$A$18:$E$39,'Land Price Phase Sc1&amp;2'!P23+1,0)</f>
        <v>400</v>
      </c>
      <c r="Q78" s="245">
        <f>VLOOKUP($H78,'Cost inputs'!$A$18:$E$39,'Land Price Phase Sc1&amp;2'!Q23+1,0)</f>
        <v>400</v>
      </c>
      <c r="R78" s="245">
        <f>VLOOKUP($H78,'Cost inputs'!$A$18:$E$39,'Land Price Phase Sc1&amp;2'!R23+1,0)</f>
        <v>400</v>
      </c>
      <c r="S78" s="245">
        <f>VLOOKUP($H78,'Cost inputs'!$A$18:$E$39,'Land Price Phase Sc1&amp;2'!S23+1,0)</f>
        <v>1200</v>
      </c>
      <c r="T78" s="245">
        <f>VLOOKUP($H78,'Cost inputs'!$A$18:$E$39,'Land Price Phase Sc1&amp;2'!T23+1,0)</f>
        <v>1200</v>
      </c>
      <c r="U78" s="245">
        <f>VLOOKUP($H78,'Cost inputs'!$A$18:$E$39,'Land Price Phase Sc1&amp;2'!U23+1,0)</f>
        <v>1200</v>
      </c>
      <c r="V78" s="245">
        <f>VLOOKUP($H78,'Cost inputs'!$A$18:$E$39,'Land Price Phase Sc1&amp;2'!V23+1,0)</f>
        <v>1200</v>
      </c>
      <c r="W78" s="245">
        <f>VLOOKUP($H78,'Cost inputs'!$A$18:$E$39,'Land Price Phase Sc1&amp;2'!W23+1,0)</f>
        <v>1200</v>
      </c>
      <c r="X78" s="245">
        <f>VLOOKUP($H78,'Cost inputs'!$A$18:$E$39,'Land Price Phase Sc1&amp;2'!X23+1,0)</f>
        <v>1200</v>
      </c>
      <c r="Y78" s="245">
        <f>VLOOKUP($H78,'Cost inputs'!$A$18:$E$39,'Land Price Phase Sc1&amp;2'!Y23+1,0)</f>
        <v>1200</v>
      </c>
      <c r="Z78" s="245">
        <f>VLOOKUP($H78,'Cost inputs'!$A$18:$E$39,'Land Price Phase Sc1&amp;2'!Z23+1,0)</f>
        <v>1200</v>
      </c>
      <c r="AA78" s="245">
        <f>VLOOKUP($H78,'Cost inputs'!$A$18:$E$39,'Land Price Phase Sc1&amp;2'!AA23+1,0)</f>
        <v>1200</v>
      </c>
      <c r="AB78" s="245">
        <f>VLOOKUP($H78,'Cost inputs'!$A$18:$E$39,'Land Price Phase Sc1&amp;2'!AB23+1,0)</f>
        <v>1200</v>
      </c>
      <c r="AC78" s="245">
        <f>VLOOKUP($H78,'Cost inputs'!$A$18:$E$39,'Land Price Phase Sc1&amp;2'!AC23+1,0)</f>
        <v>1200</v>
      </c>
      <c r="AD78" s="245">
        <f>VLOOKUP($H78,'Cost inputs'!$A$18:$E$39,'Land Price Phase Sc1&amp;2'!AD23+1,0)</f>
        <v>1200</v>
      </c>
      <c r="AE78" s="245">
        <f>VLOOKUP($H78,'Cost inputs'!$A$18:$E$39,'Land Price Phase Sc1&amp;2'!AE23+1,0)</f>
        <v>1200</v>
      </c>
      <c r="AF78" s="245">
        <f>VLOOKUP($H78,'Cost inputs'!$A$18:$E$39,'Land Price Phase Sc1&amp;2'!AF23+1,0)</f>
        <v>1200</v>
      </c>
      <c r="AG78" s="245">
        <f>VLOOKUP($H78,'Cost inputs'!$A$18:$E$39,'Land Price Phase Sc1&amp;2'!AG23+1,0)</f>
        <v>1200</v>
      </c>
      <c r="AH78" s="245">
        <f>VLOOKUP($H78,'Cost inputs'!$A$18:$E$39,'Land Price Phase Sc1&amp;2'!AH23+1,0)</f>
        <v>1200</v>
      </c>
      <c r="AI78" s="245">
        <f>VLOOKUP($H78,'Cost inputs'!$A$18:$E$39,'Land Price Phase Sc1&amp;2'!AI23+1,0)</f>
        <v>1200</v>
      </c>
      <c r="AJ78" s="245">
        <f>VLOOKUP($H78,'Cost inputs'!$A$18:$E$39,'Land Price Phase Sc1&amp;2'!AJ23+1,0)</f>
        <v>1200</v>
      </c>
      <c r="AK78" s="245">
        <f>VLOOKUP($H78,'Cost inputs'!$A$18:$E$39,'Land Price Phase Sc1&amp;2'!AK23+1,0)</f>
        <v>1200</v>
      </c>
      <c r="AL78" s="245">
        <f>VLOOKUP($H78,'Cost inputs'!$A$18:$E$39,'Land Price Phase Sc1&amp;2'!AL23+1,0)</f>
        <v>1200</v>
      </c>
      <c r="AM78" s="245">
        <f>VLOOKUP($H78,'Cost inputs'!$A$18:$E$39,'Land Price Phase Sc1&amp;2'!AM23+1,0)</f>
        <v>1200</v>
      </c>
      <c r="AN78" s="245">
        <f>VLOOKUP($H78,'Cost inputs'!$A$18:$E$39,'Land Price Phase Sc1&amp;2'!AN23+1,0)</f>
        <v>1200</v>
      </c>
      <c r="AO78" s="245">
        <f>VLOOKUP($H78,'Cost inputs'!$A$18:$E$39,'Land Price Phase Sc1&amp;2'!AO23+1,0)</f>
        <v>1200</v>
      </c>
      <c r="AP78" s="245">
        <f>VLOOKUP($H78,'Cost inputs'!$A$18:$E$39,'Land Price Phase Sc1&amp;2'!AP23+1,0)</f>
        <v>1200</v>
      </c>
      <c r="AQ78" s="245">
        <f>VLOOKUP($H78,'Cost inputs'!$A$18:$E$39,'Land Price Phase Sc1&amp;2'!AQ23+1,0)</f>
        <v>1200</v>
      </c>
      <c r="AR78" s="245">
        <f>VLOOKUP($H78,'Cost inputs'!$A$18:$E$39,'Land Price Phase Sc1&amp;2'!AR23+1,0)</f>
        <v>1200</v>
      </c>
      <c r="AS78" s="245">
        <f>VLOOKUP($H78,'Cost inputs'!$A$18:$E$39,'Land Price Phase Sc1&amp;2'!AS23+1,0)</f>
        <v>1200</v>
      </c>
      <c r="AT78" s="245">
        <f>VLOOKUP($H78,'Cost inputs'!$A$18:$E$39,'Land Price Phase Sc1&amp;2'!AT23+1,0)</f>
        <v>1200</v>
      </c>
      <c r="AU78" s="245">
        <f>VLOOKUP($H78,'Cost inputs'!$A$18:$E$39,'Land Price Phase Sc1&amp;2'!AU23+1,0)</f>
        <v>1200</v>
      </c>
    </row>
    <row r="79" spans="1:47" x14ac:dyDescent="0.3">
      <c r="A79" s="245" t="str">
        <f t="shared" si="41"/>
        <v>North</v>
      </c>
      <c r="B79" s="245" t="str">
        <f t="shared" si="41"/>
        <v>Silverdale West (Stage 3)</v>
      </c>
      <c r="C79" s="245">
        <f t="shared" si="41"/>
        <v>2035</v>
      </c>
      <c r="D79" s="245">
        <f t="shared" si="41"/>
        <v>2031</v>
      </c>
      <c r="E79" s="245">
        <f t="shared" si="41"/>
        <v>2035</v>
      </c>
      <c r="F79" s="245">
        <f t="shared" si="41"/>
        <v>2039</v>
      </c>
      <c r="G79" s="245" t="str">
        <f t="shared" si="42"/>
        <v/>
      </c>
      <c r="H79" s="245" t="str">
        <f t="shared" si="43"/>
        <v>Dairy Flat</v>
      </c>
      <c r="I79" s="245">
        <f>VLOOKUP($H79,'Cost inputs'!$A$18:$E$39,'Land Price Phase Sc1&amp;2'!I24+1,0)</f>
        <v>85</v>
      </c>
      <c r="J79" s="245">
        <f>VLOOKUP($H79,'Cost inputs'!$A$18:$E$39,'Land Price Phase Sc1&amp;2'!J24+1,0)</f>
        <v>85</v>
      </c>
      <c r="K79" s="245">
        <f>VLOOKUP($H79,'Cost inputs'!$A$18:$E$39,'Land Price Phase Sc1&amp;2'!K24+1,0)</f>
        <v>85</v>
      </c>
      <c r="L79" s="245">
        <f>VLOOKUP($H79,'Cost inputs'!$A$18:$E$39,'Land Price Phase Sc1&amp;2'!L24+1,0)</f>
        <v>85</v>
      </c>
      <c r="M79" s="245">
        <f>VLOOKUP($H79,'Cost inputs'!$A$18:$E$39,'Land Price Phase Sc1&amp;2'!M24+1,0)</f>
        <v>85</v>
      </c>
      <c r="N79" s="245">
        <f>VLOOKUP($H79,'Cost inputs'!$A$18:$E$39,'Land Price Phase Sc1&amp;2'!N24+1,0)</f>
        <v>85</v>
      </c>
      <c r="O79" s="245">
        <f>VLOOKUP($H79,'Cost inputs'!$A$18:$E$39,'Land Price Phase Sc1&amp;2'!O24+1,0)</f>
        <v>85</v>
      </c>
      <c r="P79" s="245">
        <f>VLOOKUP($H79,'Cost inputs'!$A$18:$E$39,'Land Price Phase Sc1&amp;2'!P24+1,0)</f>
        <v>225</v>
      </c>
      <c r="Q79" s="245">
        <f>VLOOKUP($H79,'Cost inputs'!$A$18:$E$39,'Land Price Phase Sc1&amp;2'!Q24+1,0)</f>
        <v>225</v>
      </c>
      <c r="R79" s="245">
        <f>VLOOKUP($H79,'Cost inputs'!$A$18:$E$39,'Land Price Phase Sc1&amp;2'!R24+1,0)</f>
        <v>225</v>
      </c>
      <c r="S79" s="245">
        <f>VLOOKUP($H79,'Cost inputs'!$A$18:$E$39,'Land Price Phase Sc1&amp;2'!S24+1,0)</f>
        <v>225</v>
      </c>
      <c r="T79" s="245">
        <f>VLOOKUP($H79,'Cost inputs'!$A$18:$E$39,'Land Price Phase Sc1&amp;2'!T24+1,0)</f>
        <v>400</v>
      </c>
      <c r="U79" s="245">
        <f>VLOOKUP($H79,'Cost inputs'!$A$18:$E$39,'Land Price Phase Sc1&amp;2'!U24+1,0)</f>
        <v>400</v>
      </c>
      <c r="V79" s="245">
        <f>VLOOKUP($H79,'Cost inputs'!$A$18:$E$39,'Land Price Phase Sc1&amp;2'!V24+1,0)</f>
        <v>400</v>
      </c>
      <c r="W79" s="245">
        <f>VLOOKUP($H79,'Cost inputs'!$A$18:$E$39,'Land Price Phase Sc1&amp;2'!W24+1,0)</f>
        <v>400</v>
      </c>
      <c r="X79" s="245">
        <f>VLOOKUP($H79,'Cost inputs'!$A$18:$E$39,'Land Price Phase Sc1&amp;2'!X24+1,0)</f>
        <v>1200</v>
      </c>
      <c r="Y79" s="245">
        <f>VLOOKUP($H79,'Cost inputs'!$A$18:$E$39,'Land Price Phase Sc1&amp;2'!Y24+1,0)</f>
        <v>1200</v>
      </c>
      <c r="Z79" s="245">
        <f>VLOOKUP($H79,'Cost inputs'!$A$18:$E$39,'Land Price Phase Sc1&amp;2'!Z24+1,0)</f>
        <v>1200</v>
      </c>
      <c r="AA79" s="245">
        <f>VLOOKUP($H79,'Cost inputs'!$A$18:$E$39,'Land Price Phase Sc1&amp;2'!AA24+1,0)</f>
        <v>1200</v>
      </c>
      <c r="AB79" s="245">
        <f>VLOOKUP($H79,'Cost inputs'!$A$18:$E$39,'Land Price Phase Sc1&amp;2'!AB24+1,0)</f>
        <v>1200</v>
      </c>
      <c r="AC79" s="245">
        <f>VLOOKUP($H79,'Cost inputs'!$A$18:$E$39,'Land Price Phase Sc1&amp;2'!AC24+1,0)</f>
        <v>1200</v>
      </c>
      <c r="AD79" s="245">
        <f>VLOOKUP($H79,'Cost inputs'!$A$18:$E$39,'Land Price Phase Sc1&amp;2'!AD24+1,0)</f>
        <v>1200</v>
      </c>
      <c r="AE79" s="245">
        <f>VLOOKUP($H79,'Cost inputs'!$A$18:$E$39,'Land Price Phase Sc1&amp;2'!AE24+1,0)</f>
        <v>1200</v>
      </c>
      <c r="AF79" s="245">
        <f>VLOOKUP($H79,'Cost inputs'!$A$18:$E$39,'Land Price Phase Sc1&amp;2'!AF24+1,0)</f>
        <v>1200</v>
      </c>
      <c r="AG79" s="245">
        <f>VLOOKUP($H79,'Cost inputs'!$A$18:$E$39,'Land Price Phase Sc1&amp;2'!AG24+1,0)</f>
        <v>1200</v>
      </c>
      <c r="AH79" s="245">
        <f>VLOOKUP($H79,'Cost inputs'!$A$18:$E$39,'Land Price Phase Sc1&amp;2'!AH24+1,0)</f>
        <v>1200</v>
      </c>
      <c r="AI79" s="245">
        <f>VLOOKUP($H79,'Cost inputs'!$A$18:$E$39,'Land Price Phase Sc1&amp;2'!AI24+1,0)</f>
        <v>1200</v>
      </c>
      <c r="AJ79" s="245">
        <f>VLOOKUP($H79,'Cost inputs'!$A$18:$E$39,'Land Price Phase Sc1&amp;2'!AJ24+1,0)</f>
        <v>1200</v>
      </c>
      <c r="AK79" s="245">
        <f>VLOOKUP($H79,'Cost inputs'!$A$18:$E$39,'Land Price Phase Sc1&amp;2'!AK24+1,0)</f>
        <v>1200</v>
      </c>
      <c r="AL79" s="245">
        <f>VLOOKUP($H79,'Cost inputs'!$A$18:$E$39,'Land Price Phase Sc1&amp;2'!AL24+1,0)</f>
        <v>1200</v>
      </c>
      <c r="AM79" s="245">
        <f>VLOOKUP($H79,'Cost inputs'!$A$18:$E$39,'Land Price Phase Sc1&amp;2'!AM24+1,0)</f>
        <v>1200</v>
      </c>
      <c r="AN79" s="245">
        <f>VLOOKUP($H79,'Cost inputs'!$A$18:$E$39,'Land Price Phase Sc1&amp;2'!AN24+1,0)</f>
        <v>1200</v>
      </c>
      <c r="AO79" s="245">
        <f>VLOOKUP($H79,'Cost inputs'!$A$18:$E$39,'Land Price Phase Sc1&amp;2'!AO24+1,0)</f>
        <v>1200</v>
      </c>
      <c r="AP79" s="245">
        <f>VLOOKUP($H79,'Cost inputs'!$A$18:$E$39,'Land Price Phase Sc1&amp;2'!AP24+1,0)</f>
        <v>1200</v>
      </c>
      <c r="AQ79" s="245">
        <f>VLOOKUP($H79,'Cost inputs'!$A$18:$E$39,'Land Price Phase Sc1&amp;2'!AQ24+1,0)</f>
        <v>1200</v>
      </c>
      <c r="AR79" s="245">
        <f>VLOOKUP($H79,'Cost inputs'!$A$18:$E$39,'Land Price Phase Sc1&amp;2'!AR24+1,0)</f>
        <v>1200</v>
      </c>
      <c r="AS79" s="245">
        <f>VLOOKUP($H79,'Cost inputs'!$A$18:$E$39,'Land Price Phase Sc1&amp;2'!AS24+1,0)</f>
        <v>1200</v>
      </c>
      <c r="AT79" s="245">
        <f>VLOOKUP($H79,'Cost inputs'!$A$18:$E$39,'Land Price Phase Sc1&amp;2'!AT24+1,0)</f>
        <v>1200</v>
      </c>
      <c r="AU79" s="245">
        <f>VLOOKUP($H79,'Cost inputs'!$A$18:$E$39,'Land Price Phase Sc1&amp;2'!AU24+1,0)</f>
        <v>1200</v>
      </c>
    </row>
    <row r="80" spans="1:47" x14ac:dyDescent="0.3">
      <c r="A80" s="245" t="str">
        <f t="shared" si="41"/>
        <v>North</v>
      </c>
      <c r="B80" s="245" t="str">
        <f t="shared" si="41"/>
        <v>Weiti</v>
      </c>
      <c r="C80" s="245">
        <f t="shared" si="41"/>
        <v>2035</v>
      </c>
      <c r="D80" s="245">
        <f t="shared" si="41"/>
        <v>2031</v>
      </c>
      <c r="E80" s="245">
        <f t="shared" si="41"/>
        <v>2035</v>
      </c>
      <c r="F80" s="245">
        <f t="shared" si="41"/>
        <v>2039</v>
      </c>
      <c r="G80" s="245" t="str">
        <f t="shared" si="42"/>
        <v/>
      </c>
      <c r="H80" s="245" t="str">
        <f t="shared" si="43"/>
        <v>Dairy Flat</v>
      </c>
      <c r="I80" s="245">
        <f>VLOOKUP($H80,'Cost inputs'!$A$18:$E$39,'Land Price Phase Sc1&amp;2'!I25+1,0)</f>
        <v>85</v>
      </c>
      <c r="J80" s="245">
        <f>VLOOKUP($H80,'Cost inputs'!$A$18:$E$39,'Land Price Phase Sc1&amp;2'!J25+1,0)</f>
        <v>85</v>
      </c>
      <c r="K80" s="245">
        <f>VLOOKUP($H80,'Cost inputs'!$A$18:$E$39,'Land Price Phase Sc1&amp;2'!K25+1,0)</f>
        <v>85</v>
      </c>
      <c r="L80" s="245">
        <f>VLOOKUP($H80,'Cost inputs'!$A$18:$E$39,'Land Price Phase Sc1&amp;2'!L25+1,0)</f>
        <v>85</v>
      </c>
      <c r="M80" s="245">
        <f>VLOOKUP($H80,'Cost inputs'!$A$18:$E$39,'Land Price Phase Sc1&amp;2'!M25+1,0)</f>
        <v>85</v>
      </c>
      <c r="N80" s="245">
        <f>VLOOKUP($H80,'Cost inputs'!$A$18:$E$39,'Land Price Phase Sc1&amp;2'!N25+1,0)</f>
        <v>85</v>
      </c>
      <c r="O80" s="245">
        <f>VLOOKUP($H80,'Cost inputs'!$A$18:$E$39,'Land Price Phase Sc1&amp;2'!O25+1,0)</f>
        <v>85</v>
      </c>
      <c r="P80" s="245">
        <f>VLOOKUP($H80,'Cost inputs'!$A$18:$E$39,'Land Price Phase Sc1&amp;2'!P25+1,0)</f>
        <v>225</v>
      </c>
      <c r="Q80" s="245">
        <f>VLOOKUP($H80,'Cost inputs'!$A$18:$E$39,'Land Price Phase Sc1&amp;2'!Q25+1,0)</f>
        <v>225</v>
      </c>
      <c r="R80" s="245">
        <f>VLOOKUP($H80,'Cost inputs'!$A$18:$E$39,'Land Price Phase Sc1&amp;2'!R25+1,0)</f>
        <v>225</v>
      </c>
      <c r="S80" s="245">
        <f>VLOOKUP($H80,'Cost inputs'!$A$18:$E$39,'Land Price Phase Sc1&amp;2'!S25+1,0)</f>
        <v>225</v>
      </c>
      <c r="T80" s="245">
        <f>VLOOKUP($H80,'Cost inputs'!$A$18:$E$39,'Land Price Phase Sc1&amp;2'!T25+1,0)</f>
        <v>400</v>
      </c>
      <c r="U80" s="245">
        <f>VLOOKUP($H80,'Cost inputs'!$A$18:$E$39,'Land Price Phase Sc1&amp;2'!U25+1,0)</f>
        <v>400</v>
      </c>
      <c r="V80" s="245">
        <f>VLOOKUP($H80,'Cost inputs'!$A$18:$E$39,'Land Price Phase Sc1&amp;2'!V25+1,0)</f>
        <v>400</v>
      </c>
      <c r="W80" s="245">
        <f>VLOOKUP($H80,'Cost inputs'!$A$18:$E$39,'Land Price Phase Sc1&amp;2'!W25+1,0)</f>
        <v>400</v>
      </c>
      <c r="X80" s="245">
        <f>VLOOKUP($H80,'Cost inputs'!$A$18:$E$39,'Land Price Phase Sc1&amp;2'!X25+1,0)</f>
        <v>1200</v>
      </c>
      <c r="Y80" s="245">
        <f>VLOOKUP($H80,'Cost inputs'!$A$18:$E$39,'Land Price Phase Sc1&amp;2'!Y25+1,0)</f>
        <v>1200</v>
      </c>
      <c r="Z80" s="245">
        <f>VLOOKUP($H80,'Cost inputs'!$A$18:$E$39,'Land Price Phase Sc1&amp;2'!Z25+1,0)</f>
        <v>1200</v>
      </c>
      <c r="AA80" s="245">
        <f>VLOOKUP($H80,'Cost inputs'!$A$18:$E$39,'Land Price Phase Sc1&amp;2'!AA25+1,0)</f>
        <v>1200</v>
      </c>
      <c r="AB80" s="245">
        <f>VLOOKUP($H80,'Cost inputs'!$A$18:$E$39,'Land Price Phase Sc1&amp;2'!AB25+1,0)</f>
        <v>1200</v>
      </c>
      <c r="AC80" s="245">
        <f>VLOOKUP($H80,'Cost inputs'!$A$18:$E$39,'Land Price Phase Sc1&amp;2'!AC25+1,0)</f>
        <v>1200</v>
      </c>
      <c r="AD80" s="245">
        <f>VLOOKUP($H80,'Cost inputs'!$A$18:$E$39,'Land Price Phase Sc1&amp;2'!AD25+1,0)</f>
        <v>1200</v>
      </c>
      <c r="AE80" s="245">
        <f>VLOOKUP($H80,'Cost inputs'!$A$18:$E$39,'Land Price Phase Sc1&amp;2'!AE25+1,0)</f>
        <v>1200</v>
      </c>
      <c r="AF80" s="245">
        <f>VLOOKUP($H80,'Cost inputs'!$A$18:$E$39,'Land Price Phase Sc1&amp;2'!AF25+1,0)</f>
        <v>1200</v>
      </c>
      <c r="AG80" s="245">
        <f>VLOOKUP($H80,'Cost inputs'!$A$18:$E$39,'Land Price Phase Sc1&amp;2'!AG25+1,0)</f>
        <v>1200</v>
      </c>
      <c r="AH80" s="245">
        <f>VLOOKUP($H80,'Cost inputs'!$A$18:$E$39,'Land Price Phase Sc1&amp;2'!AH25+1,0)</f>
        <v>1200</v>
      </c>
      <c r="AI80" s="245">
        <f>VLOOKUP($H80,'Cost inputs'!$A$18:$E$39,'Land Price Phase Sc1&amp;2'!AI25+1,0)</f>
        <v>1200</v>
      </c>
      <c r="AJ80" s="245">
        <f>VLOOKUP($H80,'Cost inputs'!$A$18:$E$39,'Land Price Phase Sc1&amp;2'!AJ25+1,0)</f>
        <v>1200</v>
      </c>
      <c r="AK80" s="245">
        <f>VLOOKUP($H80,'Cost inputs'!$A$18:$E$39,'Land Price Phase Sc1&amp;2'!AK25+1,0)</f>
        <v>1200</v>
      </c>
      <c r="AL80" s="245">
        <f>VLOOKUP($H80,'Cost inputs'!$A$18:$E$39,'Land Price Phase Sc1&amp;2'!AL25+1,0)</f>
        <v>1200</v>
      </c>
      <c r="AM80" s="245">
        <f>VLOOKUP($H80,'Cost inputs'!$A$18:$E$39,'Land Price Phase Sc1&amp;2'!AM25+1,0)</f>
        <v>1200</v>
      </c>
      <c r="AN80" s="245">
        <f>VLOOKUP($H80,'Cost inputs'!$A$18:$E$39,'Land Price Phase Sc1&amp;2'!AN25+1,0)</f>
        <v>1200</v>
      </c>
      <c r="AO80" s="245">
        <f>VLOOKUP($H80,'Cost inputs'!$A$18:$E$39,'Land Price Phase Sc1&amp;2'!AO25+1,0)</f>
        <v>1200</v>
      </c>
      <c r="AP80" s="245">
        <f>VLOOKUP($H80,'Cost inputs'!$A$18:$E$39,'Land Price Phase Sc1&amp;2'!AP25+1,0)</f>
        <v>1200</v>
      </c>
      <c r="AQ80" s="245">
        <f>VLOOKUP($H80,'Cost inputs'!$A$18:$E$39,'Land Price Phase Sc1&amp;2'!AQ25+1,0)</f>
        <v>1200</v>
      </c>
      <c r="AR80" s="245">
        <f>VLOOKUP($H80,'Cost inputs'!$A$18:$E$39,'Land Price Phase Sc1&amp;2'!AR25+1,0)</f>
        <v>1200</v>
      </c>
      <c r="AS80" s="245">
        <f>VLOOKUP($H80,'Cost inputs'!$A$18:$E$39,'Land Price Phase Sc1&amp;2'!AS25+1,0)</f>
        <v>1200</v>
      </c>
      <c r="AT80" s="245">
        <f>VLOOKUP($H80,'Cost inputs'!$A$18:$E$39,'Land Price Phase Sc1&amp;2'!AT25+1,0)</f>
        <v>1200</v>
      </c>
      <c r="AU80" s="245">
        <f>VLOOKUP($H80,'Cost inputs'!$A$18:$E$39,'Land Price Phase Sc1&amp;2'!AU25+1,0)</f>
        <v>1200</v>
      </c>
    </row>
    <row r="81" spans="1:47" x14ac:dyDescent="0.3">
      <c r="A81" s="245" t="str">
        <f t="shared" si="41"/>
        <v>North</v>
      </c>
      <c r="B81" s="245" t="str">
        <f t="shared" si="41"/>
        <v>Dairy Flat</v>
      </c>
      <c r="C81" s="245">
        <f t="shared" si="41"/>
        <v>2050</v>
      </c>
      <c r="D81" s="245">
        <f t="shared" si="41"/>
        <v>2046</v>
      </c>
      <c r="E81" s="245">
        <f t="shared" si="41"/>
        <v>2050</v>
      </c>
      <c r="F81" s="245">
        <f t="shared" si="41"/>
        <v>2054</v>
      </c>
      <c r="G81" s="245" t="str">
        <f t="shared" si="42"/>
        <v/>
      </c>
      <c r="H81" s="245" t="str">
        <f t="shared" si="43"/>
        <v>Dairy Flat</v>
      </c>
      <c r="I81" s="245">
        <f>VLOOKUP($H81,'Cost inputs'!$A$18:$E$39,'Land Price Phase Sc1&amp;2'!I26+1,0)</f>
        <v>85</v>
      </c>
      <c r="J81" s="245">
        <f>VLOOKUP($H81,'Cost inputs'!$A$18:$E$39,'Land Price Phase Sc1&amp;2'!J26+1,0)</f>
        <v>85</v>
      </c>
      <c r="K81" s="245">
        <f>VLOOKUP($H81,'Cost inputs'!$A$18:$E$39,'Land Price Phase Sc1&amp;2'!K26+1,0)</f>
        <v>85</v>
      </c>
      <c r="L81" s="245">
        <f>VLOOKUP($H81,'Cost inputs'!$A$18:$E$39,'Land Price Phase Sc1&amp;2'!L26+1,0)</f>
        <v>85</v>
      </c>
      <c r="M81" s="245">
        <f>VLOOKUP($H81,'Cost inputs'!$A$18:$E$39,'Land Price Phase Sc1&amp;2'!M26+1,0)</f>
        <v>85</v>
      </c>
      <c r="N81" s="245">
        <f>VLOOKUP($H81,'Cost inputs'!$A$18:$E$39,'Land Price Phase Sc1&amp;2'!N26+1,0)</f>
        <v>85</v>
      </c>
      <c r="O81" s="245">
        <f>VLOOKUP($H81,'Cost inputs'!$A$18:$E$39,'Land Price Phase Sc1&amp;2'!O26+1,0)</f>
        <v>85</v>
      </c>
      <c r="P81" s="245">
        <f>VLOOKUP($H81,'Cost inputs'!$A$18:$E$39,'Land Price Phase Sc1&amp;2'!P26+1,0)</f>
        <v>85</v>
      </c>
      <c r="Q81" s="245">
        <f>VLOOKUP($H81,'Cost inputs'!$A$18:$E$39,'Land Price Phase Sc1&amp;2'!Q26+1,0)</f>
        <v>85</v>
      </c>
      <c r="R81" s="245">
        <f>VLOOKUP($H81,'Cost inputs'!$A$18:$E$39,'Land Price Phase Sc1&amp;2'!R26+1,0)</f>
        <v>85</v>
      </c>
      <c r="S81" s="245">
        <f>VLOOKUP($H81,'Cost inputs'!$A$18:$E$39,'Land Price Phase Sc1&amp;2'!S26+1,0)</f>
        <v>85</v>
      </c>
      <c r="T81" s="245">
        <f>VLOOKUP($H81,'Cost inputs'!$A$18:$E$39,'Land Price Phase Sc1&amp;2'!T26+1,0)</f>
        <v>85</v>
      </c>
      <c r="U81" s="245">
        <f>VLOOKUP($H81,'Cost inputs'!$A$18:$E$39,'Land Price Phase Sc1&amp;2'!U26+1,0)</f>
        <v>85</v>
      </c>
      <c r="V81" s="245">
        <f>VLOOKUP($H81,'Cost inputs'!$A$18:$E$39,'Land Price Phase Sc1&amp;2'!V26+1,0)</f>
        <v>85</v>
      </c>
      <c r="W81" s="245">
        <f>VLOOKUP($H81,'Cost inputs'!$A$18:$E$39,'Land Price Phase Sc1&amp;2'!W26+1,0)</f>
        <v>85</v>
      </c>
      <c r="X81" s="245">
        <f>VLOOKUP($H81,'Cost inputs'!$A$18:$E$39,'Land Price Phase Sc1&amp;2'!X26+1,0)</f>
        <v>85</v>
      </c>
      <c r="Y81" s="245">
        <f>VLOOKUP($H81,'Cost inputs'!$A$18:$E$39,'Land Price Phase Sc1&amp;2'!Y26+1,0)</f>
        <v>85</v>
      </c>
      <c r="Z81" s="245">
        <f>VLOOKUP($H81,'Cost inputs'!$A$18:$E$39,'Land Price Phase Sc1&amp;2'!Z26+1,0)</f>
        <v>85</v>
      </c>
      <c r="AA81" s="245">
        <f>VLOOKUP($H81,'Cost inputs'!$A$18:$E$39,'Land Price Phase Sc1&amp;2'!AA26+1,0)</f>
        <v>85</v>
      </c>
      <c r="AB81" s="245">
        <f>VLOOKUP($H81,'Cost inputs'!$A$18:$E$39,'Land Price Phase Sc1&amp;2'!AB26+1,0)</f>
        <v>85</v>
      </c>
      <c r="AC81" s="245">
        <f>VLOOKUP($H81,'Cost inputs'!$A$18:$E$39,'Land Price Phase Sc1&amp;2'!AC26+1,0)</f>
        <v>85</v>
      </c>
      <c r="AD81" s="245">
        <f>VLOOKUP($H81,'Cost inputs'!$A$18:$E$39,'Land Price Phase Sc1&amp;2'!AD26+1,0)</f>
        <v>85</v>
      </c>
      <c r="AE81" s="245">
        <f>VLOOKUP($H81,'Cost inputs'!$A$18:$E$39,'Land Price Phase Sc1&amp;2'!AE26+1,0)</f>
        <v>225</v>
      </c>
      <c r="AF81" s="245">
        <f>VLOOKUP($H81,'Cost inputs'!$A$18:$E$39,'Land Price Phase Sc1&amp;2'!AF26+1,0)</f>
        <v>225</v>
      </c>
      <c r="AG81" s="245">
        <f>VLOOKUP($H81,'Cost inputs'!$A$18:$E$39,'Land Price Phase Sc1&amp;2'!AG26+1,0)</f>
        <v>225</v>
      </c>
      <c r="AH81" s="245">
        <f>VLOOKUP($H81,'Cost inputs'!$A$18:$E$39,'Land Price Phase Sc1&amp;2'!AH26+1,0)</f>
        <v>225</v>
      </c>
      <c r="AI81" s="245">
        <f>VLOOKUP($H81,'Cost inputs'!$A$18:$E$39,'Land Price Phase Sc1&amp;2'!AI26+1,0)</f>
        <v>400</v>
      </c>
      <c r="AJ81" s="245">
        <f>VLOOKUP($H81,'Cost inputs'!$A$18:$E$39,'Land Price Phase Sc1&amp;2'!AJ26+1,0)</f>
        <v>400</v>
      </c>
      <c r="AK81" s="245">
        <f>VLOOKUP($H81,'Cost inputs'!$A$18:$E$39,'Land Price Phase Sc1&amp;2'!AK26+1,0)</f>
        <v>400</v>
      </c>
      <c r="AL81" s="245">
        <f>VLOOKUP($H81,'Cost inputs'!$A$18:$E$39,'Land Price Phase Sc1&amp;2'!AL26+1,0)</f>
        <v>400</v>
      </c>
      <c r="AM81" s="245">
        <f>VLOOKUP($H81,'Cost inputs'!$A$18:$E$39,'Land Price Phase Sc1&amp;2'!AM26+1,0)</f>
        <v>1200</v>
      </c>
      <c r="AN81" s="245">
        <f>VLOOKUP($H81,'Cost inputs'!$A$18:$E$39,'Land Price Phase Sc1&amp;2'!AN26+1,0)</f>
        <v>1200</v>
      </c>
      <c r="AO81" s="245">
        <f>VLOOKUP($H81,'Cost inputs'!$A$18:$E$39,'Land Price Phase Sc1&amp;2'!AO26+1,0)</f>
        <v>1200</v>
      </c>
      <c r="AP81" s="245">
        <f>VLOOKUP($H81,'Cost inputs'!$A$18:$E$39,'Land Price Phase Sc1&amp;2'!AP26+1,0)</f>
        <v>1200</v>
      </c>
      <c r="AQ81" s="245">
        <f>VLOOKUP($H81,'Cost inputs'!$A$18:$E$39,'Land Price Phase Sc1&amp;2'!AQ26+1,0)</f>
        <v>1200</v>
      </c>
      <c r="AR81" s="245">
        <f>VLOOKUP($H81,'Cost inputs'!$A$18:$E$39,'Land Price Phase Sc1&amp;2'!AR26+1,0)</f>
        <v>1200</v>
      </c>
      <c r="AS81" s="245">
        <f>VLOOKUP($H81,'Cost inputs'!$A$18:$E$39,'Land Price Phase Sc1&amp;2'!AS26+1,0)</f>
        <v>1200</v>
      </c>
      <c r="AT81" s="245">
        <f>VLOOKUP($H81,'Cost inputs'!$A$18:$E$39,'Land Price Phase Sc1&amp;2'!AT26+1,0)</f>
        <v>1200</v>
      </c>
      <c r="AU81" s="245">
        <f>VLOOKUP($H81,'Cost inputs'!$A$18:$E$39,'Land Price Phase Sc1&amp;2'!AU26+1,0)</f>
        <v>1200</v>
      </c>
    </row>
    <row r="82" spans="1:47" x14ac:dyDescent="0.3">
      <c r="A82" s="245" t="str">
        <f t="shared" si="41"/>
        <v>North</v>
      </c>
      <c r="B82" s="245" t="str">
        <f t="shared" si="41"/>
        <v>Wainui East</v>
      </c>
      <c r="C82" s="245">
        <f t="shared" si="41"/>
        <v>2050</v>
      </c>
      <c r="D82" s="245">
        <f t="shared" si="41"/>
        <v>2046</v>
      </c>
      <c r="E82" s="245">
        <f t="shared" si="41"/>
        <v>2050</v>
      </c>
      <c r="F82" s="245">
        <f t="shared" si="41"/>
        <v>2054</v>
      </c>
      <c r="G82" s="245" t="str">
        <f t="shared" si="42"/>
        <v/>
      </c>
      <c r="H82" s="245" t="str">
        <f t="shared" si="43"/>
        <v>Orewa-Hibiscus</v>
      </c>
      <c r="I82" s="245">
        <f>VLOOKUP($H82,'Cost inputs'!$A$18:$E$39,'Land Price Phase Sc1&amp;2'!I27+1,0)</f>
        <v>85</v>
      </c>
      <c r="J82" s="245">
        <f>VLOOKUP($H82,'Cost inputs'!$A$18:$E$39,'Land Price Phase Sc1&amp;2'!J27+1,0)</f>
        <v>85</v>
      </c>
      <c r="K82" s="245">
        <f>VLOOKUP($H82,'Cost inputs'!$A$18:$E$39,'Land Price Phase Sc1&amp;2'!K27+1,0)</f>
        <v>85</v>
      </c>
      <c r="L82" s="245">
        <f>VLOOKUP($H82,'Cost inputs'!$A$18:$E$39,'Land Price Phase Sc1&amp;2'!L27+1,0)</f>
        <v>85</v>
      </c>
      <c r="M82" s="245">
        <f>VLOOKUP($H82,'Cost inputs'!$A$18:$E$39,'Land Price Phase Sc1&amp;2'!M27+1,0)</f>
        <v>85</v>
      </c>
      <c r="N82" s="245">
        <f>VLOOKUP($H82,'Cost inputs'!$A$18:$E$39,'Land Price Phase Sc1&amp;2'!N27+1,0)</f>
        <v>85</v>
      </c>
      <c r="O82" s="245">
        <f>VLOOKUP($H82,'Cost inputs'!$A$18:$E$39,'Land Price Phase Sc1&amp;2'!O27+1,0)</f>
        <v>85</v>
      </c>
      <c r="P82" s="245">
        <f>VLOOKUP($H82,'Cost inputs'!$A$18:$E$39,'Land Price Phase Sc1&amp;2'!P27+1,0)</f>
        <v>85</v>
      </c>
      <c r="Q82" s="245">
        <f>VLOOKUP($H82,'Cost inputs'!$A$18:$E$39,'Land Price Phase Sc1&amp;2'!Q27+1,0)</f>
        <v>85</v>
      </c>
      <c r="R82" s="245">
        <f>VLOOKUP($H82,'Cost inputs'!$A$18:$E$39,'Land Price Phase Sc1&amp;2'!R27+1,0)</f>
        <v>85</v>
      </c>
      <c r="S82" s="245">
        <f>VLOOKUP($H82,'Cost inputs'!$A$18:$E$39,'Land Price Phase Sc1&amp;2'!S27+1,0)</f>
        <v>85</v>
      </c>
      <c r="T82" s="245">
        <f>VLOOKUP($H82,'Cost inputs'!$A$18:$E$39,'Land Price Phase Sc1&amp;2'!T27+1,0)</f>
        <v>85</v>
      </c>
      <c r="U82" s="245">
        <f>VLOOKUP($H82,'Cost inputs'!$A$18:$E$39,'Land Price Phase Sc1&amp;2'!U27+1,0)</f>
        <v>85</v>
      </c>
      <c r="V82" s="245">
        <f>VLOOKUP($H82,'Cost inputs'!$A$18:$E$39,'Land Price Phase Sc1&amp;2'!V27+1,0)</f>
        <v>85</v>
      </c>
      <c r="W82" s="245">
        <f>VLOOKUP($H82,'Cost inputs'!$A$18:$E$39,'Land Price Phase Sc1&amp;2'!W27+1,0)</f>
        <v>85</v>
      </c>
      <c r="X82" s="245">
        <f>VLOOKUP($H82,'Cost inputs'!$A$18:$E$39,'Land Price Phase Sc1&amp;2'!X27+1,0)</f>
        <v>85</v>
      </c>
      <c r="Y82" s="245">
        <f>VLOOKUP($H82,'Cost inputs'!$A$18:$E$39,'Land Price Phase Sc1&amp;2'!Y27+1,0)</f>
        <v>85</v>
      </c>
      <c r="Z82" s="245">
        <f>VLOOKUP($H82,'Cost inputs'!$A$18:$E$39,'Land Price Phase Sc1&amp;2'!Z27+1,0)</f>
        <v>85</v>
      </c>
      <c r="AA82" s="245">
        <f>VLOOKUP($H82,'Cost inputs'!$A$18:$E$39,'Land Price Phase Sc1&amp;2'!AA27+1,0)</f>
        <v>85</v>
      </c>
      <c r="AB82" s="245">
        <f>VLOOKUP($H82,'Cost inputs'!$A$18:$E$39,'Land Price Phase Sc1&amp;2'!AB27+1,0)</f>
        <v>85</v>
      </c>
      <c r="AC82" s="245">
        <f>VLOOKUP($H82,'Cost inputs'!$A$18:$E$39,'Land Price Phase Sc1&amp;2'!AC27+1,0)</f>
        <v>85</v>
      </c>
      <c r="AD82" s="245">
        <f>VLOOKUP($H82,'Cost inputs'!$A$18:$E$39,'Land Price Phase Sc1&amp;2'!AD27+1,0)</f>
        <v>85</v>
      </c>
      <c r="AE82" s="245">
        <f>VLOOKUP($H82,'Cost inputs'!$A$18:$E$39,'Land Price Phase Sc1&amp;2'!AE27+1,0)</f>
        <v>225</v>
      </c>
      <c r="AF82" s="245">
        <f>VLOOKUP($H82,'Cost inputs'!$A$18:$E$39,'Land Price Phase Sc1&amp;2'!AF27+1,0)</f>
        <v>225</v>
      </c>
      <c r="AG82" s="245">
        <f>VLOOKUP($H82,'Cost inputs'!$A$18:$E$39,'Land Price Phase Sc1&amp;2'!AG27+1,0)</f>
        <v>225</v>
      </c>
      <c r="AH82" s="245">
        <f>VLOOKUP($H82,'Cost inputs'!$A$18:$E$39,'Land Price Phase Sc1&amp;2'!AH27+1,0)</f>
        <v>225</v>
      </c>
      <c r="AI82" s="245">
        <f>VLOOKUP($H82,'Cost inputs'!$A$18:$E$39,'Land Price Phase Sc1&amp;2'!AI27+1,0)</f>
        <v>400</v>
      </c>
      <c r="AJ82" s="245">
        <f>VLOOKUP($H82,'Cost inputs'!$A$18:$E$39,'Land Price Phase Sc1&amp;2'!AJ27+1,0)</f>
        <v>400</v>
      </c>
      <c r="AK82" s="245">
        <f>VLOOKUP($H82,'Cost inputs'!$A$18:$E$39,'Land Price Phase Sc1&amp;2'!AK27+1,0)</f>
        <v>400</v>
      </c>
      <c r="AL82" s="245">
        <f>VLOOKUP($H82,'Cost inputs'!$A$18:$E$39,'Land Price Phase Sc1&amp;2'!AL27+1,0)</f>
        <v>400</v>
      </c>
      <c r="AM82" s="245">
        <f>VLOOKUP($H82,'Cost inputs'!$A$18:$E$39,'Land Price Phase Sc1&amp;2'!AM27+1,0)</f>
        <v>1200</v>
      </c>
      <c r="AN82" s="245">
        <f>VLOOKUP($H82,'Cost inputs'!$A$18:$E$39,'Land Price Phase Sc1&amp;2'!AN27+1,0)</f>
        <v>1200</v>
      </c>
      <c r="AO82" s="245">
        <f>VLOOKUP($H82,'Cost inputs'!$A$18:$E$39,'Land Price Phase Sc1&amp;2'!AO27+1,0)</f>
        <v>1200</v>
      </c>
      <c r="AP82" s="245">
        <f>VLOOKUP($H82,'Cost inputs'!$A$18:$E$39,'Land Price Phase Sc1&amp;2'!AP27+1,0)</f>
        <v>1200</v>
      </c>
      <c r="AQ82" s="245">
        <f>VLOOKUP($H82,'Cost inputs'!$A$18:$E$39,'Land Price Phase Sc1&amp;2'!AQ27+1,0)</f>
        <v>1200</v>
      </c>
      <c r="AR82" s="245">
        <f>VLOOKUP($H82,'Cost inputs'!$A$18:$E$39,'Land Price Phase Sc1&amp;2'!AR27+1,0)</f>
        <v>1200</v>
      </c>
      <c r="AS82" s="245">
        <f>VLOOKUP($H82,'Cost inputs'!$A$18:$E$39,'Land Price Phase Sc1&amp;2'!AS27+1,0)</f>
        <v>1200</v>
      </c>
      <c r="AT82" s="245">
        <f>VLOOKUP($H82,'Cost inputs'!$A$18:$E$39,'Land Price Phase Sc1&amp;2'!AT27+1,0)</f>
        <v>1200</v>
      </c>
      <c r="AU82" s="245">
        <f>VLOOKUP($H82,'Cost inputs'!$A$18:$E$39,'Land Price Phase Sc1&amp;2'!AU27+1,0)</f>
        <v>1200</v>
      </c>
    </row>
    <row r="83" spans="1:47" x14ac:dyDescent="0.3">
      <c r="A83" s="245" t="str">
        <f t="shared" si="41"/>
        <v>North</v>
      </c>
      <c r="B83" s="245" t="str">
        <f t="shared" si="41"/>
        <v>Upper Orewa</v>
      </c>
      <c r="C83" s="245">
        <f t="shared" si="41"/>
        <v>2050</v>
      </c>
      <c r="D83" s="245">
        <f t="shared" si="41"/>
        <v>2046</v>
      </c>
      <c r="E83" s="245">
        <f t="shared" si="41"/>
        <v>2050</v>
      </c>
      <c r="F83" s="245">
        <f t="shared" si="41"/>
        <v>2054</v>
      </c>
      <c r="G83" s="245" t="str">
        <f t="shared" si="42"/>
        <v/>
      </c>
      <c r="H83" s="245" t="str">
        <f t="shared" si="43"/>
        <v>Orewa-Hibiscus</v>
      </c>
      <c r="I83" s="245">
        <f>VLOOKUP($H83,'Cost inputs'!$A$18:$E$39,'Land Price Phase Sc1&amp;2'!I28+1,0)</f>
        <v>85</v>
      </c>
      <c r="J83" s="245">
        <f>VLOOKUP($H83,'Cost inputs'!$A$18:$E$39,'Land Price Phase Sc1&amp;2'!J28+1,0)</f>
        <v>85</v>
      </c>
      <c r="K83" s="245">
        <f>VLOOKUP($H83,'Cost inputs'!$A$18:$E$39,'Land Price Phase Sc1&amp;2'!K28+1,0)</f>
        <v>85</v>
      </c>
      <c r="L83" s="245">
        <f>VLOOKUP($H83,'Cost inputs'!$A$18:$E$39,'Land Price Phase Sc1&amp;2'!L28+1,0)</f>
        <v>85</v>
      </c>
      <c r="M83" s="245">
        <f>VLOOKUP($H83,'Cost inputs'!$A$18:$E$39,'Land Price Phase Sc1&amp;2'!M28+1,0)</f>
        <v>85</v>
      </c>
      <c r="N83" s="245">
        <f>VLOOKUP($H83,'Cost inputs'!$A$18:$E$39,'Land Price Phase Sc1&amp;2'!N28+1,0)</f>
        <v>85</v>
      </c>
      <c r="O83" s="245">
        <f>VLOOKUP($H83,'Cost inputs'!$A$18:$E$39,'Land Price Phase Sc1&amp;2'!O28+1,0)</f>
        <v>85</v>
      </c>
      <c r="P83" s="245">
        <f>VLOOKUP($H83,'Cost inputs'!$A$18:$E$39,'Land Price Phase Sc1&amp;2'!P28+1,0)</f>
        <v>85</v>
      </c>
      <c r="Q83" s="245">
        <f>VLOOKUP($H83,'Cost inputs'!$A$18:$E$39,'Land Price Phase Sc1&amp;2'!Q28+1,0)</f>
        <v>85</v>
      </c>
      <c r="R83" s="245">
        <f>VLOOKUP($H83,'Cost inputs'!$A$18:$E$39,'Land Price Phase Sc1&amp;2'!R28+1,0)</f>
        <v>85</v>
      </c>
      <c r="S83" s="245">
        <f>VLOOKUP($H83,'Cost inputs'!$A$18:$E$39,'Land Price Phase Sc1&amp;2'!S28+1,0)</f>
        <v>85</v>
      </c>
      <c r="T83" s="245">
        <f>VLOOKUP($H83,'Cost inputs'!$A$18:$E$39,'Land Price Phase Sc1&amp;2'!T28+1,0)</f>
        <v>85</v>
      </c>
      <c r="U83" s="245">
        <f>VLOOKUP($H83,'Cost inputs'!$A$18:$E$39,'Land Price Phase Sc1&amp;2'!U28+1,0)</f>
        <v>85</v>
      </c>
      <c r="V83" s="245">
        <f>VLOOKUP($H83,'Cost inputs'!$A$18:$E$39,'Land Price Phase Sc1&amp;2'!V28+1,0)</f>
        <v>85</v>
      </c>
      <c r="W83" s="245">
        <f>VLOOKUP($H83,'Cost inputs'!$A$18:$E$39,'Land Price Phase Sc1&amp;2'!W28+1,0)</f>
        <v>85</v>
      </c>
      <c r="X83" s="245">
        <f>VLOOKUP($H83,'Cost inputs'!$A$18:$E$39,'Land Price Phase Sc1&amp;2'!X28+1,0)</f>
        <v>85</v>
      </c>
      <c r="Y83" s="245">
        <f>VLOOKUP($H83,'Cost inputs'!$A$18:$E$39,'Land Price Phase Sc1&amp;2'!Y28+1,0)</f>
        <v>85</v>
      </c>
      <c r="Z83" s="245">
        <f>VLOOKUP($H83,'Cost inputs'!$A$18:$E$39,'Land Price Phase Sc1&amp;2'!Z28+1,0)</f>
        <v>85</v>
      </c>
      <c r="AA83" s="245">
        <f>VLOOKUP($H83,'Cost inputs'!$A$18:$E$39,'Land Price Phase Sc1&amp;2'!AA28+1,0)</f>
        <v>85</v>
      </c>
      <c r="AB83" s="245">
        <f>VLOOKUP($H83,'Cost inputs'!$A$18:$E$39,'Land Price Phase Sc1&amp;2'!AB28+1,0)</f>
        <v>85</v>
      </c>
      <c r="AC83" s="245">
        <f>VLOOKUP($H83,'Cost inputs'!$A$18:$E$39,'Land Price Phase Sc1&amp;2'!AC28+1,0)</f>
        <v>85</v>
      </c>
      <c r="AD83" s="245">
        <f>VLOOKUP($H83,'Cost inputs'!$A$18:$E$39,'Land Price Phase Sc1&amp;2'!AD28+1,0)</f>
        <v>85</v>
      </c>
      <c r="AE83" s="245">
        <f>VLOOKUP($H83,'Cost inputs'!$A$18:$E$39,'Land Price Phase Sc1&amp;2'!AE28+1,0)</f>
        <v>225</v>
      </c>
      <c r="AF83" s="245">
        <f>VLOOKUP($H83,'Cost inputs'!$A$18:$E$39,'Land Price Phase Sc1&amp;2'!AF28+1,0)</f>
        <v>225</v>
      </c>
      <c r="AG83" s="245">
        <f>VLOOKUP($H83,'Cost inputs'!$A$18:$E$39,'Land Price Phase Sc1&amp;2'!AG28+1,0)</f>
        <v>225</v>
      </c>
      <c r="AH83" s="245">
        <f>VLOOKUP($H83,'Cost inputs'!$A$18:$E$39,'Land Price Phase Sc1&amp;2'!AH28+1,0)</f>
        <v>225</v>
      </c>
      <c r="AI83" s="245">
        <f>VLOOKUP($H83,'Cost inputs'!$A$18:$E$39,'Land Price Phase Sc1&amp;2'!AI28+1,0)</f>
        <v>400</v>
      </c>
      <c r="AJ83" s="245">
        <f>VLOOKUP($H83,'Cost inputs'!$A$18:$E$39,'Land Price Phase Sc1&amp;2'!AJ28+1,0)</f>
        <v>400</v>
      </c>
      <c r="AK83" s="245">
        <f>VLOOKUP($H83,'Cost inputs'!$A$18:$E$39,'Land Price Phase Sc1&amp;2'!AK28+1,0)</f>
        <v>400</v>
      </c>
      <c r="AL83" s="245">
        <f>VLOOKUP($H83,'Cost inputs'!$A$18:$E$39,'Land Price Phase Sc1&amp;2'!AL28+1,0)</f>
        <v>400</v>
      </c>
      <c r="AM83" s="245">
        <f>VLOOKUP($H83,'Cost inputs'!$A$18:$E$39,'Land Price Phase Sc1&amp;2'!AM28+1,0)</f>
        <v>1200</v>
      </c>
      <c r="AN83" s="245">
        <f>VLOOKUP($H83,'Cost inputs'!$A$18:$E$39,'Land Price Phase Sc1&amp;2'!AN28+1,0)</f>
        <v>1200</v>
      </c>
      <c r="AO83" s="245">
        <f>VLOOKUP($H83,'Cost inputs'!$A$18:$E$39,'Land Price Phase Sc1&amp;2'!AO28+1,0)</f>
        <v>1200</v>
      </c>
      <c r="AP83" s="245">
        <f>VLOOKUP($H83,'Cost inputs'!$A$18:$E$39,'Land Price Phase Sc1&amp;2'!AP28+1,0)</f>
        <v>1200</v>
      </c>
      <c r="AQ83" s="245">
        <f>VLOOKUP($H83,'Cost inputs'!$A$18:$E$39,'Land Price Phase Sc1&amp;2'!AQ28+1,0)</f>
        <v>1200</v>
      </c>
      <c r="AR83" s="245">
        <f>VLOOKUP($H83,'Cost inputs'!$A$18:$E$39,'Land Price Phase Sc1&amp;2'!AR28+1,0)</f>
        <v>1200</v>
      </c>
      <c r="AS83" s="245">
        <f>VLOOKUP($H83,'Cost inputs'!$A$18:$E$39,'Land Price Phase Sc1&amp;2'!AS28+1,0)</f>
        <v>1200</v>
      </c>
      <c r="AT83" s="245">
        <f>VLOOKUP($H83,'Cost inputs'!$A$18:$E$39,'Land Price Phase Sc1&amp;2'!AT28+1,0)</f>
        <v>1200</v>
      </c>
      <c r="AU83" s="245">
        <f>VLOOKUP($H83,'Cost inputs'!$A$18:$E$39,'Land Price Phase Sc1&amp;2'!AU28+1,0)</f>
        <v>1200</v>
      </c>
    </row>
    <row r="84" spans="1:47" x14ac:dyDescent="0.3">
      <c r="A84" s="245" t="str">
        <f t="shared" si="41"/>
        <v>Puhinui</v>
      </c>
      <c r="B84" s="245" t="str">
        <f t="shared" si="41"/>
        <v>Puhinui</v>
      </c>
      <c r="C84" s="245">
        <f t="shared" si="41"/>
        <v>2030</v>
      </c>
      <c r="D84" s="245">
        <f t="shared" si="41"/>
        <v>2026</v>
      </c>
      <c r="E84" s="245">
        <f t="shared" si="41"/>
        <v>2030</v>
      </c>
      <c r="F84" s="245">
        <f t="shared" si="41"/>
        <v>2034</v>
      </c>
      <c r="G84" s="245" t="str">
        <f t="shared" si="42"/>
        <v/>
      </c>
      <c r="H84" s="245" t="str">
        <f t="shared" si="43"/>
        <v>Puhinui</v>
      </c>
      <c r="I84" s="245" t="str">
        <f>VLOOKUP($H84,'Cost inputs'!$A$18:$E$39,'Land Price Phase Sc1&amp;2'!I29+1,0)</f>
        <v>NA</v>
      </c>
      <c r="J84" s="245" t="str">
        <f>VLOOKUP($H84,'Cost inputs'!$A$18:$E$39,'Land Price Phase Sc1&amp;2'!J29+1,0)</f>
        <v>NA</v>
      </c>
      <c r="K84" s="245" t="str">
        <f>VLOOKUP($H84,'Cost inputs'!$A$18:$E$39,'Land Price Phase Sc1&amp;2'!K29+1,0)</f>
        <v>NA</v>
      </c>
      <c r="L84" s="245" t="str">
        <f>VLOOKUP($H84,'Cost inputs'!$A$18:$E$39,'Land Price Phase Sc1&amp;2'!L29+1,0)</f>
        <v>NA</v>
      </c>
      <c r="M84" s="245" t="str">
        <f>VLOOKUP($H84,'Cost inputs'!$A$18:$E$39,'Land Price Phase Sc1&amp;2'!M29+1,0)</f>
        <v>NA</v>
      </c>
      <c r="N84" s="245" t="str">
        <f>VLOOKUP($H84,'Cost inputs'!$A$18:$E$39,'Land Price Phase Sc1&amp;2'!N29+1,0)</f>
        <v>NA</v>
      </c>
      <c r="O84" s="245" t="str">
        <f>VLOOKUP($H84,'Cost inputs'!$A$18:$E$39,'Land Price Phase Sc1&amp;2'!O29+1,0)</f>
        <v>NA</v>
      </c>
      <c r="P84" s="245" t="str">
        <f>VLOOKUP($H84,'Cost inputs'!$A$18:$E$39,'Land Price Phase Sc1&amp;2'!P29+1,0)</f>
        <v>NA</v>
      </c>
      <c r="Q84" s="245" t="str">
        <f>VLOOKUP($H84,'Cost inputs'!$A$18:$E$39,'Land Price Phase Sc1&amp;2'!Q29+1,0)</f>
        <v>NA</v>
      </c>
      <c r="R84" s="245" t="str">
        <f>VLOOKUP($H84,'Cost inputs'!$A$18:$E$39,'Land Price Phase Sc1&amp;2'!R29+1,0)</f>
        <v>NA</v>
      </c>
      <c r="S84" s="245" t="str">
        <f>VLOOKUP($H84,'Cost inputs'!$A$18:$E$39,'Land Price Phase Sc1&amp;2'!S29+1,0)</f>
        <v>NA</v>
      </c>
      <c r="T84" s="245" t="str">
        <f>VLOOKUP($H84,'Cost inputs'!$A$18:$E$39,'Land Price Phase Sc1&amp;2'!T29+1,0)</f>
        <v>NA</v>
      </c>
      <c r="U84" s="245" t="str">
        <f>VLOOKUP($H84,'Cost inputs'!$A$18:$E$39,'Land Price Phase Sc1&amp;2'!U29+1,0)</f>
        <v>NA</v>
      </c>
      <c r="V84" s="245" t="str">
        <f>VLOOKUP($H84,'Cost inputs'!$A$18:$E$39,'Land Price Phase Sc1&amp;2'!V29+1,0)</f>
        <v>NA</v>
      </c>
      <c r="W84" s="245" t="str">
        <f>VLOOKUP($H84,'Cost inputs'!$A$18:$E$39,'Land Price Phase Sc1&amp;2'!W29+1,0)</f>
        <v>NA</v>
      </c>
      <c r="X84" s="245" t="str">
        <f>VLOOKUP($H84,'Cost inputs'!$A$18:$E$39,'Land Price Phase Sc1&amp;2'!X29+1,0)</f>
        <v>NA</v>
      </c>
      <c r="Y84" s="245" t="str">
        <f>VLOOKUP($H84,'Cost inputs'!$A$18:$E$39,'Land Price Phase Sc1&amp;2'!Y29+1,0)</f>
        <v>NA</v>
      </c>
      <c r="Z84" s="245" t="str">
        <f>VLOOKUP($H84,'Cost inputs'!$A$18:$E$39,'Land Price Phase Sc1&amp;2'!Z29+1,0)</f>
        <v>NA</v>
      </c>
      <c r="AA84" s="245" t="str">
        <f>VLOOKUP($H84,'Cost inputs'!$A$18:$E$39,'Land Price Phase Sc1&amp;2'!AA29+1,0)</f>
        <v>NA</v>
      </c>
      <c r="AB84" s="245" t="str">
        <f>VLOOKUP($H84,'Cost inputs'!$A$18:$E$39,'Land Price Phase Sc1&amp;2'!AB29+1,0)</f>
        <v>NA</v>
      </c>
      <c r="AC84" s="245" t="str">
        <f>VLOOKUP($H84,'Cost inputs'!$A$18:$E$39,'Land Price Phase Sc1&amp;2'!AC29+1,0)</f>
        <v>NA</v>
      </c>
      <c r="AD84" s="245" t="str">
        <f>VLOOKUP($H84,'Cost inputs'!$A$18:$E$39,'Land Price Phase Sc1&amp;2'!AD29+1,0)</f>
        <v>NA</v>
      </c>
      <c r="AE84" s="245" t="str">
        <f>VLOOKUP($H84,'Cost inputs'!$A$18:$E$39,'Land Price Phase Sc1&amp;2'!AE29+1,0)</f>
        <v>NA</v>
      </c>
      <c r="AF84" s="245" t="str">
        <f>VLOOKUP($H84,'Cost inputs'!$A$18:$E$39,'Land Price Phase Sc1&amp;2'!AF29+1,0)</f>
        <v>NA</v>
      </c>
      <c r="AG84" s="245" t="str">
        <f>VLOOKUP($H84,'Cost inputs'!$A$18:$E$39,'Land Price Phase Sc1&amp;2'!AG29+1,0)</f>
        <v>NA</v>
      </c>
      <c r="AH84" s="245" t="str">
        <f>VLOOKUP($H84,'Cost inputs'!$A$18:$E$39,'Land Price Phase Sc1&amp;2'!AH29+1,0)</f>
        <v>NA</v>
      </c>
      <c r="AI84" s="245" t="str">
        <f>VLOOKUP($H84,'Cost inputs'!$A$18:$E$39,'Land Price Phase Sc1&amp;2'!AI29+1,0)</f>
        <v>NA</v>
      </c>
      <c r="AJ84" s="245" t="str">
        <f>VLOOKUP($H84,'Cost inputs'!$A$18:$E$39,'Land Price Phase Sc1&amp;2'!AJ29+1,0)</f>
        <v>NA</v>
      </c>
      <c r="AK84" s="245" t="str">
        <f>VLOOKUP($H84,'Cost inputs'!$A$18:$E$39,'Land Price Phase Sc1&amp;2'!AK29+1,0)</f>
        <v>NA</v>
      </c>
      <c r="AL84" s="245" t="str">
        <f>VLOOKUP($H84,'Cost inputs'!$A$18:$E$39,'Land Price Phase Sc1&amp;2'!AL29+1,0)</f>
        <v>NA</v>
      </c>
      <c r="AM84" s="245" t="str">
        <f>VLOOKUP($H84,'Cost inputs'!$A$18:$E$39,'Land Price Phase Sc1&amp;2'!AM29+1,0)</f>
        <v>NA</v>
      </c>
      <c r="AN84" s="245" t="str">
        <f>VLOOKUP($H84,'Cost inputs'!$A$18:$E$39,'Land Price Phase Sc1&amp;2'!AN29+1,0)</f>
        <v>NA</v>
      </c>
      <c r="AO84" s="245" t="str">
        <f>VLOOKUP($H84,'Cost inputs'!$A$18:$E$39,'Land Price Phase Sc1&amp;2'!AO29+1,0)</f>
        <v>NA</v>
      </c>
      <c r="AP84" s="245" t="str">
        <f>VLOOKUP($H84,'Cost inputs'!$A$18:$E$39,'Land Price Phase Sc1&amp;2'!AP29+1,0)</f>
        <v>NA</v>
      </c>
      <c r="AQ84" s="245" t="str">
        <f>VLOOKUP($H84,'Cost inputs'!$A$18:$E$39,'Land Price Phase Sc1&amp;2'!AQ29+1,0)</f>
        <v>NA</v>
      </c>
      <c r="AR84" s="245" t="str">
        <f>VLOOKUP($H84,'Cost inputs'!$A$18:$E$39,'Land Price Phase Sc1&amp;2'!AR29+1,0)</f>
        <v>NA</v>
      </c>
      <c r="AS84" s="245" t="str">
        <f>VLOOKUP($H84,'Cost inputs'!$A$18:$E$39,'Land Price Phase Sc1&amp;2'!AS29+1,0)</f>
        <v>NA</v>
      </c>
      <c r="AT84" s="245" t="str">
        <f>VLOOKUP($H84,'Cost inputs'!$A$18:$E$39,'Land Price Phase Sc1&amp;2'!AT29+1,0)</f>
        <v>NA</v>
      </c>
      <c r="AU84" s="245" t="str">
        <f>VLOOKUP($H84,'Cost inputs'!$A$18:$E$39,'Land Price Phase Sc1&amp;2'!AU29+1,0)</f>
        <v>NA</v>
      </c>
    </row>
    <row r="85" spans="1:47" x14ac:dyDescent="0.3">
      <c r="A85" s="245" t="str">
        <f t="shared" si="41"/>
        <v>Takaanini &amp; Cosgrave Road</v>
      </c>
      <c r="B85" s="245" t="str">
        <f t="shared" si="41"/>
        <v>Takaanini &amp; Cosgrave Road</v>
      </c>
      <c r="C85" s="245">
        <f t="shared" si="41"/>
        <v>2050</v>
      </c>
      <c r="D85" s="245">
        <f t="shared" si="41"/>
        <v>2046</v>
      </c>
      <c r="E85" s="245">
        <f t="shared" si="41"/>
        <v>2050</v>
      </c>
      <c r="F85" s="245">
        <f t="shared" si="41"/>
        <v>2054</v>
      </c>
      <c r="G85" s="245" t="str">
        <f t="shared" si="42"/>
        <v/>
      </c>
      <c r="H85" s="245" t="str">
        <f t="shared" si="43"/>
        <v>Takanini</v>
      </c>
      <c r="I85" s="272">
        <f>VLOOKUP($H85,'Cost inputs'!$A$18:$E$39,'Land Price Phase Sc1&amp;2'!I30+1,0)</f>
        <v>126.11940298507461</v>
      </c>
      <c r="J85" s="272">
        <f>VLOOKUP($H85,'Cost inputs'!$A$18:$E$39,'Land Price Phase Sc1&amp;2'!J30+1,0)</f>
        <v>126.11940298507461</v>
      </c>
      <c r="K85" s="272">
        <f>VLOOKUP($H85,'Cost inputs'!$A$18:$E$39,'Land Price Phase Sc1&amp;2'!K30+1,0)</f>
        <v>126.11940298507461</v>
      </c>
      <c r="L85" s="272">
        <f>VLOOKUP($H85,'Cost inputs'!$A$18:$E$39,'Land Price Phase Sc1&amp;2'!L30+1,0)</f>
        <v>126.11940298507461</v>
      </c>
      <c r="M85" s="272">
        <f>VLOOKUP($H85,'Cost inputs'!$A$18:$E$39,'Land Price Phase Sc1&amp;2'!M30+1,0)</f>
        <v>126.11940298507461</v>
      </c>
      <c r="N85" s="272">
        <f>VLOOKUP($H85,'Cost inputs'!$A$18:$E$39,'Land Price Phase Sc1&amp;2'!N30+1,0)</f>
        <v>126.11940298507461</v>
      </c>
      <c r="O85" s="272">
        <f>VLOOKUP($H85,'Cost inputs'!$A$18:$E$39,'Land Price Phase Sc1&amp;2'!O30+1,0)</f>
        <v>126.11940298507461</v>
      </c>
      <c r="P85" s="272">
        <f>VLOOKUP($H85,'Cost inputs'!$A$18:$E$39,'Land Price Phase Sc1&amp;2'!P30+1,0)</f>
        <v>126.11940298507461</v>
      </c>
      <c r="Q85" s="272">
        <f>VLOOKUP($H85,'Cost inputs'!$A$18:$E$39,'Land Price Phase Sc1&amp;2'!Q30+1,0)</f>
        <v>126.11940298507461</v>
      </c>
      <c r="R85" s="272">
        <f>VLOOKUP($H85,'Cost inputs'!$A$18:$E$39,'Land Price Phase Sc1&amp;2'!R30+1,0)</f>
        <v>126.11940298507461</v>
      </c>
      <c r="S85" s="272">
        <f>VLOOKUP($H85,'Cost inputs'!$A$18:$E$39,'Land Price Phase Sc1&amp;2'!S30+1,0)</f>
        <v>126.11940298507461</v>
      </c>
      <c r="T85" s="272">
        <f>VLOOKUP($H85,'Cost inputs'!$A$18:$E$39,'Land Price Phase Sc1&amp;2'!T30+1,0)</f>
        <v>126.11940298507461</v>
      </c>
      <c r="U85" s="272">
        <f>VLOOKUP($H85,'Cost inputs'!$A$18:$E$39,'Land Price Phase Sc1&amp;2'!U30+1,0)</f>
        <v>126.11940298507461</v>
      </c>
      <c r="V85" s="272">
        <f>VLOOKUP($H85,'Cost inputs'!$A$18:$E$39,'Land Price Phase Sc1&amp;2'!V30+1,0)</f>
        <v>126.11940298507461</v>
      </c>
      <c r="W85" s="272">
        <f>VLOOKUP($H85,'Cost inputs'!$A$18:$E$39,'Land Price Phase Sc1&amp;2'!W30+1,0)</f>
        <v>126.11940298507461</v>
      </c>
      <c r="X85" s="272">
        <f>VLOOKUP($H85,'Cost inputs'!$A$18:$E$39,'Land Price Phase Sc1&amp;2'!X30+1,0)</f>
        <v>126.11940298507461</v>
      </c>
      <c r="Y85" s="272">
        <f>VLOOKUP($H85,'Cost inputs'!$A$18:$E$39,'Land Price Phase Sc1&amp;2'!Y30+1,0)</f>
        <v>126.11940298507461</v>
      </c>
      <c r="Z85" s="272">
        <f>VLOOKUP($H85,'Cost inputs'!$A$18:$E$39,'Land Price Phase Sc1&amp;2'!Z30+1,0)</f>
        <v>126.11940298507461</v>
      </c>
      <c r="AA85" s="272">
        <f>VLOOKUP($H85,'Cost inputs'!$A$18:$E$39,'Land Price Phase Sc1&amp;2'!AA30+1,0)</f>
        <v>126.11940298507461</v>
      </c>
      <c r="AB85" s="272">
        <f>VLOOKUP($H85,'Cost inputs'!$A$18:$E$39,'Land Price Phase Sc1&amp;2'!AB30+1,0)</f>
        <v>126.11940298507461</v>
      </c>
      <c r="AC85" s="272">
        <f>VLOOKUP($H85,'Cost inputs'!$A$18:$E$39,'Land Price Phase Sc1&amp;2'!AC30+1,0)</f>
        <v>126.11940298507461</v>
      </c>
      <c r="AD85" s="272">
        <f>VLOOKUP($H85,'Cost inputs'!$A$18:$E$39,'Land Price Phase Sc1&amp;2'!AD30+1,0)</f>
        <v>126.11940298507461</v>
      </c>
      <c r="AE85" s="272">
        <f>VLOOKUP($H85,'Cost inputs'!$A$18:$E$39,'Land Price Phase Sc1&amp;2'!AE30+1,0)</f>
        <v>232.83582089552237</v>
      </c>
      <c r="AF85" s="272">
        <f>VLOOKUP($H85,'Cost inputs'!$A$18:$E$39,'Land Price Phase Sc1&amp;2'!AF30+1,0)</f>
        <v>232.83582089552237</v>
      </c>
      <c r="AG85" s="272">
        <f>VLOOKUP($H85,'Cost inputs'!$A$18:$E$39,'Land Price Phase Sc1&amp;2'!AG30+1,0)</f>
        <v>232.83582089552237</v>
      </c>
      <c r="AH85" s="272">
        <f>VLOOKUP($H85,'Cost inputs'!$A$18:$E$39,'Land Price Phase Sc1&amp;2'!AH30+1,0)</f>
        <v>232.83582089552237</v>
      </c>
      <c r="AI85" s="272">
        <f>VLOOKUP($H85,'Cost inputs'!$A$18:$E$39,'Land Price Phase Sc1&amp;2'!AI30+1,0)</f>
        <v>325</v>
      </c>
      <c r="AJ85" s="272">
        <f>VLOOKUP($H85,'Cost inputs'!$A$18:$E$39,'Land Price Phase Sc1&amp;2'!AJ30+1,0)</f>
        <v>325</v>
      </c>
      <c r="AK85" s="272">
        <f>VLOOKUP($H85,'Cost inputs'!$A$18:$E$39,'Land Price Phase Sc1&amp;2'!AK30+1,0)</f>
        <v>325</v>
      </c>
      <c r="AL85" s="272">
        <f>VLOOKUP($H85,'Cost inputs'!$A$18:$E$39,'Land Price Phase Sc1&amp;2'!AL30+1,0)</f>
        <v>325</v>
      </c>
      <c r="AM85" s="272">
        <f>VLOOKUP($H85,'Cost inputs'!$A$18:$E$39,'Land Price Phase Sc1&amp;2'!AM30+1,0)</f>
        <v>1075</v>
      </c>
      <c r="AN85" s="272">
        <f>VLOOKUP($H85,'Cost inputs'!$A$18:$E$39,'Land Price Phase Sc1&amp;2'!AN30+1,0)</f>
        <v>1075</v>
      </c>
      <c r="AO85" s="272">
        <f>VLOOKUP($H85,'Cost inputs'!$A$18:$E$39,'Land Price Phase Sc1&amp;2'!AO30+1,0)</f>
        <v>1075</v>
      </c>
      <c r="AP85" s="272">
        <f>VLOOKUP($H85,'Cost inputs'!$A$18:$E$39,'Land Price Phase Sc1&amp;2'!AP30+1,0)</f>
        <v>1075</v>
      </c>
      <c r="AQ85" s="272">
        <f>VLOOKUP($H85,'Cost inputs'!$A$18:$E$39,'Land Price Phase Sc1&amp;2'!AQ30+1,0)</f>
        <v>1075</v>
      </c>
      <c r="AR85" s="272">
        <f>VLOOKUP($H85,'Cost inputs'!$A$18:$E$39,'Land Price Phase Sc1&amp;2'!AR30+1,0)</f>
        <v>1075</v>
      </c>
      <c r="AS85" s="272">
        <f>VLOOKUP($H85,'Cost inputs'!$A$18:$E$39,'Land Price Phase Sc1&amp;2'!AS30+1,0)</f>
        <v>1075</v>
      </c>
      <c r="AT85" s="272">
        <f>VLOOKUP($H85,'Cost inputs'!$A$18:$E$39,'Land Price Phase Sc1&amp;2'!AT30+1,0)</f>
        <v>1075</v>
      </c>
      <c r="AU85" s="272">
        <f>VLOOKUP($H85,'Cost inputs'!$A$18:$E$39,'Land Price Phase Sc1&amp;2'!AU30+1,0)</f>
        <v>1075</v>
      </c>
    </row>
    <row r="86" spans="1:47" x14ac:dyDescent="0.3">
      <c r="A86" s="245" t="str">
        <f t="shared" si="41"/>
        <v>Drury-Opaheke 2024</v>
      </c>
      <c r="B86" s="245" t="str">
        <f t="shared" si="41"/>
        <v>Opaheke</v>
      </c>
      <c r="C86" s="245">
        <f t="shared" si="41"/>
        <v>2050</v>
      </c>
      <c r="D86" s="245">
        <f t="shared" si="41"/>
        <v>2046</v>
      </c>
      <c r="E86" s="245">
        <f t="shared" si="41"/>
        <v>2050</v>
      </c>
      <c r="F86" s="245">
        <f t="shared" si="41"/>
        <v>2054</v>
      </c>
      <c r="G86" s="245" t="str">
        <f t="shared" si="42"/>
        <v/>
      </c>
      <c r="H86" s="245" t="str">
        <f t="shared" si="43"/>
        <v>Opaheke / Drury</v>
      </c>
      <c r="I86" s="245">
        <f>VLOOKUP($H86,'Cost inputs'!$A$18:$E$39,'Land Price Phase Sc1&amp;2'!I31+1,0)</f>
        <v>130</v>
      </c>
      <c r="J86" s="245">
        <f>VLOOKUP($H86,'Cost inputs'!$A$18:$E$39,'Land Price Phase Sc1&amp;2'!J31+1,0)</f>
        <v>130</v>
      </c>
      <c r="K86" s="245">
        <f>VLOOKUP($H86,'Cost inputs'!$A$18:$E$39,'Land Price Phase Sc1&amp;2'!K31+1,0)</f>
        <v>130</v>
      </c>
      <c r="L86" s="245">
        <f>VLOOKUP($H86,'Cost inputs'!$A$18:$E$39,'Land Price Phase Sc1&amp;2'!L31+1,0)</f>
        <v>130</v>
      </c>
      <c r="M86" s="245">
        <f>VLOOKUP($H86,'Cost inputs'!$A$18:$E$39,'Land Price Phase Sc1&amp;2'!M31+1,0)</f>
        <v>130</v>
      </c>
      <c r="N86" s="245">
        <f>VLOOKUP($H86,'Cost inputs'!$A$18:$E$39,'Land Price Phase Sc1&amp;2'!N31+1,0)</f>
        <v>130</v>
      </c>
      <c r="O86" s="245">
        <f>VLOOKUP($H86,'Cost inputs'!$A$18:$E$39,'Land Price Phase Sc1&amp;2'!O31+1,0)</f>
        <v>130</v>
      </c>
      <c r="P86" s="245">
        <f>VLOOKUP($H86,'Cost inputs'!$A$18:$E$39,'Land Price Phase Sc1&amp;2'!P31+1,0)</f>
        <v>130</v>
      </c>
      <c r="Q86" s="245">
        <f>VLOOKUP($H86,'Cost inputs'!$A$18:$E$39,'Land Price Phase Sc1&amp;2'!Q31+1,0)</f>
        <v>130</v>
      </c>
      <c r="R86" s="245">
        <f>VLOOKUP($H86,'Cost inputs'!$A$18:$E$39,'Land Price Phase Sc1&amp;2'!R31+1,0)</f>
        <v>130</v>
      </c>
      <c r="S86" s="245">
        <f>VLOOKUP($H86,'Cost inputs'!$A$18:$E$39,'Land Price Phase Sc1&amp;2'!S31+1,0)</f>
        <v>130</v>
      </c>
      <c r="T86" s="245">
        <f>VLOOKUP($H86,'Cost inputs'!$A$18:$E$39,'Land Price Phase Sc1&amp;2'!T31+1,0)</f>
        <v>130</v>
      </c>
      <c r="U86" s="245">
        <f>VLOOKUP($H86,'Cost inputs'!$A$18:$E$39,'Land Price Phase Sc1&amp;2'!U31+1,0)</f>
        <v>130</v>
      </c>
      <c r="V86" s="245">
        <f>VLOOKUP($H86,'Cost inputs'!$A$18:$E$39,'Land Price Phase Sc1&amp;2'!V31+1,0)</f>
        <v>130</v>
      </c>
      <c r="W86" s="245">
        <f>VLOOKUP($H86,'Cost inputs'!$A$18:$E$39,'Land Price Phase Sc1&amp;2'!W31+1,0)</f>
        <v>130</v>
      </c>
      <c r="X86" s="245">
        <f>VLOOKUP($H86,'Cost inputs'!$A$18:$E$39,'Land Price Phase Sc1&amp;2'!X31+1,0)</f>
        <v>130</v>
      </c>
      <c r="Y86" s="245">
        <f>VLOOKUP($H86,'Cost inputs'!$A$18:$E$39,'Land Price Phase Sc1&amp;2'!Y31+1,0)</f>
        <v>130</v>
      </c>
      <c r="Z86" s="245">
        <f>VLOOKUP($H86,'Cost inputs'!$A$18:$E$39,'Land Price Phase Sc1&amp;2'!Z31+1,0)</f>
        <v>130</v>
      </c>
      <c r="AA86" s="245">
        <f>VLOOKUP($H86,'Cost inputs'!$A$18:$E$39,'Land Price Phase Sc1&amp;2'!AA31+1,0)</f>
        <v>130</v>
      </c>
      <c r="AB86" s="245">
        <f>VLOOKUP($H86,'Cost inputs'!$A$18:$E$39,'Land Price Phase Sc1&amp;2'!AB31+1,0)</f>
        <v>130</v>
      </c>
      <c r="AC86" s="245">
        <f>VLOOKUP($H86,'Cost inputs'!$A$18:$E$39,'Land Price Phase Sc1&amp;2'!AC31+1,0)</f>
        <v>130</v>
      </c>
      <c r="AD86" s="245">
        <f>VLOOKUP($H86,'Cost inputs'!$A$18:$E$39,'Land Price Phase Sc1&amp;2'!AD31+1,0)</f>
        <v>130</v>
      </c>
      <c r="AE86" s="245">
        <f>VLOOKUP($H86,'Cost inputs'!$A$18:$E$39,'Land Price Phase Sc1&amp;2'!AE31+1,0)</f>
        <v>240</v>
      </c>
      <c r="AF86" s="245">
        <f>VLOOKUP($H86,'Cost inputs'!$A$18:$E$39,'Land Price Phase Sc1&amp;2'!AF31+1,0)</f>
        <v>240</v>
      </c>
      <c r="AG86" s="245">
        <f>VLOOKUP($H86,'Cost inputs'!$A$18:$E$39,'Land Price Phase Sc1&amp;2'!AG31+1,0)</f>
        <v>240</v>
      </c>
      <c r="AH86" s="245">
        <f>VLOOKUP($H86,'Cost inputs'!$A$18:$E$39,'Land Price Phase Sc1&amp;2'!AH31+1,0)</f>
        <v>240</v>
      </c>
      <c r="AI86" s="245">
        <f>VLOOKUP($H86,'Cost inputs'!$A$18:$E$39,'Land Price Phase Sc1&amp;2'!AI31+1,0)</f>
        <v>335</v>
      </c>
      <c r="AJ86" s="245">
        <f>VLOOKUP($H86,'Cost inputs'!$A$18:$E$39,'Land Price Phase Sc1&amp;2'!AJ31+1,0)</f>
        <v>335</v>
      </c>
      <c r="AK86" s="245">
        <f>VLOOKUP($H86,'Cost inputs'!$A$18:$E$39,'Land Price Phase Sc1&amp;2'!AK31+1,0)</f>
        <v>335</v>
      </c>
      <c r="AL86" s="245">
        <f>VLOOKUP($H86,'Cost inputs'!$A$18:$E$39,'Land Price Phase Sc1&amp;2'!AL31+1,0)</f>
        <v>335</v>
      </c>
      <c r="AM86" s="245">
        <f>VLOOKUP($H86,'Cost inputs'!$A$18:$E$39,'Land Price Phase Sc1&amp;2'!AM31+1,0)</f>
        <v>1000</v>
      </c>
      <c r="AN86" s="245">
        <f>VLOOKUP($H86,'Cost inputs'!$A$18:$E$39,'Land Price Phase Sc1&amp;2'!AN31+1,0)</f>
        <v>1000</v>
      </c>
      <c r="AO86" s="245">
        <f>VLOOKUP($H86,'Cost inputs'!$A$18:$E$39,'Land Price Phase Sc1&amp;2'!AO31+1,0)</f>
        <v>1000</v>
      </c>
      <c r="AP86" s="245">
        <f>VLOOKUP($H86,'Cost inputs'!$A$18:$E$39,'Land Price Phase Sc1&amp;2'!AP31+1,0)</f>
        <v>1000</v>
      </c>
      <c r="AQ86" s="245">
        <f>VLOOKUP($H86,'Cost inputs'!$A$18:$E$39,'Land Price Phase Sc1&amp;2'!AQ31+1,0)</f>
        <v>1000</v>
      </c>
      <c r="AR86" s="245">
        <f>VLOOKUP($H86,'Cost inputs'!$A$18:$E$39,'Land Price Phase Sc1&amp;2'!AR31+1,0)</f>
        <v>1000</v>
      </c>
      <c r="AS86" s="245">
        <f>VLOOKUP($H86,'Cost inputs'!$A$18:$E$39,'Land Price Phase Sc1&amp;2'!AS31+1,0)</f>
        <v>1000</v>
      </c>
      <c r="AT86" s="245">
        <f>VLOOKUP($H86,'Cost inputs'!$A$18:$E$39,'Land Price Phase Sc1&amp;2'!AT31+1,0)</f>
        <v>1000</v>
      </c>
      <c r="AU86" s="245">
        <f>VLOOKUP($H86,'Cost inputs'!$A$18:$E$39,'Land Price Phase Sc1&amp;2'!AU31+1,0)</f>
        <v>1000</v>
      </c>
    </row>
    <row r="87" spans="1:47" x14ac:dyDescent="0.3">
      <c r="A87" s="245" t="str">
        <f t="shared" ref="A87:F96" si="44">A32</f>
        <v>Drury-Opaheke 2024</v>
      </c>
      <c r="B87" s="245" t="str">
        <f t="shared" si="44"/>
        <v>Drury East</v>
      </c>
      <c r="C87" s="245">
        <f t="shared" si="44"/>
        <v>2035</v>
      </c>
      <c r="D87" s="245">
        <f t="shared" si="44"/>
        <v>2031</v>
      </c>
      <c r="E87" s="245">
        <f t="shared" si="44"/>
        <v>2035</v>
      </c>
      <c r="F87" s="245">
        <f t="shared" si="44"/>
        <v>2039</v>
      </c>
      <c r="G87" s="245" t="str">
        <f t="shared" si="42"/>
        <v/>
      </c>
      <c r="H87" s="245" t="str">
        <f t="shared" si="43"/>
        <v>Opaheke / Drury</v>
      </c>
      <c r="I87" s="245">
        <f>VLOOKUP($H87,'Cost inputs'!$A$18:$E$39,'Land Price Phase Sc1&amp;2'!I32+1,0)</f>
        <v>130</v>
      </c>
      <c r="J87" s="245">
        <f>VLOOKUP($H87,'Cost inputs'!$A$18:$E$39,'Land Price Phase Sc1&amp;2'!J32+1,0)</f>
        <v>130</v>
      </c>
      <c r="K87" s="245">
        <f>VLOOKUP($H87,'Cost inputs'!$A$18:$E$39,'Land Price Phase Sc1&amp;2'!K32+1,0)</f>
        <v>130</v>
      </c>
      <c r="L87" s="245">
        <f>VLOOKUP($H87,'Cost inputs'!$A$18:$E$39,'Land Price Phase Sc1&amp;2'!L32+1,0)</f>
        <v>130</v>
      </c>
      <c r="M87" s="245">
        <f>VLOOKUP($H87,'Cost inputs'!$A$18:$E$39,'Land Price Phase Sc1&amp;2'!M32+1,0)</f>
        <v>130</v>
      </c>
      <c r="N87" s="245">
        <f>VLOOKUP($H87,'Cost inputs'!$A$18:$E$39,'Land Price Phase Sc1&amp;2'!N32+1,0)</f>
        <v>130</v>
      </c>
      <c r="O87" s="245">
        <f>VLOOKUP($H87,'Cost inputs'!$A$18:$E$39,'Land Price Phase Sc1&amp;2'!O32+1,0)</f>
        <v>130</v>
      </c>
      <c r="P87" s="245">
        <f>VLOOKUP($H87,'Cost inputs'!$A$18:$E$39,'Land Price Phase Sc1&amp;2'!P32+1,0)</f>
        <v>240</v>
      </c>
      <c r="Q87" s="245">
        <f>VLOOKUP($H87,'Cost inputs'!$A$18:$E$39,'Land Price Phase Sc1&amp;2'!Q32+1,0)</f>
        <v>240</v>
      </c>
      <c r="R87" s="245">
        <f>VLOOKUP($H87,'Cost inputs'!$A$18:$E$39,'Land Price Phase Sc1&amp;2'!R32+1,0)</f>
        <v>240</v>
      </c>
      <c r="S87" s="245">
        <f>VLOOKUP($H87,'Cost inputs'!$A$18:$E$39,'Land Price Phase Sc1&amp;2'!S32+1,0)</f>
        <v>240</v>
      </c>
      <c r="T87" s="245">
        <f>VLOOKUP($H87,'Cost inputs'!$A$18:$E$39,'Land Price Phase Sc1&amp;2'!T32+1,0)</f>
        <v>335</v>
      </c>
      <c r="U87" s="245">
        <f>VLOOKUP($H87,'Cost inputs'!$A$18:$E$39,'Land Price Phase Sc1&amp;2'!U32+1,0)</f>
        <v>335</v>
      </c>
      <c r="V87" s="245">
        <f>VLOOKUP($H87,'Cost inputs'!$A$18:$E$39,'Land Price Phase Sc1&amp;2'!V32+1,0)</f>
        <v>335</v>
      </c>
      <c r="W87" s="245">
        <f>VLOOKUP($H87,'Cost inputs'!$A$18:$E$39,'Land Price Phase Sc1&amp;2'!W32+1,0)</f>
        <v>335</v>
      </c>
      <c r="X87" s="245">
        <f>VLOOKUP($H87,'Cost inputs'!$A$18:$E$39,'Land Price Phase Sc1&amp;2'!X32+1,0)</f>
        <v>1000</v>
      </c>
      <c r="Y87" s="245">
        <f>VLOOKUP($H87,'Cost inputs'!$A$18:$E$39,'Land Price Phase Sc1&amp;2'!Y32+1,0)</f>
        <v>1000</v>
      </c>
      <c r="Z87" s="245">
        <f>VLOOKUP($H87,'Cost inputs'!$A$18:$E$39,'Land Price Phase Sc1&amp;2'!Z32+1,0)</f>
        <v>1000</v>
      </c>
      <c r="AA87" s="245">
        <f>VLOOKUP($H87,'Cost inputs'!$A$18:$E$39,'Land Price Phase Sc1&amp;2'!AA32+1,0)</f>
        <v>1000</v>
      </c>
      <c r="AB87" s="245">
        <f>VLOOKUP($H87,'Cost inputs'!$A$18:$E$39,'Land Price Phase Sc1&amp;2'!AB32+1,0)</f>
        <v>1000</v>
      </c>
      <c r="AC87" s="245">
        <f>VLOOKUP($H87,'Cost inputs'!$A$18:$E$39,'Land Price Phase Sc1&amp;2'!AC32+1,0)</f>
        <v>1000</v>
      </c>
      <c r="AD87" s="245">
        <f>VLOOKUP($H87,'Cost inputs'!$A$18:$E$39,'Land Price Phase Sc1&amp;2'!AD32+1,0)</f>
        <v>1000</v>
      </c>
      <c r="AE87" s="245">
        <f>VLOOKUP($H87,'Cost inputs'!$A$18:$E$39,'Land Price Phase Sc1&amp;2'!AE32+1,0)</f>
        <v>1000</v>
      </c>
      <c r="AF87" s="245">
        <f>VLOOKUP($H87,'Cost inputs'!$A$18:$E$39,'Land Price Phase Sc1&amp;2'!AF32+1,0)</f>
        <v>1000</v>
      </c>
      <c r="AG87" s="245">
        <f>VLOOKUP($H87,'Cost inputs'!$A$18:$E$39,'Land Price Phase Sc1&amp;2'!AG32+1,0)</f>
        <v>1000</v>
      </c>
      <c r="AH87" s="245">
        <f>VLOOKUP($H87,'Cost inputs'!$A$18:$E$39,'Land Price Phase Sc1&amp;2'!AH32+1,0)</f>
        <v>1000</v>
      </c>
      <c r="AI87" s="245">
        <f>VLOOKUP($H87,'Cost inputs'!$A$18:$E$39,'Land Price Phase Sc1&amp;2'!AI32+1,0)</f>
        <v>1000</v>
      </c>
      <c r="AJ87" s="245">
        <f>VLOOKUP($H87,'Cost inputs'!$A$18:$E$39,'Land Price Phase Sc1&amp;2'!AJ32+1,0)</f>
        <v>1000</v>
      </c>
      <c r="AK87" s="245">
        <f>VLOOKUP($H87,'Cost inputs'!$A$18:$E$39,'Land Price Phase Sc1&amp;2'!AK32+1,0)</f>
        <v>1000</v>
      </c>
      <c r="AL87" s="245">
        <f>VLOOKUP($H87,'Cost inputs'!$A$18:$E$39,'Land Price Phase Sc1&amp;2'!AL32+1,0)</f>
        <v>1000</v>
      </c>
      <c r="AM87" s="245">
        <f>VLOOKUP($H87,'Cost inputs'!$A$18:$E$39,'Land Price Phase Sc1&amp;2'!AM32+1,0)</f>
        <v>1000</v>
      </c>
      <c r="AN87" s="245">
        <f>VLOOKUP($H87,'Cost inputs'!$A$18:$E$39,'Land Price Phase Sc1&amp;2'!AN32+1,0)</f>
        <v>1000</v>
      </c>
      <c r="AO87" s="245">
        <f>VLOOKUP($H87,'Cost inputs'!$A$18:$E$39,'Land Price Phase Sc1&amp;2'!AO32+1,0)</f>
        <v>1000</v>
      </c>
      <c r="AP87" s="245">
        <f>VLOOKUP($H87,'Cost inputs'!$A$18:$E$39,'Land Price Phase Sc1&amp;2'!AP32+1,0)</f>
        <v>1000</v>
      </c>
      <c r="AQ87" s="245">
        <f>VLOOKUP($H87,'Cost inputs'!$A$18:$E$39,'Land Price Phase Sc1&amp;2'!AQ32+1,0)</f>
        <v>1000</v>
      </c>
      <c r="AR87" s="245">
        <f>VLOOKUP($H87,'Cost inputs'!$A$18:$E$39,'Land Price Phase Sc1&amp;2'!AR32+1,0)</f>
        <v>1000</v>
      </c>
      <c r="AS87" s="245">
        <f>VLOOKUP($H87,'Cost inputs'!$A$18:$E$39,'Land Price Phase Sc1&amp;2'!AS32+1,0)</f>
        <v>1000</v>
      </c>
      <c r="AT87" s="245">
        <f>VLOOKUP($H87,'Cost inputs'!$A$18:$E$39,'Land Price Phase Sc1&amp;2'!AT32+1,0)</f>
        <v>1000</v>
      </c>
      <c r="AU87" s="245">
        <f>VLOOKUP($H87,'Cost inputs'!$A$18:$E$39,'Land Price Phase Sc1&amp;2'!AU32+1,0)</f>
        <v>1000</v>
      </c>
    </row>
    <row r="88" spans="1:47" x14ac:dyDescent="0.3">
      <c r="A88" s="245" t="str">
        <f t="shared" si="44"/>
        <v>Drury-Opaheke 2024</v>
      </c>
      <c r="B88" s="245" t="str">
        <f t="shared" si="44"/>
        <v>Drury West (Stage 1) (remainder)</v>
      </c>
      <c r="C88" s="245">
        <f t="shared" si="44"/>
        <v>2035</v>
      </c>
      <c r="D88" s="245">
        <f t="shared" si="44"/>
        <v>2031</v>
      </c>
      <c r="E88" s="245">
        <f t="shared" si="44"/>
        <v>2035</v>
      </c>
      <c r="F88" s="245">
        <f t="shared" si="44"/>
        <v>2039</v>
      </c>
      <c r="G88" s="245" t="str">
        <f t="shared" si="42"/>
        <v/>
      </c>
      <c r="H88" s="245" t="str">
        <f t="shared" si="43"/>
        <v>Opaheke / Drury</v>
      </c>
      <c r="I88" s="245">
        <f>VLOOKUP($H88,'Cost inputs'!$A$18:$E$39,'Land Price Phase Sc1&amp;2'!I33+1,0)</f>
        <v>130</v>
      </c>
      <c r="J88" s="245">
        <f>VLOOKUP($H88,'Cost inputs'!$A$18:$E$39,'Land Price Phase Sc1&amp;2'!J33+1,0)</f>
        <v>130</v>
      </c>
      <c r="K88" s="245">
        <f>VLOOKUP($H88,'Cost inputs'!$A$18:$E$39,'Land Price Phase Sc1&amp;2'!K33+1,0)</f>
        <v>130</v>
      </c>
      <c r="L88" s="245">
        <f>VLOOKUP($H88,'Cost inputs'!$A$18:$E$39,'Land Price Phase Sc1&amp;2'!L33+1,0)</f>
        <v>130</v>
      </c>
      <c r="M88" s="245">
        <f>VLOOKUP($H88,'Cost inputs'!$A$18:$E$39,'Land Price Phase Sc1&amp;2'!M33+1,0)</f>
        <v>130</v>
      </c>
      <c r="N88" s="245">
        <f>VLOOKUP($H88,'Cost inputs'!$A$18:$E$39,'Land Price Phase Sc1&amp;2'!N33+1,0)</f>
        <v>130</v>
      </c>
      <c r="O88" s="245">
        <f>VLOOKUP($H88,'Cost inputs'!$A$18:$E$39,'Land Price Phase Sc1&amp;2'!O33+1,0)</f>
        <v>130</v>
      </c>
      <c r="P88" s="245">
        <f>VLOOKUP($H88,'Cost inputs'!$A$18:$E$39,'Land Price Phase Sc1&amp;2'!P33+1,0)</f>
        <v>240</v>
      </c>
      <c r="Q88" s="245">
        <f>VLOOKUP($H88,'Cost inputs'!$A$18:$E$39,'Land Price Phase Sc1&amp;2'!Q33+1,0)</f>
        <v>240</v>
      </c>
      <c r="R88" s="245">
        <f>VLOOKUP($H88,'Cost inputs'!$A$18:$E$39,'Land Price Phase Sc1&amp;2'!R33+1,0)</f>
        <v>240</v>
      </c>
      <c r="S88" s="245">
        <f>VLOOKUP($H88,'Cost inputs'!$A$18:$E$39,'Land Price Phase Sc1&amp;2'!S33+1,0)</f>
        <v>240</v>
      </c>
      <c r="T88" s="245">
        <f>VLOOKUP($H88,'Cost inputs'!$A$18:$E$39,'Land Price Phase Sc1&amp;2'!T33+1,0)</f>
        <v>335</v>
      </c>
      <c r="U88" s="245">
        <f>VLOOKUP($H88,'Cost inputs'!$A$18:$E$39,'Land Price Phase Sc1&amp;2'!U33+1,0)</f>
        <v>335</v>
      </c>
      <c r="V88" s="245">
        <f>VLOOKUP($H88,'Cost inputs'!$A$18:$E$39,'Land Price Phase Sc1&amp;2'!V33+1,0)</f>
        <v>335</v>
      </c>
      <c r="W88" s="245">
        <f>VLOOKUP($H88,'Cost inputs'!$A$18:$E$39,'Land Price Phase Sc1&amp;2'!W33+1,0)</f>
        <v>335</v>
      </c>
      <c r="X88" s="245">
        <f>VLOOKUP($H88,'Cost inputs'!$A$18:$E$39,'Land Price Phase Sc1&amp;2'!X33+1,0)</f>
        <v>1000</v>
      </c>
      <c r="Y88" s="245">
        <f>VLOOKUP($H88,'Cost inputs'!$A$18:$E$39,'Land Price Phase Sc1&amp;2'!Y33+1,0)</f>
        <v>1000</v>
      </c>
      <c r="Z88" s="245">
        <f>VLOOKUP($H88,'Cost inputs'!$A$18:$E$39,'Land Price Phase Sc1&amp;2'!Z33+1,0)</f>
        <v>1000</v>
      </c>
      <c r="AA88" s="245">
        <f>VLOOKUP($H88,'Cost inputs'!$A$18:$E$39,'Land Price Phase Sc1&amp;2'!AA33+1,0)</f>
        <v>1000</v>
      </c>
      <c r="AB88" s="245">
        <f>VLOOKUP($H88,'Cost inputs'!$A$18:$E$39,'Land Price Phase Sc1&amp;2'!AB33+1,0)</f>
        <v>1000</v>
      </c>
      <c r="AC88" s="245">
        <f>VLOOKUP($H88,'Cost inputs'!$A$18:$E$39,'Land Price Phase Sc1&amp;2'!AC33+1,0)</f>
        <v>1000</v>
      </c>
      <c r="AD88" s="245">
        <f>VLOOKUP($H88,'Cost inputs'!$A$18:$E$39,'Land Price Phase Sc1&amp;2'!AD33+1,0)</f>
        <v>1000</v>
      </c>
      <c r="AE88" s="245">
        <f>VLOOKUP($H88,'Cost inputs'!$A$18:$E$39,'Land Price Phase Sc1&amp;2'!AE33+1,0)</f>
        <v>1000</v>
      </c>
      <c r="AF88" s="245">
        <f>VLOOKUP($H88,'Cost inputs'!$A$18:$E$39,'Land Price Phase Sc1&amp;2'!AF33+1,0)</f>
        <v>1000</v>
      </c>
      <c r="AG88" s="245">
        <f>VLOOKUP($H88,'Cost inputs'!$A$18:$E$39,'Land Price Phase Sc1&amp;2'!AG33+1,0)</f>
        <v>1000</v>
      </c>
      <c r="AH88" s="245">
        <f>VLOOKUP($H88,'Cost inputs'!$A$18:$E$39,'Land Price Phase Sc1&amp;2'!AH33+1,0)</f>
        <v>1000</v>
      </c>
      <c r="AI88" s="245">
        <f>VLOOKUP($H88,'Cost inputs'!$A$18:$E$39,'Land Price Phase Sc1&amp;2'!AI33+1,0)</f>
        <v>1000</v>
      </c>
      <c r="AJ88" s="245">
        <f>VLOOKUP($H88,'Cost inputs'!$A$18:$E$39,'Land Price Phase Sc1&amp;2'!AJ33+1,0)</f>
        <v>1000</v>
      </c>
      <c r="AK88" s="245">
        <f>VLOOKUP($H88,'Cost inputs'!$A$18:$E$39,'Land Price Phase Sc1&amp;2'!AK33+1,0)</f>
        <v>1000</v>
      </c>
      <c r="AL88" s="245">
        <f>VLOOKUP($H88,'Cost inputs'!$A$18:$E$39,'Land Price Phase Sc1&amp;2'!AL33+1,0)</f>
        <v>1000</v>
      </c>
      <c r="AM88" s="245">
        <f>VLOOKUP($H88,'Cost inputs'!$A$18:$E$39,'Land Price Phase Sc1&amp;2'!AM33+1,0)</f>
        <v>1000</v>
      </c>
      <c r="AN88" s="245">
        <f>VLOOKUP($H88,'Cost inputs'!$A$18:$E$39,'Land Price Phase Sc1&amp;2'!AN33+1,0)</f>
        <v>1000</v>
      </c>
      <c r="AO88" s="245">
        <f>VLOOKUP($H88,'Cost inputs'!$A$18:$E$39,'Land Price Phase Sc1&amp;2'!AO33+1,0)</f>
        <v>1000</v>
      </c>
      <c r="AP88" s="245">
        <f>VLOOKUP($H88,'Cost inputs'!$A$18:$E$39,'Land Price Phase Sc1&amp;2'!AP33+1,0)</f>
        <v>1000</v>
      </c>
      <c r="AQ88" s="245">
        <f>VLOOKUP($H88,'Cost inputs'!$A$18:$E$39,'Land Price Phase Sc1&amp;2'!AQ33+1,0)</f>
        <v>1000</v>
      </c>
      <c r="AR88" s="245">
        <f>VLOOKUP($H88,'Cost inputs'!$A$18:$E$39,'Land Price Phase Sc1&amp;2'!AR33+1,0)</f>
        <v>1000</v>
      </c>
      <c r="AS88" s="245">
        <f>VLOOKUP($H88,'Cost inputs'!$A$18:$E$39,'Land Price Phase Sc1&amp;2'!AS33+1,0)</f>
        <v>1000</v>
      </c>
      <c r="AT88" s="245">
        <f>VLOOKUP($H88,'Cost inputs'!$A$18:$E$39,'Land Price Phase Sc1&amp;2'!AT33+1,0)</f>
        <v>1000</v>
      </c>
      <c r="AU88" s="245">
        <f>VLOOKUP($H88,'Cost inputs'!$A$18:$E$39,'Land Price Phase Sc1&amp;2'!AU33+1,0)</f>
        <v>1000</v>
      </c>
    </row>
    <row r="89" spans="1:47" x14ac:dyDescent="0.3">
      <c r="A89" s="245" t="str">
        <f t="shared" si="44"/>
        <v>Drury-Opaheke 2024</v>
      </c>
      <c r="B89" s="245" t="str">
        <f t="shared" si="44"/>
        <v>Drury West (Stage 2)</v>
      </c>
      <c r="C89" s="245">
        <f t="shared" si="44"/>
        <v>2035</v>
      </c>
      <c r="D89" s="245">
        <f t="shared" si="44"/>
        <v>2031</v>
      </c>
      <c r="E89" s="245">
        <f t="shared" si="44"/>
        <v>2035</v>
      </c>
      <c r="F89" s="245">
        <f t="shared" si="44"/>
        <v>2039</v>
      </c>
      <c r="G89" s="245" t="str">
        <f t="shared" si="42"/>
        <v/>
      </c>
      <c r="H89" s="245" t="str">
        <f t="shared" si="43"/>
        <v>Opaheke / Drury</v>
      </c>
      <c r="I89" s="245">
        <f>VLOOKUP($H89,'Cost inputs'!$A$18:$E$39,'Land Price Phase Sc1&amp;2'!I34+1,0)</f>
        <v>130</v>
      </c>
      <c r="J89" s="245">
        <f>VLOOKUP($H89,'Cost inputs'!$A$18:$E$39,'Land Price Phase Sc1&amp;2'!J34+1,0)</f>
        <v>130</v>
      </c>
      <c r="K89" s="245">
        <f>VLOOKUP($H89,'Cost inputs'!$A$18:$E$39,'Land Price Phase Sc1&amp;2'!K34+1,0)</f>
        <v>130</v>
      </c>
      <c r="L89" s="245">
        <f>VLOOKUP($H89,'Cost inputs'!$A$18:$E$39,'Land Price Phase Sc1&amp;2'!L34+1,0)</f>
        <v>130</v>
      </c>
      <c r="M89" s="245">
        <f>VLOOKUP($H89,'Cost inputs'!$A$18:$E$39,'Land Price Phase Sc1&amp;2'!M34+1,0)</f>
        <v>130</v>
      </c>
      <c r="N89" s="245">
        <f>VLOOKUP($H89,'Cost inputs'!$A$18:$E$39,'Land Price Phase Sc1&amp;2'!N34+1,0)</f>
        <v>130</v>
      </c>
      <c r="O89" s="245">
        <f>VLOOKUP($H89,'Cost inputs'!$A$18:$E$39,'Land Price Phase Sc1&amp;2'!O34+1,0)</f>
        <v>130</v>
      </c>
      <c r="P89" s="245">
        <f>VLOOKUP($H89,'Cost inputs'!$A$18:$E$39,'Land Price Phase Sc1&amp;2'!P34+1,0)</f>
        <v>240</v>
      </c>
      <c r="Q89" s="245">
        <f>VLOOKUP($H89,'Cost inputs'!$A$18:$E$39,'Land Price Phase Sc1&amp;2'!Q34+1,0)</f>
        <v>240</v>
      </c>
      <c r="R89" s="245">
        <f>VLOOKUP($H89,'Cost inputs'!$A$18:$E$39,'Land Price Phase Sc1&amp;2'!R34+1,0)</f>
        <v>240</v>
      </c>
      <c r="S89" s="245">
        <f>VLOOKUP($H89,'Cost inputs'!$A$18:$E$39,'Land Price Phase Sc1&amp;2'!S34+1,0)</f>
        <v>240</v>
      </c>
      <c r="T89" s="245">
        <f>VLOOKUP($H89,'Cost inputs'!$A$18:$E$39,'Land Price Phase Sc1&amp;2'!T34+1,0)</f>
        <v>335</v>
      </c>
      <c r="U89" s="245">
        <f>VLOOKUP($H89,'Cost inputs'!$A$18:$E$39,'Land Price Phase Sc1&amp;2'!U34+1,0)</f>
        <v>335</v>
      </c>
      <c r="V89" s="245">
        <f>VLOOKUP($H89,'Cost inputs'!$A$18:$E$39,'Land Price Phase Sc1&amp;2'!V34+1,0)</f>
        <v>335</v>
      </c>
      <c r="W89" s="245">
        <f>VLOOKUP($H89,'Cost inputs'!$A$18:$E$39,'Land Price Phase Sc1&amp;2'!W34+1,0)</f>
        <v>335</v>
      </c>
      <c r="X89" s="245">
        <f>VLOOKUP($H89,'Cost inputs'!$A$18:$E$39,'Land Price Phase Sc1&amp;2'!X34+1,0)</f>
        <v>1000</v>
      </c>
      <c r="Y89" s="245">
        <f>VLOOKUP($H89,'Cost inputs'!$A$18:$E$39,'Land Price Phase Sc1&amp;2'!Y34+1,0)</f>
        <v>1000</v>
      </c>
      <c r="Z89" s="245">
        <f>VLOOKUP($H89,'Cost inputs'!$A$18:$E$39,'Land Price Phase Sc1&amp;2'!Z34+1,0)</f>
        <v>1000</v>
      </c>
      <c r="AA89" s="245">
        <f>VLOOKUP($H89,'Cost inputs'!$A$18:$E$39,'Land Price Phase Sc1&amp;2'!AA34+1,0)</f>
        <v>1000</v>
      </c>
      <c r="AB89" s="245">
        <f>VLOOKUP($H89,'Cost inputs'!$A$18:$E$39,'Land Price Phase Sc1&amp;2'!AB34+1,0)</f>
        <v>1000</v>
      </c>
      <c r="AC89" s="245">
        <f>VLOOKUP($H89,'Cost inputs'!$A$18:$E$39,'Land Price Phase Sc1&amp;2'!AC34+1,0)</f>
        <v>1000</v>
      </c>
      <c r="AD89" s="245">
        <f>VLOOKUP($H89,'Cost inputs'!$A$18:$E$39,'Land Price Phase Sc1&amp;2'!AD34+1,0)</f>
        <v>1000</v>
      </c>
      <c r="AE89" s="245">
        <f>VLOOKUP($H89,'Cost inputs'!$A$18:$E$39,'Land Price Phase Sc1&amp;2'!AE34+1,0)</f>
        <v>1000</v>
      </c>
      <c r="AF89" s="245">
        <f>VLOOKUP($H89,'Cost inputs'!$A$18:$E$39,'Land Price Phase Sc1&amp;2'!AF34+1,0)</f>
        <v>1000</v>
      </c>
      <c r="AG89" s="245">
        <f>VLOOKUP($H89,'Cost inputs'!$A$18:$E$39,'Land Price Phase Sc1&amp;2'!AG34+1,0)</f>
        <v>1000</v>
      </c>
      <c r="AH89" s="245">
        <f>VLOOKUP($H89,'Cost inputs'!$A$18:$E$39,'Land Price Phase Sc1&amp;2'!AH34+1,0)</f>
        <v>1000</v>
      </c>
      <c r="AI89" s="245">
        <f>VLOOKUP($H89,'Cost inputs'!$A$18:$E$39,'Land Price Phase Sc1&amp;2'!AI34+1,0)</f>
        <v>1000</v>
      </c>
      <c r="AJ89" s="245">
        <f>VLOOKUP($H89,'Cost inputs'!$A$18:$E$39,'Land Price Phase Sc1&amp;2'!AJ34+1,0)</f>
        <v>1000</v>
      </c>
      <c r="AK89" s="245">
        <f>VLOOKUP($H89,'Cost inputs'!$A$18:$E$39,'Land Price Phase Sc1&amp;2'!AK34+1,0)</f>
        <v>1000</v>
      </c>
      <c r="AL89" s="245">
        <f>VLOOKUP($H89,'Cost inputs'!$A$18:$E$39,'Land Price Phase Sc1&amp;2'!AL34+1,0)</f>
        <v>1000</v>
      </c>
      <c r="AM89" s="245">
        <f>VLOOKUP($H89,'Cost inputs'!$A$18:$E$39,'Land Price Phase Sc1&amp;2'!AM34+1,0)</f>
        <v>1000</v>
      </c>
      <c r="AN89" s="245">
        <f>VLOOKUP($H89,'Cost inputs'!$A$18:$E$39,'Land Price Phase Sc1&amp;2'!AN34+1,0)</f>
        <v>1000</v>
      </c>
      <c r="AO89" s="245">
        <f>VLOOKUP($H89,'Cost inputs'!$A$18:$E$39,'Land Price Phase Sc1&amp;2'!AO34+1,0)</f>
        <v>1000</v>
      </c>
      <c r="AP89" s="245">
        <f>VLOOKUP($H89,'Cost inputs'!$A$18:$E$39,'Land Price Phase Sc1&amp;2'!AP34+1,0)</f>
        <v>1000</v>
      </c>
      <c r="AQ89" s="245">
        <f>VLOOKUP($H89,'Cost inputs'!$A$18:$E$39,'Land Price Phase Sc1&amp;2'!AQ34+1,0)</f>
        <v>1000</v>
      </c>
      <c r="AR89" s="245">
        <f>VLOOKUP($H89,'Cost inputs'!$A$18:$E$39,'Land Price Phase Sc1&amp;2'!AR34+1,0)</f>
        <v>1000</v>
      </c>
      <c r="AS89" s="245">
        <f>VLOOKUP($H89,'Cost inputs'!$A$18:$E$39,'Land Price Phase Sc1&amp;2'!AS34+1,0)</f>
        <v>1000</v>
      </c>
      <c r="AT89" s="245">
        <f>VLOOKUP($H89,'Cost inputs'!$A$18:$E$39,'Land Price Phase Sc1&amp;2'!AT34+1,0)</f>
        <v>1000</v>
      </c>
      <c r="AU89" s="245">
        <f>VLOOKUP($H89,'Cost inputs'!$A$18:$E$39,'Land Price Phase Sc1&amp;2'!AU34+1,0)</f>
        <v>1000</v>
      </c>
    </row>
    <row r="90" spans="1:47" x14ac:dyDescent="0.3">
      <c r="A90" s="245" t="str">
        <f t="shared" si="44"/>
        <v>Drury-Opaheke 2024</v>
      </c>
      <c r="B90" s="245" t="str">
        <f t="shared" si="44"/>
        <v>Drury West (Stage 3) (remainder)</v>
      </c>
      <c r="C90" s="245">
        <f t="shared" si="44"/>
        <v>2035</v>
      </c>
      <c r="D90" s="245">
        <f t="shared" si="44"/>
        <v>2031</v>
      </c>
      <c r="E90" s="245">
        <f t="shared" si="44"/>
        <v>2035</v>
      </c>
      <c r="F90" s="245">
        <f t="shared" si="44"/>
        <v>2039</v>
      </c>
      <c r="G90" s="245" t="str">
        <f t="shared" si="42"/>
        <v/>
      </c>
      <c r="H90" s="245" t="str">
        <f t="shared" si="43"/>
        <v>Opaheke / Drury</v>
      </c>
      <c r="I90" s="245">
        <f>VLOOKUP($H90,'Cost inputs'!$A$18:$E$39,'Land Price Phase Sc1&amp;2'!I35+1,0)</f>
        <v>130</v>
      </c>
      <c r="J90" s="245">
        <f>VLOOKUP($H90,'Cost inputs'!$A$18:$E$39,'Land Price Phase Sc1&amp;2'!J35+1,0)</f>
        <v>130</v>
      </c>
      <c r="K90" s="245">
        <f>VLOOKUP($H90,'Cost inputs'!$A$18:$E$39,'Land Price Phase Sc1&amp;2'!K35+1,0)</f>
        <v>130</v>
      </c>
      <c r="L90" s="245">
        <f>VLOOKUP($H90,'Cost inputs'!$A$18:$E$39,'Land Price Phase Sc1&amp;2'!L35+1,0)</f>
        <v>130</v>
      </c>
      <c r="M90" s="245">
        <f>VLOOKUP($H90,'Cost inputs'!$A$18:$E$39,'Land Price Phase Sc1&amp;2'!M35+1,0)</f>
        <v>130</v>
      </c>
      <c r="N90" s="245">
        <f>VLOOKUP($H90,'Cost inputs'!$A$18:$E$39,'Land Price Phase Sc1&amp;2'!N35+1,0)</f>
        <v>130</v>
      </c>
      <c r="O90" s="245">
        <f>VLOOKUP($H90,'Cost inputs'!$A$18:$E$39,'Land Price Phase Sc1&amp;2'!O35+1,0)</f>
        <v>130</v>
      </c>
      <c r="P90" s="245">
        <f>VLOOKUP($H90,'Cost inputs'!$A$18:$E$39,'Land Price Phase Sc1&amp;2'!P35+1,0)</f>
        <v>240</v>
      </c>
      <c r="Q90" s="245">
        <f>VLOOKUP($H90,'Cost inputs'!$A$18:$E$39,'Land Price Phase Sc1&amp;2'!Q35+1,0)</f>
        <v>240</v>
      </c>
      <c r="R90" s="245">
        <f>VLOOKUP($H90,'Cost inputs'!$A$18:$E$39,'Land Price Phase Sc1&amp;2'!R35+1,0)</f>
        <v>240</v>
      </c>
      <c r="S90" s="245">
        <f>VLOOKUP($H90,'Cost inputs'!$A$18:$E$39,'Land Price Phase Sc1&amp;2'!S35+1,0)</f>
        <v>240</v>
      </c>
      <c r="T90" s="245">
        <f>VLOOKUP($H90,'Cost inputs'!$A$18:$E$39,'Land Price Phase Sc1&amp;2'!T35+1,0)</f>
        <v>335</v>
      </c>
      <c r="U90" s="245">
        <f>VLOOKUP($H90,'Cost inputs'!$A$18:$E$39,'Land Price Phase Sc1&amp;2'!U35+1,0)</f>
        <v>335</v>
      </c>
      <c r="V90" s="245">
        <f>VLOOKUP($H90,'Cost inputs'!$A$18:$E$39,'Land Price Phase Sc1&amp;2'!V35+1,0)</f>
        <v>335</v>
      </c>
      <c r="W90" s="245">
        <f>VLOOKUP($H90,'Cost inputs'!$A$18:$E$39,'Land Price Phase Sc1&amp;2'!W35+1,0)</f>
        <v>335</v>
      </c>
      <c r="X90" s="245">
        <f>VLOOKUP($H90,'Cost inputs'!$A$18:$E$39,'Land Price Phase Sc1&amp;2'!X35+1,0)</f>
        <v>1000</v>
      </c>
      <c r="Y90" s="245">
        <f>VLOOKUP($H90,'Cost inputs'!$A$18:$E$39,'Land Price Phase Sc1&amp;2'!Y35+1,0)</f>
        <v>1000</v>
      </c>
      <c r="Z90" s="245">
        <f>VLOOKUP($H90,'Cost inputs'!$A$18:$E$39,'Land Price Phase Sc1&amp;2'!Z35+1,0)</f>
        <v>1000</v>
      </c>
      <c r="AA90" s="245">
        <f>VLOOKUP($H90,'Cost inputs'!$A$18:$E$39,'Land Price Phase Sc1&amp;2'!AA35+1,0)</f>
        <v>1000</v>
      </c>
      <c r="AB90" s="245">
        <f>VLOOKUP($H90,'Cost inputs'!$A$18:$E$39,'Land Price Phase Sc1&amp;2'!AB35+1,0)</f>
        <v>1000</v>
      </c>
      <c r="AC90" s="245">
        <f>VLOOKUP($H90,'Cost inputs'!$A$18:$E$39,'Land Price Phase Sc1&amp;2'!AC35+1,0)</f>
        <v>1000</v>
      </c>
      <c r="AD90" s="245">
        <f>VLOOKUP($H90,'Cost inputs'!$A$18:$E$39,'Land Price Phase Sc1&amp;2'!AD35+1,0)</f>
        <v>1000</v>
      </c>
      <c r="AE90" s="245">
        <f>VLOOKUP($H90,'Cost inputs'!$A$18:$E$39,'Land Price Phase Sc1&amp;2'!AE35+1,0)</f>
        <v>1000</v>
      </c>
      <c r="AF90" s="245">
        <f>VLOOKUP($H90,'Cost inputs'!$A$18:$E$39,'Land Price Phase Sc1&amp;2'!AF35+1,0)</f>
        <v>1000</v>
      </c>
      <c r="AG90" s="245">
        <f>VLOOKUP($H90,'Cost inputs'!$A$18:$E$39,'Land Price Phase Sc1&amp;2'!AG35+1,0)</f>
        <v>1000</v>
      </c>
      <c r="AH90" s="245">
        <f>VLOOKUP($H90,'Cost inputs'!$A$18:$E$39,'Land Price Phase Sc1&amp;2'!AH35+1,0)</f>
        <v>1000</v>
      </c>
      <c r="AI90" s="245">
        <f>VLOOKUP($H90,'Cost inputs'!$A$18:$E$39,'Land Price Phase Sc1&amp;2'!AI35+1,0)</f>
        <v>1000</v>
      </c>
      <c r="AJ90" s="245">
        <f>VLOOKUP($H90,'Cost inputs'!$A$18:$E$39,'Land Price Phase Sc1&amp;2'!AJ35+1,0)</f>
        <v>1000</v>
      </c>
      <c r="AK90" s="245">
        <f>VLOOKUP($H90,'Cost inputs'!$A$18:$E$39,'Land Price Phase Sc1&amp;2'!AK35+1,0)</f>
        <v>1000</v>
      </c>
      <c r="AL90" s="245">
        <f>VLOOKUP($H90,'Cost inputs'!$A$18:$E$39,'Land Price Phase Sc1&amp;2'!AL35+1,0)</f>
        <v>1000</v>
      </c>
      <c r="AM90" s="245">
        <f>VLOOKUP($H90,'Cost inputs'!$A$18:$E$39,'Land Price Phase Sc1&amp;2'!AM35+1,0)</f>
        <v>1000</v>
      </c>
      <c r="AN90" s="245">
        <f>VLOOKUP($H90,'Cost inputs'!$A$18:$E$39,'Land Price Phase Sc1&amp;2'!AN35+1,0)</f>
        <v>1000</v>
      </c>
      <c r="AO90" s="245">
        <f>VLOOKUP($H90,'Cost inputs'!$A$18:$E$39,'Land Price Phase Sc1&amp;2'!AO35+1,0)</f>
        <v>1000</v>
      </c>
      <c r="AP90" s="245">
        <f>VLOOKUP($H90,'Cost inputs'!$A$18:$E$39,'Land Price Phase Sc1&amp;2'!AP35+1,0)</f>
        <v>1000</v>
      </c>
      <c r="AQ90" s="245">
        <f>VLOOKUP($H90,'Cost inputs'!$A$18:$E$39,'Land Price Phase Sc1&amp;2'!AQ35+1,0)</f>
        <v>1000</v>
      </c>
      <c r="AR90" s="245">
        <f>VLOOKUP($H90,'Cost inputs'!$A$18:$E$39,'Land Price Phase Sc1&amp;2'!AR35+1,0)</f>
        <v>1000</v>
      </c>
      <c r="AS90" s="245">
        <f>VLOOKUP($H90,'Cost inputs'!$A$18:$E$39,'Land Price Phase Sc1&amp;2'!AS35+1,0)</f>
        <v>1000</v>
      </c>
      <c r="AT90" s="245">
        <f>VLOOKUP($H90,'Cost inputs'!$A$18:$E$39,'Land Price Phase Sc1&amp;2'!AT35+1,0)</f>
        <v>1000</v>
      </c>
      <c r="AU90" s="245">
        <f>VLOOKUP($H90,'Cost inputs'!$A$18:$E$39,'Land Price Phase Sc1&amp;2'!AU35+1,0)</f>
        <v>1000</v>
      </c>
    </row>
    <row r="91" spans="1:47" x14ac:dyDescent="0.3">
      <c r="A91" s="245" t="str">
        <f t="shared" si="44"/>
        <v>Drury-Opaheke 2024</v>
      </c>
      <c r="B91" s="245" t="str">
        <f t="shared" si="44"/>
        <v>Drury East PC area</v>
      </c>
      <c r="C91" s="245">
        <f t="shared" si="44"/>
        <v>2026</v>
      </c>
      <c r="D91" s="245">
        <f t="shared" si="44"/>
        <v>2022</v>
      </c>
      <c r="E91" s="245">
        <f t="shared" si="44"/>
        <v>2026</v>
      </c>
      <c r="F91" s="245">
        <f t="shared" si="44"/>
        <v>2030</v>
      </c>
      <c r="G91" s="245" t="str">
        <f t="shared" si="42"/>
        <v>Transport projects required to meet AUP Precinct triggers a, b, c all assumed to be complete by developers/Crown late 2025. Area considered at II stage from 2026.</v>
      </c>
      <c r="H91" s="245" t="str">
        <f t="shared" si="43"/>
        <v>Opaheke / Drury</v>
      </c>
      <c r="I91" s="245">
        <f>VLOOKUP($H91,'Cost inputs'!$A$18:$E$39,'Land Price Phase Sc1&amp;2'!I36+1,0)</f>
        <v>240</v>
      </c>
      <c r="J91" s="245">
        <f>VLOOKUP($H91,'Cost inputs'!$A$18:$E$39,'Land Price Phase Sc1&amp;2'!J36+1,0)</f>
        <v>240</v>
      </c>
      <c r="K91" s="245">
        <f>VLOOKUP($H91,'Cost inputs'!$A$18:$E$39,'Land Price Phase Sc1&amp;2'!K36+1,0)</f>
        <v>335</v>
      </c>
      <c r="L91" s="245">
        <f>VLOOKUP($H91,'Cost inputs'!$A$18:$E$39,'Land Price Phase Sc1&amp;2'!L36+1,0)</f>
        <v>335</v>
      </c>
      <c r="M91" s="245">
        <f>VLOOKUP($H91,'Cost inputs'!$A$18:$E$39,'Land Price Phase Sc1&amp;2'!M36+1,0)</f>
        <v>335</v>
      </c>
      <c r="N91" s="245">
        <f>VLOOKUP($H91,'Cost inputs'!$A$18:$E$39,'Land Price Phase Sc1&amp;2'!N36+1,0)</f>
        <v>335</v>
      </c>
      <c r="O91" s="245">
        <f>VLOOKUP($H91,'Cost inputs'!$A$18:$E$39,'Land Price Phase Sc1&amp;2'!O36+1,0)</f>
        <v>1000</v>
      </c>
      <c r="P91" s="245">
        <f>VLOOKUP($H91,'Cost inputs'!$A$18:$E$39,'Land Price Phase Sc1&amp;2'!P36+1,0)</f>
        <v>1000</v>
      </c>
      <c r="Q91" s="245">
        <f>VLOOKUP($H91,'Cost inputs'!$A$18:$E$39,'Land Price Phase Sc1&amp;2'!Q36+1,0)</f>
        <v>1000</v>
      </c>
      <c r="R91" s="245">
        <f>VLOOKUP($H91,'Cost inputs'!$A$18:$E$39,'Land Price Phase Sc1&amp;2'!R36+1,0)</f>
        <v>1000</v>
      </c>
      <c r="S91" s="245">
        <f>VLOOKUP($H91,'Cost inputs'!$A$18:$E$39,'Land Price Phase Sc1&amp;2'!S36+1,0)</f>
        <v>1000</v>
      </c>
      <c r="T91" s="245">
        <f>VLOOKUP($H91,'Cost inputs'!$A$18:$E$39,'Land Price Phase Sc1&amp;2'!T36+1,0)</f>
        <v>1000</v>
      </c>
      <c r="U91" s="245">
        <f>VLOOKUP($H91,'Cost inputs'!$A$18:$E$39,'Land Price Phase Sc1&amp;2'!U36+1,0)</f>
        <v>1000</v>
      </c>
      <c r="V91" s="245">
        <f>VLOOKUP($H91,'Cost inputs'!$A$18:$E$39,'Land Price Phase Sc1&amp;2'!V36+1,0)</f>
        <v>1000</v>
      </c>
      <c r="W91" s="245">
        <f>VLOOKUP($H91,'Cost inputs'!$A$18:$E$39,'Land Price Phase Sc1&amp;2'!W36+1,0)</f>
        <v>1000</v>
      </c>
      <c r="X91" s="245">
        <f>VLOOKUP($H91,'Cost inputs'!$A$18:$E$39,'Land Price Phase Sc1&amp;2'!X36+1,0)</f>
        <v>1000</v>
      </c>
      <c r="Y91" s="245">
        <f>VLOOKUP($H91,'Cost inputs'!$A$18:$E$39,'Land Price Phase Sc1&amp;2'!Y36+1,0)</f>
        <v>1000</v>
      </c>
      <c r="Z91" s="245">
        <f>VLOOKUP($H91,'Cost inputs'!$A$18:$E$39,'Land Price Phase Sc1&amp;2'!Z36+1,0)</f>
        <v>1000</v>
      </c>
      <c r="AA91" s="245">
        <f>VLOOKUP($H91,'Cost inputs'!$A$18:$E$39,'Land Price Phase Sc1&amp;2'!AA36+1,0)</f>
        <v>1000</v>
      </c>
      <c r="AB91" s="245">
        <f>VLOOKUP($H91,'Cost inputs'!$A$18:$E$39,'Land Price Phase Sc1&amp;2'!AB36+1,0)</f>
        <v>1000</v>
      </c>
      <c r="AC91" s="245">
        <f>VLOOKUP($H91,'Cost inputs'!$A$18:$E$39,'Land Price Phase Sc1&amp;2'!AC36+1,0)</f>
        <v>1000</v>
      </c>
      <c r="AD91" s="245">
        <f>VLOOKUP($H91,'Cost inputs'!$A$18:$E$39,'Land Price Phase Sc1&amp;2'!AD36+1,0)</f>
        <v>1000</v>
      </c>
      <c r="AE91" s="245">
        <f>VLOOKUP($H91,'Cost inputs'!$A$18:$E$39,'Land Price Phase Sc1&amp;2'!AE36+1,0)</f>
        <v>1000</v>
      </c>
      <c r="AF91" s="245">
        <f>VLOOKUP($H91,'Cost inputs'!$A$18:$E$39,'Land Price Phase Sc1&amp;2'!AF36+1,0)</f>
        <v>1000</v>
      </c>
      <c r="AG91" s="245">
        <f>VLOOKUP($H91,'Cost inputs'!$A$18:$E$39,'Land Price Phase Sc1&amp;2'!AG36+1,0)</f>
        <v>1000</v>
      </c>
      <c r="AH91" s="245">
        <f>VLOOKUP($H91,'Cost inputs'!$A$18:$E$39,'Land Price Phase Sc1&amp;2'!AH36+1,0)</f>
        <v>1000</v>
      </c>
      <c r="AI91" s="245">
        <f>VLOOKUP($H91,'Cost inputs'!$A$18:$E$39,'Land Price Phase Sc1&amp;2'!AI36+1,0)</f>
        <v>1000</v>
      </c>
      <c r="AJ91" s="245">
        <f>VLOOKUP($H91,'Cost inputs'!$A$18:$E$39,'Land Price Phase Sc1&amp;2'!AJ36+1,0)</f>
        <v>1000</v>
      </c>
      <c r="AK91" s="245">
        <f>VLOOKUP($H91,'Cost inputs'!$A$18:$E$39,'Land Price Phase Sc1&amp;2'!AK36+1,0)</f>
        <v>1000</v>
      </c>
      <c r="AL91" s="245">
        <f>VLOOKUP($H91,'Cost inputs'!$A$18:$E$39,'Land Price Phase Sc1&amp;2'!AL36+1,0)</f>
        <v>1000</v>
      </c>
      <c r="AM91" s="245">
        <f>VLOOKUP($H91,'Cost inputs'!$A$18:$E$39,'Land Price Phase Sc1&amp;2'!AM36+1,0)</f>
        <v>1000</v>
      </c>
      <c r="AN91" s="245">
        <f>VLOOKUP($H91,'Cost inputs'!$A$18:$E$39,'Land Price Phase Sc1&amp;2'!AN36+1,0)</f>
        <v>1000</v>
      </c>
      <c r="AO91" s="245">
        <f>VLOOKUP($H91,'Cost inputs'!$A$18:$E$39,'Land Price Phase Sc1&amp;2'!AO36+1,0)</f>
        <v>1000</v>
      </c>
      <c r="AP91" s="245">
        <f>VLOOKUP($H91,'Cost inputs'!$A$18:$E$39,'Land Price Phase Sc1&amp;2'!AP36+1,0)</f>
        <v>1000</v>
      </c>
      <c r="AQ91" s="245">
        <f>VLOOKUP($H91,'Cost inputs'!$A$18:$E$39,'Land Price Phase Sc1&amp;2'!AQ36+1,0)</f>
        <v>1000</v>
      </c>
      <c r="AR91" s="245">
        <f>VLOOKUP($H91,'Cost inputs'!$A$18:$E$39,'Land Price Phase Sc1&amp;2'!AR36+1,0)</f>
        <v>1000</v>
      </c>
      <c r="AS91" s="245">
        <f>VLOOKUP($H91,'Cost inputs'!$A$18:$E$39,'Land Price Phase Sc1&amp;2'!AS36+1,0)</f>
        <v>1000</v>
      </c>
      <c r="AT91" s="245">
        <f>VLOOKUP($H91,'Cost inputs'!$A$18:$E$39,'Land Price Phase Sc1&amp;2'!AT36+1,0)</f>
        <v>1000</v>
      </c>
      <c r="AU91" s="245">
        <f>VLOOKUP($H91,'Cost inputs'!$A$18:$E$39,'Land Price Phase Sc1&amp;2'!AU36+1,0)</f>
        <v>1000</v>
      </c>
    </row>
    <row r="92" spans="1:47" x14ac:dyDescent="0.3">
      <c r="A92" s="245" t="str">
        <f t="shared" si="44"/>
        <v>Drury-Opaheke 2024</v>
      </c>
      <c r="B92" s="245" t="str">
        <f t="shared" si="44"/>
        <v>Auranga Existing Development</v>
      </c>
      <c r="C92" s="245" t="str">
        <f t="shared" si="44"/>
        <v>SUL ongoing</v>
      </c>
      <c r="D92" s="245">
        <f t="shared" si="44"/>
        <v>0</v>
      </c>
      <c r="E92" s="245">
        <f t="shared" si="44"/>
        <v>0</v>
      </c>
      <c r="F92" s="245">
        <f t="shared" si="44"/>
        <v>2024</v>
      </c>
      <c r="G92" s="245" t="str">
        <f t="shared" si="42"/>
        <v>Significant residential growth occuring for many years. SUL stage ongoing.</v>
      </c>
      <c r="H92" s="245" t="str">
        <f t="shared" si="43"/>
        <v>Opaheke / Drury</v>
      </c>
      <c r="I92" s="245">
        <f>VLOOKUP($H92,'Cost inputs'!$A$18:$E$39,'Land Price Phase Sc1&amp;2'!I37+1,0)</f>
        <v>1000</v>
      </c>
      <c r="J92" s="245">
        <f>VLOOKUP($H92,'Cost inputs'!$A$18:$E$39,'Land Price Phase Sc1&amp;2'!J37+1,0)</f>
        <v>1000</v>
      </c>
      <c r="K92" s="245">
        <f>VLOOKUP($H92,'Cost inputs'!$A$18:$E$39,'Land Price Phase Sc1&amp;2'!K37+1,0)</f>
        <v>1000</v>
      </c>
      <c r="L92" s="245">
        <f>VLOOKUP($H92,'Cost inputs'!$A$18:$E$39,'Land Price Phase Sc1&amp;2'!L37+1,0)</f>
        <v>1000</v>
      </c>
      <c r="M92" s="245">
        <f>VLOOKUP($H92,'Cost inputs'!$A$18:$E$39,'Land Price Phase Sc1&amp;2'!M37+1,0)</f>
        <v>1000</v>
      </c>
      <c r="N92" s="245">
        <f>VLOOKUP($H92,'Cost inputs'!$A$18:$E$39,'Land Price Phase Sc1&amp;2'!N37+1,0)</f>
        <v>1000</v>
      </c>
      <c r="O92" s="245">
        <f>VLOOKUP($H92,'Cost inputs'!$A$18:$E$39,'Land Price Phase Sc1&amp;2'!O37+1,0)</f>
        <v>1000</v>
      </c>
      <c r="P92" s="245">
        <f>VLOOKUP($H92,'Cost inputs'!$A$18:$E$39,'Land Price Phase Sc1&amp;2'!P37+1,0)</f>
        <v>1000</v>
      </c>
      <c r="Q92" s="245">
        <f>VLOOKUP($H92,'Cost inputs'!$A$18:$E$39,'Land Price Phase Sc1&amp;2'!Q37+1,0)</f>
        <v>1000</v>
      </c>
      <c r="R92" s="245">
        <f>VLOOKUP($H92,'Cost inputs'!$A$18:$E$39,'Land Price Phase Sc1&amp;2'!R37+1,0)</f>
        <v>1000</v>
      </c>
      <c r="S92" s="245">
        <f>VLOOKUP($H92,'Cost inputs'!$A$18:$E$39,'Land Price Phase Sc1&amp;2'!S37+1,0)</f>
        <v>1000</v>
      </c>
      <c r="T92" s="245">
        <f>VLOOKUP($H92,'Cost inputs'!$A$18:$E$39,'Land Price Phase Sc1&amp;2'!T37+1,0)</f>
        <v>1000</v>
      </c>
      <c r="U92" s="245">
        <f>VLOOKUP($H92,'Cost inputs'!$A$18:$E$39,'Land Price Phase Sc1&amp;2'!U37+1,0)</f>
        <v>1000</v>
      </c>
      <c r="V92" s="245">
        <f>VLOOKUP($H92,'Cost inputs'!$A$18:$E$39,'Land Price Phase Sc1&amp;2'!V37+1,0)</f>
        <v>1000</v>
      </c>
      <c r="W92" s="245">
        <f>VLOOKUP($H92,'Cost inputs'!$A$18:$E$39,'Land Price Phase Sc1&amp;2'!W37+1,0)</f>
        <v>1000</v>
      </c>
      <c r="X92" s="245">
        <f>VLOOKUP($H92,'Cost inputs'!$A$18:$E$39,'Land Price Phase Sc1&amp;2'!X37+1,0)</f>
        <v>1000</v>
      </c>
      <c r="Y92" s="245">
        <f>VLOOKUP($H92,'Cost inputs'!$A$18:$E$39,'Land Price Phase Sc1&amp;2'!Y37+1,0)</f>
        <v>1000</v>
      </c>
      <c r="Z92" s="245">
        <f>VLOOKUP($H92,'Cost inputs'!$A$18:$E$39,'Land Price Phase Sc1&amp;2'!Z37+1,0)</f>
        <v>1000</v>
      </c>
      <c r="AA92" s="245">
        <f>VLOOKUP($H92,'Cost inputs'!$A$18:$E$39,'Land Price Phase Sc1&amp;2'!AA37+1,0)</f>
        <v>1000</v>
      </c>
      <c r="AB92" s="245">
        <f>VLOOKUP($H92,'Cost inputs'!$A$18:$E$39,'Land Price Phase Sc1&amp;2'!AB37+1,0)</f>
        <v>1000</v>
      </c>
      <c r="AC92" s="245">
        <f>VLOOKUP($H92,'Cost inputs'!$A$18:$E$39,'Land Price Phase Sc1&amp;2'!AC37+1,0)</f>
        <v>1000</v>
      </c>
      <c r="AD92" s="245">
        <f>VLOOKUP($H92,'Cost inputs'!$A$18:$E$39,'Land Price Phase Sc1&amp;2'!AD37+1,0)</f>
        <v>1000</v>
      </c>
      <c r="AE92" s="245">
        <f>VLOOKUP($H92,'Cost inputs'!$A$18:$E$39,'Land Price Phase Sc1&amp;2'!AE37+1,0)</f>
        <v>1000</v>
      </c>
      <c r="AF92" s="245">
        <f>VLOOKUP($H92,'Cost inputs'!$A$18:$E$39,'Land Price Phase Sc1&amp;2'!AF37+1,0)</f>
        <v>1000</v>
      </c>
      <c r="AG92" s="245">
        <f>VLOOKUP($H92,'Cost inputs'!$A$18:$E$39,'Land Price Phase Sc1&amp;2'!AG37+1,0)</f>
        <v>1000</v>
      </c>
      <c r="AH92" s="245">
        <f>VLOOKUP($H92,'Cost inputs'!$A$18:$E$39,'Land Price Phase Sc1&amp;2'!AH37+1,0)</f>
        <v>1000</v>
      </c>
      <c r="AI92" s="245">
        <f>VLOOKUP($H92,'Cost inputs'!$A$18:$E$39,'Land Price Phase Sc1&amp;2'!AI37+1,0)</f>
        <v>1000</v>
      </c>
      <c r="AJ92" s="245">
        <f>VLOOKUP($H92,'Cost inputs'!$A$18:$E$39,'Land Price Phase Sc1&amp;2'!AJ37+1,0)</f>
        <v>1000</v>
      </c>
      <c r="AK92" s="245">
        <f>VLOOKUP($H92,'Cost inputs'!$A$18:$E$39,'Land Price Phase Sc1&amp;2'!AK37+1,0)</f>
        <v>1000</v>
      </c>
      <c r="AL92" s="245">
        <f>VLOOKUP($H92,'Cost inputs'!$A$18:$E$39,'Land Price Phase Sc1&amp;2'!AL37+1,0)</f>
        <v>1000</v>
      </c>
      <c r="AM92" s="245">
        <f>VLOOKUP($H92,'Cost inputs'!$A$18:$E$39,'Land Price Phase Sc1&amp;2'!AM37+1,0)</f>
        <v>1000</v>
      </c>
      <c r="AN92" s="245">
        <f>VLOOKUP($H92,'Cost inputs'!$A$18:$E$39,'Land Price Phase Sc1&amp;2'!AN37+1,0)</f>
        <v>1000</v>
      </c>
      <c r="AO92" s="245">
        <f>VLOOKUP($H92,'Cost inputs'!$A$18:$E$39,'Land Price Phase Sc1&amp;2'!AO37+1,0)</f>
        <v>1000</v>
      </c>
      <c r="AP92" s="245">
        <f>VLOOKUP($H92,'Cost inputs'!$A$18:$E$39,'Land Price Phase Sc1&amp;2'!AP37+1,0)</f>
        <v>1000</v>
      </c>
      <c r="AQ92" s="245">
        <f>VLOOKUP($H92,'Cost inputs'!$A$18:$E$39,'Land Price Phase Sc1&amp;2'!AQ37+1,0)</f>
        <v>1000</v>
      </c>
      <c r="AR92" s="245">
        <f>VLOOKUP($H92,'Cost inputs'!$A$18:$E$39,'Land Price Phase Sc1&amp;2'!AR37+1,0)</f>
        <v>1000</v>
      </c>
      <c r="AS92" s="245">
        <f>VLOOKUP($H92,'Cost inputs'!$A$18:$E$39,'Land Price Phase Sc1&amp;2'!AS37+1,0)</f>
        <v>1000</v>
      </c>
      <c r="AT92" s="245">
        <f>VLOOKUP($H92,'Cost inputs'!$A$18:$E$39,'Land Price Phase Sc1&amp;2'!AT37+1,0)</f>
        <v>1000</v>
      </c>
      <c r="AU92" s="245">
        <f>VLOOKUP($H92,'Cost inputs'!$A$18:$E$39,'Land Price Phase Sc1&amp;2'!AU37+1,0)</f>
        <v>1000</v>
      </c>
    </row>
    <row r="93" spans="1:47" x14ac:dyDescent="0.3">
      <c r="A93" s="245" t="str">
        <f t="shared" si="44"/>
        <v>Drury-Opaheke 2024</v>
      </c>
      <c r="B93" s="245" t="str">
        <f t="shared" si="44"/>
        <v>Drury West PC area</v>
      </c>
      <c r="C93" s="245">
        <f t="shared" si="44"/>
        <v>2035</v>
      </c>
      <c r="D93" s="245">
        <f t="shared" si="44"/>
        <v>2031</v>
      </c>
      <c r="E93" s="245">
        <f t="shared" si="44"/>
        <v>2035</v>
      </c>
      <c r="F93" s="245">
        <f t="shared" si="44"/>
        <v>2039</v>
      </c>
      <c r="G93" s="245" t="str">
        <f t="shared" si="42"/>
        <v>Bulk wastewater projects to unlock areas estimated completion mid 2030 (PC51) and by 2027 (PC61). Conservative middle date of 2029 selected.</v>
      </c>
      <c r="H93" s="245" t="str">
        <f t="shared" si="43"/>
        <v>Opaheke / Drury</v>
      </c>
      <c r="I93" s="245">
        <f>VLOOKUP($H93,'Cost inputs'!$A$18:$E$39,'Land Price Phase Sc1&amp;2'!I38+1,0)</f>
        <v>130</v>
      </c>
      <c r="J93" s="245">
        <f>VLOOKUP($H93,'Cost inputs'!$A$18:$E$39,'Land Price Phase Sc1&amp;2'!J38+1,0)</f>
        <v>130</v>
      </c>
      <c r="K93" s="245">
        <f>VLOOKUP($H93,'Cost inputs'!$A$18:$E$39,'Land Price Phase Sc1&amp;2'!K38+1,0)</f>
        <v>130</v>
      </c>
      <c r="L93" s="245">
        <f>VLOOKUP($H93,'Cost inputs'!$A$18:$E$39,'Land Price Phase Sc1&amp;2'!L38+1,0)</f>
        <v>130</v>
      </c>
      <c r="M93" s="245">
        <f>VLOOKUP($H93,'Cost inputs'!$A$18:$E$39,'Land Price Phase Sc1&amp;2'!M38+1,0)</f>
        <v>130</v>
      </c>
      <c r="N93" s="245">
        <f>VLOOKUP($H93,'Cost inputs'!$A$18:$E$39,'Land Price Phase Sc1&amp;2'!N38+1,0)</f>
        <v>130</v>
      </c>
      <c r="O93" s="245">
        <f>VLOOKUP($H93,'Cost inputs'!$A$18:$E$39,'Land Price Phase Sc1&amp;2'!O38+1,0)</f>
        <v>130</v>
      </c>
      <c r="P93" s="245">
        <f>VLOOKUP($H93,'Cost inputs'!$A$18:$E$39,'Land Price Phase Sc1&amp;2'!P38+1,0)</f>
        <v>240</v>
      </c>
      <c r="Q93" s="245">
        <f>VLOOKUP($H93,'Cost inputs'!$A$18:$E$39,'Land Price Phase Sc1&amp;2'!Q38+1,0)</f>
        <v>240</v>
      </c>
      <c r="R93" s="245">
        <f>VLOOKUP($H93,'Cost inputs'!$A$18:$E$39,'Land Price Phase Sc1&amp;2'!R38+1,0)</f>
        <v>240</v>
      </c>
      <c r="S93" s="245">
        <f>VLOOKUP($H93,'Cost inputs'!$A$18:$E$39,'Land Price Phase Sc1&amp;2'!S38+1,0)</f>
        <v>240</v>
      </c>
      <c r="T93" s="245">
        <f>VLOOKUP($H93,'Cost inputs'!$A$18:$E$39,'Land Price Phase Sc1&amp;2'!T38+1,0)</f>
        <v>335</v>
      </c>
      <c r="U93" s="245">
        <f>VLOOKUP($H93,'Cost inputs'!$A$18:$E$39,'Land Price Phase Sc1&amp;2'!U38+1,0)</f>
        <v>335</v>
      </c>
      <c r="V93" s="245">
        <f>VLOOKUP($H93,'Cost inputs'!$A$18:$E$39,'Land Price Phase Sc1&amp;2'!V38+1,0)</f>
        <v>335</v>
      </c>
      <c r="W93" s="245">
        <f>VLOOKUP($H93,'Cost inputs'!$A$18:$E$39,'Land Price Phase Sc1&amp;2'!W38+1,0)</f>
        <v>335</v>
      </c>
      <c r="X93" s="245">
        <f>VLOOKUP($H93,'Cost inputs'!$A$18:$E$39,'Land Price Phase Sc1&amp;2'!X38+1,0)</f>
        <v>1000</v>
      </c>
      <c r="Y93" s="245">
        <f>VLOOKUP($H93,'Cost inputs'!$A$18:$E$39,'Land Price Phase Sc1&amp;2'!Y38+1,0)</f>
        <v>1000</v>
      </c>
      <c r="Z93" s="245">
        <f>VLOOKUP($H93,'Cost inputs'!$A$18:$E$39,'Land Price Phase Sc1&amp;2'!Z38+1,0)</f>
        <v>1000</v>
      </c>
      <c r="AA93" s="245">
        <f>VLOOKUP($H93,'Cost inputs'!$A$18:$E$39,'Land Price Phase Sc1&amp;2'!AA38+1,0)</f>
        <v>1000</v>
      </c>
      <c r="AB93" s="245">
        <f>VLOOKUP($H93,'Cost inputs'!$A$18:$E$39,'Land Price Phase Sc1&amp;2'!AB38+1,0)</f>
        <v>1000</v>
      </c>
      <c r="AC93" s="245">
        <f>VLOOKUP($H93,'Cost inputs'!$A$18:$E$39,'Land Price Phase Sc1&amp;2'!AC38+1,0)</f>
        <v>1000</v>
      </c>
      <c r="AD93" s="245">
        <f>VLOOKUP($H93,'Cost inputs'!$A$18:$E$39,'Land Price Phase Sc1&amp;2'!AD38+1,0)</f>
        <v>1000</v>
      </c>
      <c r="AE93" s="245">
        <f>VLOOKUP($H93,'Cost inputs'!$A$18:$E$39,'Land Price Phase Sc1&amp;2'!AE38+1,0)</f>
        <v>1000</v>
      </c>
      <c r="AF93" s="245">
        <f>VLOOKUP($H93,'Cost inputs'!$A$18:$E$39,'Land Price Phase Sc1&amp;2'!AF38+1,0)</f>
        <v>1000</v>
      </c>
      <c r="AG93" s="245">
        <f>VLOOKUP($H93,'Cost inputs'!$A$18:$E$39,'Land Price Phase Sc1&amp;2'!AG38+1,0)</f>
        <v>1000</v>
      </c>
      <c r="AH93" s="245">
        <f>VLOOKUP($H93,'Cost inputs'!$A$18:$E$39,'Land Price Phase Sc1&amp;2'!AH38+1,0)</f>
        <v>1000</v>
      </c>
      <c r="AI93" s="245">
        <f>VLOOKUP($H93,'Cost inputs'!$A$18:$E$39,'Land Price Phase Sc1&amp;2'!AI38+1,0)</f>
        <v>1000</v>
      </c>
      <c r="AJ93" s="245">
        <f>VLOOKUP($H93,'Cost inputs'!$A$18:$E$39,'Land Price Phase Sc1&amp;2'!AJ38+1,0)</f>
        <v>1000</v>
      </c>
      <c r="AK93" s="245">
        <f>VLOOKUP($H93,'Cost inputs'!$A$18:$E$39,'Land Price Phase Sc1&amp;2'!AK38+1,0)</f>
        <v>1000</v>
      </c>
      <c r="AL93" s="245">
        <f>VLOOKUP($H93,'Cost inputs'!$A$18:$E$39,'Land Price Phase Sc1&amp;2'!AL38+1,0)</f>
        <v>1000</v>
      </c>
      <c r="AM93" s="245">
        <f>VLOOKUP($H93,'Cost inputs'!$A$18:$E$39,'Land Price Phase Sc1&amp;2'!AM38+1,0)</f>
        <v>1000</v>
      </c>
      <c r="AN93" s="245">
        <f>VLOOKUP($H93,'Cost inputs'!$A$18:$E$39,'Land Price Phase Sc1&amp;2'!AN38+1,0)</f>
        <v>1000</v>
      </c>
      <c r="AO93" s="245">
        <f>VLOOKUP($H93,'Cost inputs'!$A$18:$E$39,'Land Price Phase Sc1&amp;2'!AO38+1,0)</f>
        <v>1000</v>
      </c>
      <c r="AP93" s="245">
        <f>VLOOKUP($H93,'Cost inputs'!$A$18:$E$39,'Land Price Phase Sc1&amp;2'!AP38+1,0)</f>
        <v>1000</v>
      </c>
      <c r="AQ93" s="245">
        <f>VLOOKUP($H93,'Cost inputs'!$A$18:$E$39,'Land Price Phase Sc1&amp;2'!AQ38+1,0)</f>
        <v>1000</v>
      </c>
      <c r="AR93" s="245">
        <f>VLOOKUP($H93,'Cost inputs'!$A$18:$E$39,'Land Price Phase Sc1&amp;2'!AR38+1,0)</f>
        <v>1000</v>
      </c>
      <c r="AS93" s="245">
        <f>VLOOKUP($H93,'Cost inputs'!$A$18:$E$39,'Land Price Phase Sc1&amp;2'!AS38+1,0)</f>
        <v>1000</v>
      </c>
      <c r="AT93" s="245">
        <f>VLOOKUP($H93,'Cost inputs'!$A$18:$E$39,'Land Price Phase Sc1&amp;2'!AT38+1,0)</f>
        <v>1000</v>
      </c>
      <c r="AU93" s="245">
        <f>VLOOKUP($H93,'Cost inputs'!$A$18:$E$39,'Land Price Phase Sc1&amp;2'!AU38+1,0)</f>
        <v>1000</v>
      </c>
    </row>
    <row r="94" spans="1:47" x14ac:dyDescent="0.3">
      <c r="A94" s="245" t="str">
        <f t="shared" si="44"/>
        <v>Drury-Opaheke 2024</v>
      </c>
      <c r="B94" s="245" t="str">
        <f t="shared" si="44"/>
        <v>Drury South</v>
      </c>
      <c r="C94" s="245" t="str">
        <f t="shared" si="44"/>
        <v>SUL ongoing</v>
      </c>
      <c r="D94" s="245">
        <f t="shared" si="44"/>
        <v>0</v>
      </c>
      <c r="E94" s="245">
        <f t="shared" si="44"/>
        <v>0</v>
      </c>
      <c r="F94" s="245">
        <f t="shared" si="44"/>
        <v>2024</v>
      </c>
      <c r="G94" s="245" t="str">
        <f t="shared" si="42"/>
        <v>Significant residential growth occuring for many years. SUL stage ongoing.</v>
      </c>
      <c r="H94" s="245" t="str">
        <f t="shared" si="43"/>
        <v>Opaheke / Drury</v>
      </c>
      <c r="I94" s="245">
        <f>VLOOKUP($H94,'Cost inputs'!$A$18:$E$39,'Land Price Phase Sc1&amp;2'!I39+1,0)</f>
        <v>1000</v>
      </c>
      <c r="J94" s="245">
        <f>VLOOKUP($H94,'Cost inputs'!$A$18:$E$39,'Land Price Phase Sc1&amp;2'!J39+1,0)</f>
        <v>1000</v>
      </c>
      <c r="K94" s="245">
        <f>VLOOKUP($H94,'Cost inputs'!$A$18:$E$39,'Land Price Phase Sc1&amp;2'!K39+1,0)</f>
        <v>1000</v>
      </c>
      <c r="L94" s="245">
        <f>VLOOKUP($H94,'Cost inputs'!$A$18:$E$39,'Land Price Phase Sc1&amp;2'!L39+1,0)</f>
        <v>1000</v>
      </c>
      <c r="M94" s="245">
        <f>VLOOKUP($H94,'Cost inputs'!$A$18:$E$39,'Land Price Phase Sc1&amp;2'!M39+1,0)</f>
        <v>1000</v>
      </c>
      <c r="N94" s="245">
        <f>VLOOKUP($H94,'Cost inputs'!$A$18:$E$39,'Land Price Phase Sc1&amp;2'!N39+1,0)</f>
        <v>1000</v>
      </c>
      <c r="O94" s="245">
        <f>VLOOKUP($H94,'Cost inputs'!$A$18:$E$39,'Land Price Phase Sc1&amp;2'!O39+1,0)</f>
        <v>1000</v>
      </c>
      <c r="P94" s="245">
        <f>VLOOKUP($H94,'Cost inputs'!$A$18:$E$39,'Land Price Phase Sc1&amp;2'!P39+1,0)</f>
        <v>1000</v>
      </c>
      <c r="Q94" s="245">
        <f>VLOOKUP($H94,'Cost inputs'!$A$18:$E$39,'Land Price Phase Sc1&amp;2'!Q39+1,0)</f>
        <v>1000</v>
      </c>
      <c r="R94" s="245">
        <f>VLOOKUP($H94,'Cost inputs'!$A$18:$E$39,'Land Price Phase Sc1&amp;2'!R39+1,0)</f>
        <v>1000</v>
      </c>
      <c r="S94" s="245">
        <f>VLOOKUP($H94,'Cost inputs'!$A$18:$E$39,'Land Price Phase Sc1&amp;2'!S39+1,0)</f>
        <v>1000</v>
      </c>
      <c r="T94" s="245">
        <f>VLOOKUP($H94,'Cost inputs'!$A$18:$E$39,'Land Price Phase Sc1&amp;2'!T39+1,0)</f>
        <v>1000</v>
      </c>
      <c r="U94" s="245">
        <f>VLOOKUP($H94,'Cost inputs'!$A$18:$E$39,'Land Price Phase Sc1&amp;2'!U39+1,0)</f>
        <v>1000</v>
      </c>
      <c r="V94" s="245">
        <f>VLOOKUP($H94,'Cost inputs'!$A$18:$E$39,'Land Price Phase Sc1&amp;2'!V39+1,0)</f>
        <v>1000</v>
      </c>
      <c r="W94" s="245">
        <f>VLOOKUP($H94,'Cost inputs'!$A$18:$E$39,'Land Price Phase Sc1&amp;2'!W39+1,0)</f>
        <v>1000</v>
      </c>
      <c r="X94" s="245">
        <f>VLOOKUP($H94,'Cost inputs'!$A$18:$E$39,'Land Price Phase Sc1&amp;2'!X39+1,0)</f>
        <v>1000</v>
      </c>
      <c r="Y94" s="245">
        <f>VLOOKUP($H94,'Cost inputs'!$A$18:$E$39,'Land Price Phase Sc1&amp;2'!Y39+1,0)</f>
        <v>1000</v>
      </c>
      <c r="Z94" s="245">
        <f>VLOOKUP($H94,'Cost inputs'!$A$18:$E$39,'Land Price Phase Sc1&amp;2'!Z39+1,0)</f>
        <v>1000</v>
      </c>
      <c r="AA94" s="245">
        <f>VLOOKUP($H94,'Cost inputs'!$A$18:$E$39,'Land Price Phase Sc1&amp;2'!AA39+1,0)</f>
        <v>1000</v>
      </c>
      <c r="AB94" s="245">
        <f>VLOOKUP($H94,'Cost inputs'!$A$18:$E$39,'Land Price Phase Sc1&amp;2'!AB39+1,0)</f>
        <v>1000</v>
      </c>
      <c r="AC94" s="245">
        <f>VLOOKUP($H94,'Cost inputs'!$A$18:$E$39,'Land Price Phase Sc1&amp;2'!AC39+1,0)</f>
        <v>1000</v>
      </c>
      <c r="AD94" s="245">
        <f>VLOOKUP($H94,'Cost inputs'!$A$18:$E$39,'Land Price Phase Sc1&amp;2'!AD39+1,0)</f>
        <v>1000</v>
      </c>
      <c r="AE94" s="245">
        <f>VLOOKUP($H94,'Cost inputs'!$A$18:$E$39,'Land Price Phase Sc1&amp;2'!AE39+1,0)</f>
        <v>1000</v>
      </c>
      <c r="AF94" s="245">
        <f>VLOOKUP($H94,'Cost inputs'!$A$18:$E$39,'Land Price Phase Sc1&amp;2'!AF39+1,0)</f>
        <v>1000</v>
      </c>
      <c r="AG94" s="245">
        <f>VLOOKUP($H94,'Cost inputs'!$A$18:$E$39,'Land Price Phase Sc1&amp;2'!AG39+1,0)</f>
        <v>1000</v>
      </c>
      <c r="AH94" s="245">
        <f>VLOOKUP($H94,'Cost inputs'!$A$18:$E$39,'Land Price Phase Sc1&amp;2'!AH39+1,0)</f>
        <v>1000</v>
      </c>
      <c r="AI94" s="245">
        <f>VLOOKUP($H94,'Cost inputs'!$A$18:$E$39,'Land Price Phase Sc1&amp;2'!AI39+1,0)</f>
        <v>1000</v>
      </c>
      <c r="AJ94" s="245">
        <f>VLOOKUP($H94,'Cost inputs'!$A$18:$E$39,'Land Price Phase Sc1&amp;2'!AJ39+1,0)</f>
        <v>1000</v>
      </c>
      <c r="AK94" s="245">
        <f>VLOOKUP($H94,'Cost inputs'!$A$18:$E$39,'Land Price Phase Sc1&amp;2'!AK39+1,0)</f>
        <v>1000</v>
      </c>
      <c r="AL94" s="245">
        <f>VLOOKUP($H94,'Cost inputs'!$A$18:$E$39,'Land Price Phase Sc1&amp;2'!AL39+1,0)</f>
        <v>1000</v>
      </c>
      <c r="AM94" s="245">
        <f>VLOOKUP($H94,'Cost inputs'!$A$18:$E$39,'Land Price Phase Sc1&amp;2'!AM39+1,0)</f>
        <v>1000</v>
      </c>
      <c r="AN94" s="245">
        <f>VLOOKUP($H94,'Cost inputs'!$A$18:$E$39,'Land Price Phase Sc1&amp;2'!AN39+1,0)</f>
        <v>1000</v>
      </c>
      <c r="AO94" s="245">
        <f>VLOOKUP($H94,'Cost inputs'!$A$18:$E$39,'Land Price Phase Sc1&amp;2'!AO39+1,0)</f>
        <v>1000</v>
      </c>
      <c r="AP94" s="245">
        <f>VLOOKUP($H94,'Cost inputs'!$A$18:$E$39,'Land Price Phase Sc1&amp;2'!AP39+1,0)</f>
        <v>1000</v>
      </c>
      <c r="AQ94" s="245">
        <f>VLOOKUP($H94,'Cost inputs'!$A$18:$E$39,'Land Price Phase Sc1&amp;2'!AQ39+1,0)</f>
        <v>1000</v>
      </c>
      <c r="AR94" s="245">
        <f>VLOOKUP($H94,'Cost inputs'!$A$18:$E$39,'Land Price Phase Sc1&amp;2'!AR39+1,0)</f>
        <v>1000</v>
      </c>
      <c r="AS94" s="245">
        <f>VLOOKUP($H94,'Cost inputs'!$A$18:$E$39,'Land Price Phase Sc1&amp;2'!AS39+1,0)</f>
        <v>1000</v>
      </c>
      <c r="AT94" s="245">
        <f>VLOOKUP($H94,'Cost inputs'!$A$18:$E$39,'Land Price Phase Sc1&amp;2'!AT39+1,0)</f>
        <v>1000</v>
      </c>
      <c r="AU94" s="245">
        <f>VLOOKUP($H94,'Cost inputs'!$A$18:$E$39,'Land Price Phase Sc1&amp;2'!AU39+1,0)</f>
        <v>1000</v>
      </c>
    </row>
    <row r="95" spans="1:47" x14ac:dyDescent="0.3">
      <c r="A95" s="245" t="str">
        <f t="shared" si="44"/>
        <v>Pukekohe &amp; Paerata</v>
      </c>
      <c r="B95" s="245" t="str">
        <f t="shared" si="44"/>
        <v>Paerata South</v>
      </c>
      <c r="C95" s="245">
        <f t="shared" si="44"/>
        <v>2030</v>
      </c>
      <c r="D95" s="245">
        <f t="shared" si="44"/>
        <v>2026</v>
      </c>
      <c r="E95" s="245">
        <f t="shared" si="44"/>
        <v>2030</v>
      </c>
      <c r="F95" s="245">
        <f t="shared" si="44"/>
        <v>2034</v>
      </c>
      <c r="G95" s="245" t="str">
        <f t="shared" si="42"/>
        <v/>
      </c>
      <c r="H95" s="245" t="str">
        <f t="shared" si="43"/>
        <v>Paerata / Pukekohe</v>
      </c>
      <c r="I95" s="245">
        <f>VLOOKUP($H95,'Cost inputs'!$A$18:$E$39,'Land Price Phase Sc1&amp;2'!I40+1,0)</f>
        <v>95</v>
      </c>
      <c r="J95" s="245">
        <f>VLOOKUP($H95,'Cost inputs'!$A$18:$E$39,'Land Price Phase Sc1&amp;2'!J40+1,0)</f>
        <v>95</v>
      </c>
      <c r="K95" s="245">
        <f>VLOOKUP($H95,'Cost inputs'!$A$18:$E$39,'Land Price Phase Sc1&amp;2'!K40+1,0)</f>
        <v>130</v>
      </c>
      <c r="L95" s="245">
        <f>VLOOKUP($H95,'Cost inputs'!$A$18:$E$39,'Land Price Phase Sc1&amp;2'!L40+1,0)</f>
        <v>130</v>
      </c>
      <c r="M95" s="245">
        <f>VLOOKUP($H95,'Cost inputs'!$A$18:$E$39,'Land Price Phase Sc1&amp;2'!M40+1,0)</f>
        <v>130</v>
      </c>
      <c r="N95" s="245">
        <f>VLOOKUP($H95,'Cost inputs'!$A$18:$E$39,'Land Price Phase Sc1&amp;2'!N40+1,0)</f>
        <v>130</v>
      </c>
      <c r="O95" s="245">
        <f>VLOOKUP($H95,'Cost inputs'!$A$18:$E$39,'Land Price Phase Sc1&amp;2'!O40+1,0)</f>
        <v>215</v>
      </c>
      <c r="P95" s="245">
        <f>VLOOKUP($H95,'Cost inputs'!$A$18:$E$39,'Land Price Phase Sc1&amp;2'!P40+1,0)</f>
        <v>215</v>
      </c>
      <c r="Q95" s="245">
        <f>VLOOKUP($H95,'Cost inputs'!$A$18:$E$39,'Land Price Phase Sc1&amp;2'!Q40+1,0)</f>
        <v>215</v>
      </c>
      <c r="R95" s="245">
        <f>VLOOKUP($H95,'Cost inputs'!$A$18:$E$39,'Land Price Phase Sc1&amp;2'!R40+1,0)</f>
        <v>215</v>
      </c>
      <c r="S95" s="245">
        <f>VLOOKUP($H95,'Cost inputs'!$A$18:$E$39,'Land Price Phase Sc1&amp;2'!S40+1,0)</f>
        <v>900</v>
      </c>
      <c r="T95" s="245">
        <f>VLOOKUP($H95,'Cost inputs'!$A$18:$E$39,'Land Price Phase Sc1&amp;2'!T40+1,0)</f>
        <v>900</v>
      </c>
      <c r="U95" s="245">
        <f>VLOOKUP($H95,'Cost inputs'!$A$18:$E$39,'Land Price Phase Sc1&amp;2'!U40+1,0)</f>
        <v>900</v>
      </c>
      <c r="V95" s="245">
        <f>VLOOKUP($H95,'Cost inputs'!$A$18:$E$39,'Land Price Phase Sc1&amp;2'!V40+1,0)</f>
        <v>900</v>
      </c>
      <c r="W95" s="245">
        <f>VLOOKUP($H95,'Cost inputs'!$A$18:$E$39,'Land Price Phase Sc1&amp;2'!W40+1,0)</f>
        <v>900</v>
      </c>
      <c r="X95" s="245">
        <f>VLOOKUP($H95,'Cost inputs'!$A$18:$E$39,'Land Price Phase Sc1&amp;2'!X40+1,0)</f>
        <v>900</v>
      </c>
      <c r="Y95" s="245">
        <f>VLOOKUP($H95,'Cost inputs'!$A$18:$E$39,'Land Price Phase Sc1&amp;2'!Y40+1,0)</f>
        <v>900</v>
      </c>
      <c r="Z95" s="245">
        <f>VLOOKUP($H95,'Cost inputs'!$A$18:$E$39,'Land Price Phase Sc1&amp;2'!Z40+1,0)</f>
        <v>900</v>
      </c>
      <c r="AA95" s="245">
        <f>VLOOKUP($H95,'Cost inputs'!$A$18:$E$39,'Land Price Phase Sc1&amp;2'!AA40+1,0)</f>
        <v>900</v>
      </c>
      <c r="AB95" s="245">
        <f>VLOOKUP($H95,'Cost inputs'!$A$18:$E$39,'Land Price Phase Sc1&amp;2'!AB40+1,0)</f>
        <v>900</v>
      </c>
      <c r="AC95" s="245">
        <f>VLOOKUP($H95,'Cost inputs'!$A$18:$E$39,'Land Price Phase Sc1&amp;2'!AC40+1,0)</f>
        <v>900</v>
      </c>
      <c r="AD95" s="245">
        <f>VLOOKUP($H95,'Cost inputs'!$A$18:$E$39,'Land Price Phase Sc1&amp;2'!AD40+1,0)</f>
        <v>900</v>
      </c>
      <c r="AE95" s="245">
        <f>VLOOKUP($H95,'Cost inputs'!$A$18:$E$39,'Land Price Phase Sc1&amp;2'!AE40+1,0)</f>
        <v>900</v>
      </c>
      <c r="AF95" s="245">
        <f>VLOOKUP($H95,'Cost inputs'!$A$18:$E$39,'Land Price Phase Sc1&amp;2'!AF40+1,0)</f>
        <v>900</v>
      </c>
      <c r="AG95" s="245">
        <f>VLOOKUP($H95,'Cost inputs'!$A$18:$E$39,'Land Price Phase Sc1&amp;2'!AG40+1,0)</f>
        <v>900</v>
      </c>
      <c r="AH95" s="245">
        <f>VLOOKUP($H95,'Cost inputs'!$A$18:$E$39,'Land Price Phase Sc1&amp;2'!AH40+1,0)</f>
        <v>900</v>
      </c>
      <c r="AI95" s="245">
        <f>VLOOKUP($H95,'Cost inputs'!$A$18:$E$39,'Land Price Phase Sc1&amp;2'!AI40+1,0)</f>
        <v>900</v>
      </c>
      <c r="AJ95" s="245">
        <f>VLOOKUP($H95,'Cost inputs'!$A$18:$E$39,'Land Price Phase Sc1&amp;2'!AJ40+1,0)</f>
        <v>900</v>
      </c>
      <c r="AK95" s="245">
        <f>VLOOKUP($H95,'Cost inputs'!$A$18:$E$39,'Land Price Phase Sc1&amp;2'!AK40+1,0)</f>
        <v>900</v>
      </c>
      <c r="AL95" s="245">
        <f>VLOOKUP($H95,'Cost inputs'!$A$18:$E$39,'Land Price Phase Sc1&amp;2'!AL40+1,0)</f>
        <v>900</v>
      </c>
      <c r="AM95" s="245">
        <f>VLOOKUP($H95,'Cost inputs'!$A$18:$E$39,'Land Price Phase Sc1&amp;2'!AM40+1,0)</f>
        <v>900</v>
      </c>
      <c r="AN95" s="245">
        <f>VLOOKUP($H95,'Cost inputs'!$A$18:$E$39,'Land Price Phase Sc1&amp;2'!AN40+1,0)</f>
        <v>900</v>
      </c>
      <c r="AO95" s="245">
        <f>VLOOKUP($H95,'Cost inputs'!$A$18:$E$39,'Land Price Phase Sc1&amp;2'!AO40+1,0)</f>
        <v>900</v>
      </c>
      <c r="AP95" s="245">
        <f>VLOOKUP($H95,'Cost inputs'!$A$18:$E$39,'Land Price Phase Sc1&amp;2'!AP40+1,0)</f>
        <v>900</v>
      </c>
      <c r="AQ95" s="245">
        <f>VLOOKUP($H95,'Cost inputs'!$A$18:$E$39,'Land Price Phase Sc1&amp;2'!AQ40+1,0)</f>
        <v>900</v>
      </c>
      <c r="AR95" s="245">
        <f>VLOOKUP($H95,'Cost inputs'!$A$18:$E$39,'Land Price Phase Sc1&amp;2'!AR40+1,0)</f>
        <v>900</v>
      </c>
      <c r="AS95" s="245">
        <f>VLOOKUP($H95,'Cost inputs'!$A$18:$E$39,'Land Price Phase Sc1&amp;2'!AS40+1,0)</f>
        <v>900</v>
      </c>
      <c r="AT95" s="245">
        <f>VLOOKUP($H95,'Cost inputs'!$A$18:$E$39,'Land Price Phase Sc1&amp;2'!AT40+1,0)</f>
        <v>900</v>
      </c>
      <c r="AU95" s="245">
        <f>VLOOKUP($H95,'Cost inputs'!$A$18:$E$39,'Land Price Phase Sc1&amp;2'!AU40+1,0)</f>
        <v>900</v>
      </c>
    </row>
    <row r="96" spans="1:47" x14ac:dyDescent="0.3">
      <c r="A96" s="245" t="str">
        <f t="shared" si="44"/>
        <v>Pukekohe &amp; Paerata</v>
      </c>
      <c r="B96" s="245" t="str">
        <f t="shared" si="44"/>
        <v>Paerata West, Pukekohe North-east, North-west, South-east</v>
      </c>
      <c r="C96" s="245">
        <f t="shared" si="44"/>
        <v>2040</v>
      </c>
      <c r="D96" s="245">
        <f t="shared" si="44"/>
        <v>2036</v>
      </c>
      <c r="E96" s="245">
        <f t="shared" si="44"/>
        <v>2040</v>
      </c>
      <c r="F96" s="245">
        <f t="shared" si="44"/>
        <v>2044</v>
      </c>
      <c r="G96" s="245" t="str">
        <f t="shared" si="42"/>
        <v/>
      </c>
      <c r="H96" s="245" t="str">
        <f t="shared" si="43"/>
        <v>Paerata / Pukekohe</v>
      </c>
      <c r="I96" s="245">
        <f>VLOOKUP($H96,'Cost inputs'!$A$18:$E$39,'Land Price Phase Sc1&amp;2'!I41+1,0)</f>
        <v>95</v>
      </c>
      <c r="J96" s="245">
        <f>VLOOKUP($H96,'Cost inputs'!$A$18:$E$39,'Land Price Phase Sc1&amp;2'!J41+1,0)</f>
        <v>95</v>
      </c>
      <c r="K96" s="245">
        <f>VLOOKUP($H96,'Cost inputs'!$A$18:$E$39,'Land Price Phase Sc1&amp;2'!K41+1,0)</f>
        <v>95</v>
      </c>
      <c r="L96" s="245">
        <f>VLOOKUP($H96,'Cost inputs'!$A$18:$E$39,'Land Price Phase Sc1&amp;2'!L41+1,0)</f>
        <v>95</v>
      </c>
      <c r="M96" s="245">
        <f>VLOOKUP($H96,'Cost inputs'!$A$18:$E$39,'Land Price Phase Sc1&amp;2'!M41+1,0)</f>
        <v>95</v>
      </c>
      <c r="N96" s="245">
        <f>VLOOKUP($H96,'Cost inputs'!$A$18:$E$39,'Land Price Phase Sc1&amp;2'!N41+1,0)</f>
        <v>95</v>
      </c>
      <c r="O96" s="245">
        <f>VLOOKUP($H96,'Cost inputs'!$A$18:$E$39,'Land Price Phase Sc1&amp;2'!O41+1,0)</f>
        <v>95</v>
      </c>
      <c r="P96" s="245">
        <f>VLOOKUP($H96,'Cost inputs'!$A$18:$E$39,'Land Price Phase Sc1&amp;2'!P41+1,0)</f>
        <v>95</v>
      </c>
      <c r="Q96" s="245">
        <f>VLOOKUP($H96,'Cost inputs'!$A$18:$E$39,'Land Price Phase Sc1&amp;2'!Q41+1,0)</f>
        <v>95</v>
      </c>
      <c r="R96" s="245">
        <f>VLOOKUP($H96,'Cost inputs'!$A$18:$E$39,'Land Price Phase Sc1&amp;2'!R41+1,0)</f>
        <v>95</v>
      </c>
      <c r="S96" s="245">
        <f>VLOOKUP($H96,'Cost inputs'!$A$18:$E$39,'Land Price Phase Sc1&amp;2'!S41+1,0)</f>
        <v>95</v>
      </c>
      <c r="T96" s="245">
        <f>VLOOKUP($H96,'Cost inputs'!$A$18:$E$39,'Land Price Phase Sc1&amp;2'!T41+1,0)</f>
        <v>95</v>
      </c>
      <c r="U96" s="245">
        <f>VLOOKUP($H96,'Cost inputs'!$A$18:$E$39,'Land Price Phase Sc1&amp;2'!U41+1,0)</f>
        <v>130</v>
      </c>
      <c r="V96" s="245">
        <f>VLOOKUP($H96,'Cost inputs'!$A$18:$E$39,'Land Price Phase Sc1&amp;2'!V41+1,0)</f>
        <v>130</v>
      </c>
      <c r="W96" s="245">
        <f>VLOOKUP($H96,'Cost inputs'!$A$18:$E$39,'Land Price Phase Sc1&amp;2'!W41+1,0)</f>
        <v>130</v>
      </c>
      <c r="X96" s="245">
        <f>VLOOKUP($H96,'Cost inputs'!$A$18:$E$39,'Land Price Phase Sc1&amp;2'!X41+1,0)</f>
        <v>130</v>
      </c>
      <c r="Y96" s="245">
        <f>VLOOKUP($H96,'Cost inputs'!$A$18:$E$39,'Land Price Phase Sc1&amp;2'!Y41+1,0)</f>
        <v>215</v>
      </c>
      <c r="Z96" s="245">
        <f>VLOOKUP($H96,'Cost inputs'!$A$18:$E$39,'Land Price Phase Sc1&amp;2'!Z41+1,0)</f>
        <v>215</v>
      </c>
      <c r="AA96" s="245">
        <f>VLOOKUP($H96,'Cost inputs'!$A$18:$E$39,'Land Price Phase Sc1&amp;2'!AA41+1,0)</f>
        <v>215</v>
      </c>
      <c r="AB96" s="245">
        <f>VLOOKUP($H96,'Cost inputs'!$A$18:$E$39,'Land Price Phase Sc1&amp;2'!AB41+1,0)</f>
        <v>215</v>
      </c>
      <c r="AC96" s="245">
        <f>VLOOKUP($H96,'Cost inputs'!$A$18:$E$39,'Land Price Phase Sc1&amp;2'!AC41+1,0)</f>
        <v>900</v>
      </c>
      <c r="AD96" s="245">
        <f>VLOOKUP($H96,'Cost inputs'!$A$18:$E$39,'Land Price Phase Sc1&amp;2'!AD41+1,0)</f>
        <v>900</v>
      </c>
      <c r="AE96" s="245">
        <f>VLOOKUP($H96,'Cost inputs'!$A$18:$E$39,'Land Price Phase Sc1&amp;2'!AE41+1,0)</f>
        <v>900</v>
      </c>
      <c r="AF96" s="245">
        <f>VLOOKUP($H96,'Cost inputs'!$A$18:$E$39,'Land Price Phase Sc1&amp;2'!AF41+1,0)</f>
        <v>900</v>
      </c>
      <c r="AG96" s="245">
        <f>VLOOKUP($H96,'Cost inputs'!$A$18:$E$39,'Land Price Phase Sc1&amp;2'!AG41+1,0)</f>
        <v>900</v>
      </c>
      <c r="AH96" s="245">
        <f>VLOOKUP($H96,'Cost inputs'!$A$18:$E$39,'Land Price Phase Sc1&amp;2'!AH41+1,0)</f>
        <v>900</v>
      </c>
      <c r="AI96" s="245">
        <f>VLOOKUP($H96,'Cost inputs'!$A$18:$E$39,'Land Price Phase Sc1&amp;2'!AI41+1,0)</f>
        <v>900</v>
      </c>
      <c r="AJ96" s="245">
        <f>VLOOKUP($H96,'Cost inputs'!$A$18:$E$39,'Land Price Phase Sc1&amp;2'!AJ41+1,0)</f>
        <v>900</v>
      </c>
      <c r="AK96" s="245">
        <f>VLOOKUP($H96,'Cost inputs'!$A$18:$E$39,'Land Price Phase Sc1&amp;2'!AK41+1,0)</f>
        <v>900</v>
      </c>
      <c r="AL96" s="245">
        <f>VLOOKUP($H96,'Cost inputs'!$A$18:$E$39,'Land Price Phase Sc1&amp;2'!AL41+1,0)</f>
        <v>900</v>
      </c>
      <c r="AM96" s="245">
        <f>VLOOKUP($H96,'Cost inputs'!$A$18:$E$39,'Land Price Phase Sc1&amp;2'!AM41+1,0)</f>
        <v>900</v>
      </c>
      <c r="AN96" s="245">
        <f>VLOOKUP($H96,'Cost inputs'!$A$18:$E$39,'Land Price Phase Sc1&amp;2'!AN41+1,0)</f>
        <v>900</v>
      </c>
      <c r="AO96" s="245">
        <f>VLOOKUP($H96,'Cost inputs'!$A$18:$E$39,'Land Price Phase Sc1&amp;2'!AO41+1,0)</f>
        <v>900</v>
      </c>
      <c r="AP96" s="245">
        <f>VLOOKUP($H96,'Cost inputs'!$A$18:$E$39,'Land Price Phase Sc1&amp;2'!AP41+1,0)</f>
        <v>900</v>
      </c>
      <c r="AQ96" s="245">
        <f>VLOOKUP($H96,'Cost inputs'!$A$18:$E$39,'Land Price Phase Sc1&amp;2'!AQ41+1,0)</f>
        <v>900</v>
      </c>
      <c r="AR96" s="245">
        <f>VLOOKUP($H96,'Cost inputs'!$A$18:$E$39,'Land Price Phase Sc1&amp;2'!AR41+1,0)</f>
        <v>900</v>
      </c>
      <c r="AS96" s="245">
        <f>VLOOKUP($H96,'Cost inputs'!$A$18:$E$39,'Land Price Phase Sc1&amp;2'!AS41+1,0)</f>
        <v>900</v>
      </c>
      <c r="AT96" s="245">
        <f>VLOOKUP($H96,'Cost inputs'!$A$18:$E$39,'Land Price Phase Sc1&amp;2'!AT41+1,0)</f>
        <v>900</v>
      </c>
      <c r="AU96" s="245">
        <f>VLOOKUP($H96,'Cost inputs'!$A$18:$E$39,'Land Price Phase Sc1&amp;2'!AU41+1,0)</f>
        <v>900</v>
      </c>
    </row>
    <row r="97" spans="1:47" x14ac:dyDescent="0.3">
      <c r="A97" s="245" t="str">
        <f t="shared" ref="A97:F105" si="45">A42</f>
        <v>Pukekohe &amp; Paerata</v>
      </c>
      <c r="B97" s="245" t="str">
        <f t="shared" si="45"/>
        <v>Pukekohe East, South-west</v>
      </c>
      <c r="C97" s="245">
        <f t="shared" si="45"/>
        <v>2035</v>
      </c>
      <c r="D97" s="245">
        <f t="shared" si="45"/>
        <v>2031</v>
      </c>
      <c r="E97" s="245">
        <f t="shared" si="45"/>
        <v>2035</v>
      </c>
      <c r="F97" s="245">
        <f t="shared" si="45"/>
        <v>2039</v>
      </c>
      <c r="G97" s="245" t="str">
        <f t="shared" si="42"/>
        <v/>
      </c>
      <c r="H97" s="245" t="str">
        <f t="shared" si="43"/>
        <v>Paerata / Pukekohe</v>
      </c>
      <c r="I97" s="245">
        <f>VLOOKUP($H97,'Cost inputs'!$A$18:$E$39,'Land Price Phase Sc1&amp;2'!I42+1,0)</f>
        <v>95</v>
      </c>
      <c r="J97" s="245">
        <f>VLOOKUP($H97,'Cost inputs'!$A$18:$E$39,'Land Price Phase Sc1&amp;2'!J42+1,0)</f>
        <v>95</v>
      </c>
      <c r="K97" s="245">
        <f>VLOOKUP($H97,'Cost inputs'!$A$18:$E$39,'Land Price Phase Sc1&amp;2'!K42+1,0)</f>
        <v>95</v>
      </c>
      <c r="L97" s="245">
        <f>VLOOKUP($H97,'Cost inputs'!$A$18:$E$39,'Land Price Phase Sc1&amp;2'!L42+1,0)</f>
        <v>95</v>
      </c>
      <c r="M97" s="245">
        <f>VLOOKUP($H97,'Cost inputs'!$A$18:$E$39,'Land Price Phase Sc1&amp;2'!M42+1,0)</f>
        <v>95</v>
      </c>
      <c r="N97" s="245">
        <f>VLOOKUP($H97,'Cost inputs'!$A$18:$E$39,'Land Price Phase Sc1&amp;2'!N42+1,0)</f>
        <v>95</v>
      </c>
      <c r="O97" s="245">
        <f>VLOOKUP($H97,'Cost inputs'!$A$18:$E$39,'Land Price Phase Sc1&amp;2'!O42+1,0)</f>
        <v>95</v>
      </c>
      <c r="P97" s="245">
        <f>VLOOKUP($H97,'Cost inputs'!$A$18:$E$39,'Land Price Phase Sc1&amp;2'!P42+1,0)</f>
        <v>130</v>
      </c>
      <c r="Q97" s="245">
        <f>VLOOKUP($H97,'Cost inputs'!$A$18:$E$39,'Land Price Phase Sc1&amp;2'!Q42+1,0)</f>
        <v>130</v>
      </c>
      <c r="R97" s="245">
        <f>VLOOKUP($H97,'Cost inputs'!$A$18:$E$39,'Land Price Phase Sc1&amp;2'!R42+1,0)</f>
        <v>130</v>
      </c>
      <c r="S97" s="245">
        <f>VLOOKUP($H97,'Cost inputs'!$A$18:$E$39,'Land Price Phase Sc1&amp;2'!S42+1,0)</f>
        <v>130</v>
      </c>
      <c r="T97" s="245">
        <f>VLOOKUP($H97,'Cost inputs'!$A$18:$E$39,'Land Price Phase Sc1&amp;2'!T42+1,0)</f>
        <v>215</v>
      </c>
      <c r="U97" s="245">
        <f>VLOOKUP($H97,'Cost inputs'!$A$18:$E$39,'Land Price Phase Sc1&amp;2'!U42+1,0)</f>
        <v>215</v>
      </c>
      <c r="V97" s="245">
        <f>VLOOKUP($H97,'Cost inputs'!$A$18:$E$39,'Land Price Phase Sc1&amp;2'!V42+1,0)</f>
        <v>215</v>
      </c>
      <c r="W97" s="245">
        <f>VLOOKUP($H97,'Cost inputs'!$A$18:$E$39,'Land Price Phase Sc1&amp;2'!W42+1,0)</f>
        <v>215</v>
      </c>
      <c r="X97" s="245">
        <f>VLOOKUP($H97,'Cost inputs'!$A$18:$E$39,'Land Price Phase Sc1&amp;2'!X42+1,0)</f>
        <v>900</v>
      </c>
      <c r="Y97" s="245">
        <f>VLOOKUP($H97,'Cost inputs'!$A$18:$E$39,'Land Price Phase Sc1&amp;2'!Y42+1,0)</f>
        <v>900</v>
      </c>
      <c r="Z97" s="245">
        <f>VLOOKUP($H97,'Cost inputs'!$A$18:$E$39,'Land Price Phase Sc1&amp;2'!Z42+1,0)</f>
        <v>900</v>
      </c>
      <c r="AA97" s="245">
        <f>VLOOKUP($H97,'Cost inputs'!$A$18:$E$39,'Land Price Phase Sc1&amp;2'!AA42+1,0)</f>
        <v>900</v>
      </c>
      <c r="AB97" s="245">
        <f>VLOOKUP($H97,'Cost inputs'!$A$18:$E$39,'Land Price Phase Sc1&amp;2'!AB42+1,0)</f>
        <v>900</v>
      </c>
      <c r="AC97" s="245">
        <f>VLOOKUP($H97,'Cost inputs'!$A$18:$E$39,'Land Price Phase Sc1&amp;2'!AC42+1,0)</f>
        <v>900</v>
      </c>
      <c r="AD97" s="245">
        <f>VLOOKUP($H97,'Cost inputs'!$A$18:$E$39,'Land Price Phase Sc1&amp;2'!AD42+1,0)</f>
        <v>900</v>
      </c>
      <c r="AE97" s="245">
        <f>VLOOKUP($H97,'Cost inputs'!$A$18:$E$39,'Land Price Phase Sc1&amp;2'!AE42+1,0)</f>
        <v>900</v>
      </c>
      <c r="AF97" s="245">
        <f>VLOOKUP($H97,'Cost inputs'!$A$18:$E$39,'Land Price Phase Sc1&amp;2'!AF42+1,0)</f>
        <v>900</v>
      </c>
      <c r="AG97" s="245">
        <f>VLOOKUP($H97,'Cost inputs'!$A$18:$E$39,'Land Price Phase Sc1&amp;2'!AG42+1,0)</f>
        <v>900</v>
      </c>
      <c r="AH97" s="245">
        <f>VLOOKUP($H97,'Cost inputs'!$A$18:$E$39,'Land Price Phase Sc1&amp;2'!AH42+1,0)</f>
        <v>900</v>
      </c>
      <c r="AI97" s="245">
        <f>VLOOKUP($H97,'Cost inputs'!$A$18:$E$39,'Land Price Phase Sc1&amp;2'!AI42+1,0)</f>
        <v>900</v>
      </c>
      <c r="AJ97" s="245">
        <f>VLOOKUP($H97,'Cost inputs'!$A$18:$E$39,'Land Price Phase Sc1&amp;2'!AJ42+1,0)</f>
        <v>900</v>
      </c>
      <c r="AK97" s="245">
        <f>VLOOKUP($H97,'Cost inputs'!$A$18:$E$39,'Land Price Phase Sc1&amp;2'!AK42+1,0)</f>
        <v>900</v>
      </c>
      <c r="AL97" s="245">
        <f>VLOOKUP($H97,'Cost inputs'!$A$18:$E$39,'Land Price Phase Sc1&amp;2'!AL42+1,0)</f>
        <v>900</v>
      </c>
      <c r="AM97" s="245">
        <f>VLOOKUP($H97,'Cost inputs'!$A$18:$E$39,'Land Price Phase Sc1&amp;2'!AM42+1,0)</f>
        <v>900</v>
      </c>
      <c r="AN97" s="245">
        <f>VLOOKUP($H97,'Cost inputs'!$A$18:$E$39,'Land Price Phase Sc1&amp;2'!AN42+1,0)</f>
        <v>900</v>
      </c>
      <c r="AO97" s="245">
        <f>VLOOKUP($H97,'Cost inputs'!$A$18:$E$39,'Land Price Phase Sc1&amp;2'!AO42+1,0)</f>
        <v>900</v>
      </c>
      <c r="AP97" s="245">
        <f>VLOOKUP($H97,'Cost inputs'!$A$18:$E$39,'Land Price Phase Sc1&amp;2'!AP42+1,0)</f>
        <v>900</v>
      </c>
      <c r="AQ97" s="245">
        <f>VLOOKUP($H97,'Cost inputs'!$A$18:$E$39,'Land Price Phase Sc1&amp;2'!AQ42+1,0)</f>
        <v>900</v>
      </c>
      <c r="AR97" s="245">
        <f>VLOOKUP($H97,'Cost inputs'!$A$18:$E$39,'Land Price Phase Sc1&amp;2'!AR42+1,0)</f>
        <v>900</v>
      </c>
      <c r="AS97" s="245">
        <f>VLOOKUP($H97,'Cost inputs'!$A$18:$E$39,'Land Price Phase Sc1&amp;2'!AS42+1,0)</f>
        <v>900</v>
      </c>
      <c r="AT97" s="245">
        <f>VLOOKUP($H97,'Cost inputs'!$A$18:$E$39,'Land Price Phase Sc1&amp;2'!AT42+1,0)</f>
        <v>900</v>
      </c>
      <c r="AU97" s="245">
        <f>VLOOKUP($H97,'Cost inputs'!$A$18:$E$39,'Land Price Phase Sc1&amp;2'!AU42+1,0)</f>
        <v>900</v>
      </c>
    </row>
    <row r="98" spans="1:47" x14ac:dyDescent="0.3">
      <c r="A98" s="245" t="str">
        <f t="shared" si="45"/>
        <v>Other</v>
      </c>
      <c r="B98" s="245" t="str">
        <f t="shared" si="45"/>
        <v>Wellsford</v>
      </c>
      <c r="C98" s="245">
        <f t="shared" si="45"/>
        <v>2030</v>
      </c>
      <c r="D98" s="245">
        <f t="shared" si="45"/>
        <v>2026</v>
      </c>
      <c r="E98" s="245">
        <f t="shared" si="45"/>
        <v>2030</v>
      </c>
      <c r="F98" s="245">
        <f t="shared" si="45"/>
        <v>2034</v>
      </c>
      <c r="G98" s="245" t="str">
        <f t="shared" si="42"/>
        <v/>
      </c>
      <c r="H98" s="245" t="str">
        <f t="shared" si="43"/>
        <v>Wellsford</v>
      </c>
      <c r="I98" s="245">
        <f>VLOOKUP($H98,'Cost inputs'!$A$18:$E$39,'Land Price Phase Sc1&amp;2'!I43+1,0)</f>
        <v>75</v>
      </c>
      <c r="J98" s="245">
        <f>VLOOKUP($H98,'Cost inputs'!$A$18:$E$39,'Land Price Phase Sc1&amp;2'!J43+1,0)</f>
        <v>75</v>
      </c>
      <c r="K98" s="245">
        <f>VLOOKUP($H98,'Cost inputs'!$A$18:$E$39,'Land Price Phase Sc1&amp;2'!K43+1,0)</f>
        <v>130</v>
      </c>
      <c r="L98" s="245">
        <f>VLOOKUP($H98,'Cost inputs'!$A$18:$E$39,'Land Price Phase Sc1&amp;2'!L43+1,0)</f>
        <v>130</v>
      </c>
      <c r="M98" s="245">
        <f>VLOOKUP($H98,'Cost inputs'!$A$18:$E$39,'Land Price Phase Sc1&amp;2'!M43+1,0)</f>
        <v>130</v>
      </c>
      <c r="N98" s="245">
        <f>VLOOKUP($H98,'Cost inputs'!$A$18:$E$39,'Land Price Phase Sc1&amp;2'!N43+1,0)</f>
        <v>130</v>
      </c>
      <c r="O98" s="245">
        <f>VLOOKUP($H98,'Cost inputs'!$A$18:$E$39,'Land Price Phase Sc1&amp;2'!O43+1,0)</f>
        <v>230</v>
      </c>
      <c r="P98" s="245">
        <f>VLOOKUP($H98,'Cost inputs'!$A$18:$E$39,'Land Price Phase Sc1&amp;2'!P43+1,0)</f>
        <v>230</v>
      </c>
      <c r="Q98" s="245">
        <f>VLOOKUP($H98,'Cost inputs'!$A$18:$E$39,'Land Price Phase Sc1&amp;2'!Q43+1,0)</f>
        <v>230</v>
      </c>
      <c r="R98" s="245">
        <f>VLOOKUP($H98,'Cost inputs'!$A$18:$E$39,'Land Price Phase Sc1&amp;2'!R43+1,0)</f>
        <v>230</v>
      </c>
      <c r="S98" s="245">
        <f>VLOOKUP($H98,'Cost inputs'!$A$18:$E$39,'Land Price Phase Sc1&amp;2'!S43+1,0)</f>
        <v>750</v>
      </c>
      <c r="T98" s="245">
        <f>VLOOKUP($H98,'Cost inputs'!$A$18:$E$39,'Land Price Phase Sc1&amp;2'!T43+1,0)</f>
        <v>750</v>
      </c>
      <c r="U98" s="245">
        <f>VLOOKUP($H98,'Cost inputs'!$A$18:$E$39,'Land Price Phase Sc1&amp;2'!U43+1,0)</f>
        <v>750</v>
      </c>
      <c r="V98" s="245">
        <f>VLOOKUP($H98,'Cost inputs'!$A$18:$E$39,'Land Price Phase Sc1&amp;2'!V43+1,0)</f>
        <v>750</v>
      </c>
      <c r="W98" s="245">
        <f>VLOOKUP($H98,'Cost inputs'!$A$18:$E$39,'Land Price Phase Sc1&amp;2'!W43+1,0)</f>
        <v>750</v>
      </c>
      <c r="X98" s="245">
        <f>VLOOKUP($H98,'Cost inputs'!$A$18:$E$39,'Land Price Phase Sc1&amp;2'!X43+1,0)</f>
        <v>750</v>
      </c>
      <c r="Y98" s="245">
        <f>VLOOKUP($H98,'Cost inputs'!$A$18:$E$39,'Land Price Phase Sc1&amp;2'!Y43+1,0)</f>
        <v>750</v>
      </c>
      <c r="Z98" s="245">
        <f>VLOOKUP($H98,'Cost inputs'!$A$18:$E$39,'Land Price Phase Sc1&amp;2'!Z43+1,0)</f>
        <v>750</v>
      </c>
      <c r="AA98" s="245">
        <f>VLOOKUP($H98,'Cost inputs'!$A$18:$E$39,'Land Price Phase Sc1&amp;2'!AA43+1,0)</f>
        <v>750</v>
      </c>
      <c r="AB98" s="245">
        <f>VLOOKUP($H98,'Cost inputs'!$A$18:$E$39,'Land Price Phase Sc1&amp;2'!AB43+1,0)</f>
        <v>750</v>
      </c>
      <c r="AC98" s="245">
        <f>VLOOKUP($H98,'Cost inputs'!$A$18:$E$39,'Land Price Phase Sc1&amp;2'!AC43+1,0)</f>
        <v>750</v>
      </c>
      <c r="AD98" s="245">
        <f>VLOOKUP($H98,'Cost inputs'!$A$18:$E$39,'Land Price Phase Sc1&amp;2'!AD43+1,0)</f>
        <v>750</v>
      </c>
      <c r="AE98" s="245">
        <f>VLOOKUP($H98,'Cost inputs'!$A$18:$E$39,'Land Price Phase Sc1&amp;2'!AE43+1,0)</f>
        <v>750</v>
      </c>
      <c r="AF98" s="245">
        <f>VLOOKUP($H98,'Cost inputs'!$A$18:$E$39,'Land Price Phase Sc1&amp;2'!AF43+1,0)</f>
        <v>750</v>
      </c>
      <c r="AG98" s="245">
        <f>VLOOKUP($H98,'Cost inputs'!$A$18:$E$39,'Land Price Phase Sc1&amp;2'!AG43+1,0)</f>
        <v>750</v>
      </c>
      <c r="AH98" s="245">
        <f>VLOOKUP($H98,'Cost inputs'!$A$18:$E$39,'Land Price Phase Sc1&amp;2'!AH43+1,0)</f>
        <v>750</v>
      </c>
      <c r="AI98" s="245">
        <f>VLOOKUP($H98,'Cost inputs'!$A$18:$E$39,'Land Price Phase Sc1&amp;2'!AI43+1,0)</f>
        <v>750</v>
      </c>
      <c r="AJ98" s="245">
        <f>VLOOKUP($H98,'Cost inputs'!$A$18:$E$39,'Land Price Phase Sc1&amp;2'!AJ43+1,0)</f>
        <v>750</v>
      </c>
      <c r="AK98" s="245">
        <f>VLOOKUP($H98,'Cost inputs'!$A$18:$E$39,'Land Price Phase Sc1&amp;2'!AK43+1,0)</f>
        <v>750</v>
      </c>
      <c r="AL98" s="245">
        <f>VLOOKUP($H98,'Cost inputs'!$A$18:$E$39,'Land Price Phase Sc1&amp;2'!AL43+1,0)</f>
        <v>750</v>
      </c>
      <c r="AM98" s="245">
        <f>VLOOKUP($H98,'Cost inputs'!$A$18:$E$39,'Land Price Phase Sc1&amp;2'!AM43+1,0)</f>
        <v>750</v>
      </c>
      <c r="AN98" s="245">
        <f>VLOOKUP($H98,'Cost inputs'!$A$18:$E$39,'Land Price Phase Sc1&amp;2'!AN43+1,0)</f>
        <v>750</v>
      </c>
      <c r="AO98" s="245">
        <f>VLOOKUP($H98,'Cost inputs'!$A$18:$E$39,'Land Price Phase Sc1&amp;2'!AO43+1,0)</f>
        <v>750</v>
      </c>
      <c r="AP98" s="245">
        <f>VLOOKUP($H98,'Cost inputs'!$A$18:$E$39,'Land Price Phase Sc1&amp;2'!AP43+1,0)</f>
        <v>750</v>
      </c>
      <c r="AQ98" s="245">
        <f>VLOOKUP($H98,'Cost inputs'!$A$18:$E$39,'Land Price Phase Sc1&amp;2'!AQ43+1,0)</f>
        <v>750</v>
      </c>
      <c r="AR98" s="245">
        <f>VLOOKUP($H98,'Cost inputs'!$A$18:$E$39,'Land Price Phase Sc1&amp;2'!AR43+1,0)</f>
        <v>750</v>
      </c>
      <c r="AS98" s="245">
        <f>VLOOKUP($H98,'Cost inputs'!$A$18:$E$39,'Land Price Phase Sc1&amp;2'!AS43+1,0)</f>
        <v>750</v>
      </c>
      <c r="AT98" s="245">
        <f>VLOOKUP($H98,'Cost inputs'!$A$18:$E$39,'Land Price Phase Sc1&amp;2'!AT43+1,0)</f>
        <v>750</v>
      </c>
      <c r="AU98" s="245">
        <f>VLOOKUP($H98,'Cost inputs'!$A$18:$E$39,'Land Price Phase Sc1&amp;2'!AU43+1,0)</f>
        <v>750</v>
      </c>
    </row>
    <row r="99" spans="1:47" x14ac:dyDescent="0.3">
      <c r="A99" s="245" t="str">
        <f t="shared" si="45"/>
        <v>Other</v>
      </c>
      <c r="B99" s="245" t="str">
        <f t="shared" si="45"/>
        <v>Algies Bay</v>
      </c>
      <c r="C99" s="245">
        <f t="shared" si="45"/>
        <v>2025</v>
      </c>
      <c r="D99" s="245">
        <f t="shared" si="45"/>
        <v>2021</v>
      </c>
      <c r="E99" s="245">
        <f t="shared" si="45"/>
        <v>2025</v>
      </c>
      <c r="F99" s="245">
        <f t="shared" si="45"/>
        <v>2029</v>
      </c>
      <c r="G99" s="245" t="str">
        <f t="shared" si="42"/>
        <v/>
      </c>
      <c r="H99" s="245" t="str">
        <f t="shared" si="43"/>
        <v>Orewa-Hibiscus</v>
      </c>
      <c r="I99" s="245">
        <f>VLOOKUP($H99,'Cost inputs'!$A$18:$E$39,'Land Price Phase Sc1&amp;2'!I44+1,0)</f>
        <v>225</v>
      </c>
      <c r="J99" s="245">
        <f>VLOOKUP($H99,'Cost inputs'!$A$18:$E$39,'Land Price Phase Sc1&amp;2'!J44+1,0)</f>
        <v>400</v>
      </c>
      <c r="K99" s="245">
        <f>VLOOKUP($H99,'Cost inputs'!$A$18:$E$39,'Land Price Phase Sc1&amp;2'!K44+1,0)</f>
        <v>400</v>
      </c>
      <c r="L99" s="245">
        <f>VLOOKUP($H99,'Cost inputs'!$A$18:$E$39,'Land Price Phase Sc1&amp;2'!L44+1,0)</f>
        <v>400</v>
      </c>
      <c r="M99" s="245">
        <f>VLOOKUP($H99,'Cost inputs'!$A$18:$E$39,'Land Price Phase Sc1&amp;2'!M44+1,0)</f>
        <v>400</v>
      </c>
      <c r="N99" s="245">
        <f>VLOOKUP($H99,'Cost inputs'!$A$18:$E$39,'Land Price Phase Sc1&amp;2'!N44+1,0)</f>
        <v>1200</v>
      </c>
      <c r="O99" s="245">
        <f>VLOOKUP($H99,'Cost inputs'!$A$18:$E$39,'Land Price Phase Sc1&amp;2'!O44+1,0)</f>
        <v>1200</v>
      </c>
      <c r="P99" s="245">
        <f>VLOOKUP($H99,'Cost inputs'!$A$18:$E$39,'Land Price Phase Sc1&amp;2'!P44+1,0)</f>
        <v>1200</v>
      </c>
      <c r="Q99" s="245">
        <f>VLOOKUP($H99,'Cost inputs'!$A$18:$E$39,'Land Price Phase Sc1&amp;2'!Q44+1,0)</f>
        <v>1200</v>
      </c>
      <c r="R99" s="245">
        <f>VLOOKUP($H99,'Cost inputs'!$A$18:$E$39,'Land Price Phase Sc1&amp;2'!R44+1,0)</f>
        <v>1200</v>
      </c>
      <c r="S99" s="245">
        <f>VLOOKUP($H99,'Cost inputs'!$A$18:$E$39,'Land Price Phase Sc1&amp;2'!S44+1,0)</f>
        <v>1200</v>
      </c>
      <c r="T99" s="245">
        <f>VLOOKUP($H99,'Cost inputs'!$A$18:$E$39,'Land Price Phase Sc1&amp;2'!T44+1,0)</f>
        <v>1200</v>
      </c>
      <c r="U99" s="245">
        <f>VLOOKUP($H99,'Cost inputs'!$A$18:$E$39,'Land Price Phase Sc1&amp;2'!U44+1,0)</f>
        <v>1200</v>
      </c>
      <c r="V99" s="245">
        <f>VLOOKUP($H99,'Cost inputs'!$A$18:$E$39,'Land Price Phase Sc1&amp;2'!V44+1,0)</f>
        <v>1200</v>
      </c>
      <c r="W99" s="245">
        <f>VLOOKUP($H99,'Cost inputs'!$A$18:$E$39,'Land Price Phase Sc1&amp;2'!W44+1,0)</f>
        <v>1200</v>
      </c>
      <c r="X99" s="245">
        <f>VLOOKUP($H99,'Cost inputs'!$A$18:$E$39,'Land Price Phase Sc1&amp;2'!X44+1,0)</f>
        <v>1200</v>
      </c>
      <c r="Y99" s="245">
        <f>VLOOKUP($H99,'Cost inputs'!$A$18:$E$39,'Land Price Phase Sc1&amp;2'!Y44+1,0)</f>
        <v>1200</v>
      </c>
      <c r="Z99" s="245">
        <f>VLOOKUP($H99,'Cost inputs'!$A$18:$E$39,'Land Price Phase Sc1&amp;2'!Z44+1,0)</f>
        <v>1200</v>
      </c>
      <c r="AA99" s="245">
        <f>VLOOKUP($H99,'Cost inputs'!$A$18:$E$39,'Land Price Phase Sc1&amp;2'!AA44+1,0)</f>
        <v>1200</v>
      </c>
      <c r="AB99" s="245">
        <f>VLOOKUP($H99,'Cost inputs'!$A$18:$E$39,'Land Price Phase Sc1&amp;2'!AB44+1,0)</f>
        <v>1200</v>
      </c>
      <c r="AC99" s="245">
        <f>VLOOKUP($H99,'Cost inputs'!$A$18:$E$39,'Land Price Phase Sc1&amp;2'!AC44+1,0)</f>
        <v>1200</v>
      </c>
      <c r="AD99" s="245">
        <f>VLOOKUP($H99,'Cost inputs'!$A$18:$E$39,'Land Price Phase Sc1&amp;2'!AD44+1,0)</f>
        <v>1200</v>
      </c>
      <c r="AE99" s="245">
        <f>VLOOKUP($H99,'Cost inputs'!$A$18:$E$39,'Land Price Phase Sc1&amp;2'!AE44+1,0)</f>
        <v>1200</v>
      </c>
      <c r="AF99" s="245">
        <f>VLOOKUP($H99,'Cost inputs'!$A$18:$E$39,'Land Price Phase Sc1&amp;2'!AF44+1,0)</f>
        <v>1200</v>
      </c>
      <c r="AG99" s="245">
        <f>VLOOKUP($H99,'Cost inputs'!$A$18:$E$39,'Land Price Phase Sc1&amp;2'!AG44+1,0)</f>
        <v>1200</v>
      </c>
      <c r="AH99" s="245">
        <f>VLOOKUP($H99,'Cost inputs'!$A$18:$E$39,'Land Price Phase Sc1&amp;2'!AH44+1,0)</f>
        <v>1200</v>
      </c>
      <c r="AI99" s="245">
        <f>VLOOKUP($H99,'Cost inputs'!$A$18:$E$39,'Land Price Phase Sc1&amp;2'!AI44+1,0)</f>
        <v>1200</v>
      </c>
      <c r="AJ99" s="245">
        <f>VLOOKUP($H99,'Cost inputs'!$A$18:$E$39,'Land Price Phase Sc1&amp;2'!AJ44+1,0)</f>
        <v>1200</v>
      </c>
      <c r="AK99" s="245">
        <f>VLOOKUP($H99,'Cost inputs'!$A$18:$E$39,'Land Price Phase Sc1&amp;2'!AK44+1,0)</f>
        <v>1200</v>
      </c>
      <c r="AL99" s="245">
        <f>VLOOKUP($H99,'Cost inputs'!$A$18:$E$39,'Land Price Phase Sc1&amp;2'!AL44+1,0)</f>
        <v>1200</v>
      </c>
      <c r="AM99" s="245">
        <f>VLOOKUP($H99,'Cost inputs'!$A$18:$E$39,'Land Price Phase Sc1&amp;2'!AM44+1,0)</f>
        <v>1200</v>
      </c>
      <c r="AN99" s="245">
        <f>VLOOKUP($H99,'Cost inputs'!$A$18:$E$39,'Land Price Phase Sc1&amp;2'!AN44+1,0)</f>
        <v>1200</v>
      </c>
      <c r="AO99" s="245">
        <f>VLOOKUP($H99,'Cost inputs'!$A$18:$E$39,'Land Price Phase Sc1&amp;2'!AO44+1,0)</f>
        <v>1200</v>
      </c>
      <c r="AP99" s="245">
        <f>VLOOKUP($H99,'Cost inputs'!$A$18:$E$39,'Land Price Phase Sc1&amp;2'!AP44+1,0)</f>
        <v>1200</v>
      </c>
      <c r="AQ99" s="245">
        <f>VLOOKUP($H99,'Cost inputs'!$A$18:$E$39,'Land Price Phase Sc1&amp;2'!AQ44+1,0)</f>
        <v>1200</v>
      </c>
      <c r="AR99" s="245">
        <f>VLOOKUP($H99,'Cost inputs'!$A$18:$E$39,'Land Price Phase Sc1&amp;2'!AR44+1,0)</f>
        <v>1200</v>
      </c>
      <c r="AS99" s="245">
        <f>VLOOKUP($H99,'Cost inputs'!$A$18:$E$39,'Land Price Phase Sc1&amp;2'!AS44+1,0)</f>
        <v>1200</v>
      </c>
      <c r="AT99" s="245">
        <f>VLOOKUP($H99,'Cost inputs'!$A$18:$E$39,'Land Price Phase Sc1&amp;2'!AT44+1,0)</f>
        <v>1200</v>
      </c>
      <c r="AU99" s="245">
        <f>VLOOKUP($H99,'Cost inputs'!$A$18:$E$39,'Land Price Phase Sc1&amp;2'!AU44+1,0)</f>
        <v>1200</v>
      </c>
    </row>
    <row r="100" spans="1:47" x14ac:dyDescent="0.3">
      <c r="A100" s="245" t="str">
        <f t="shared" si="45"/>
        <v>Other</v>
      </c>
      <c r="B100" s="245" t="str">
        <f t="shared" si="45"/>
        <v>Albany Villlage</v>
      </c>
      <c r="C100" s="245">
        <f t="shared" si="45"/>
        <v>2025</v>
      </c>
      <c r="D100" s="245">
        <f t="shared" si="45"/>
        <v>2021</v>
      </c>
      <c r="E100" s="245">
        <f t="shared" si="45"/>
        <v>2025</v>
      </c>
      <c r="F100" s="245">
        <f t="shared" si="45"/>
        <v>2029</v>
      </c>
      <c r="G100" s="245" t="str">
        <f t="shared" si="42"/>
        <v/>
      </c>
      <c r="H100" s="245" t="str">
        <f t="shared" si="43"/>
        <v>North Shore</v>
      </c>
      <c r="I100" s="272">
        <f>VLOOKUP($H100,'Cost inputs'!$A$18:$E$39,'Land Price Phase Sc1&amp;2'!I45+1,0)</f>
        <v>444.91525423728814</v>
      </c>
      <c r="J100" s="245">
        <f>VLOOKUP($H100,'Cost inputs'!$A$18:$E$39,'Land Price Phase Sc1&amp;2'!J45+1,0)</f>
        <v>700</v>
      </c>
      <c r="K100" s="245">
        <f>VLOOKUP($H100,'Cost inputs'!$A$18:$E$39,'Land Price Phase Sc1&amp;2'!K45+1,0)</f>
        <v>700</v>
      </c>
      <c r="L100" s="245">
        <f>VLOOKUP($H100,'Cost inputs'!$A$18:$E$39,'Land Price Phase Sc1&amp;2'!L45+1,0)</f>
        <v>700</v>
      </c>
      <c r="M100" s="245">
        <f>VLOOKUP($H100,'Cost inputs'!$A$18:$E$39,'Land Price Phase Sc1&amp;2'!M45+1,0)</f>
        <v>700</v>
      </c>
      <c r="N100" s="245">
        <f>VLOOKUP($H100,'Cost inputs'!$A$18:$E$39,'Land Price Phase Sc1&amp;2'!N45+1,0)</f>
        <v>2000</v>
      </c>
      <c r="O100" s="245">
        <f>VLOOKUP($H100,'Cost inputs'!$A$18:$E$39,'Land Price Phase Sc1&amp;2'!O45+1,0)</f>
        <v>2000</v>
      </c>
      <c r="P100" s="245">
        <f>VLOOKUP($H100,'Cost inputs'!$A$18:$E$39,'Land Price Phase Sc1&amp;2'!P45+1,0)</f>
        <v>2000</v>
      </c>
      <c r="Q100" s="245">
        <f>VLOOKUP($H100,'Cost inputs'!$A$18:$E$39,'Land Price Phase Sc1&amp;2'!Q45+1,0)</f>
        <v>2000</v>
      </c>
      <c r="R100" s="245">
        <f>VLOOKUP($H100,'Cost inputs'!$A$18:$E$39,'Land Price Phase Sc1&amp;2'!R45+1,0)</f>
        <v>2000</v>
      </c>
      <c r="S100" s="245">
        <f>VLOOKUP($H100,'Cost inputs'!$A$18:$E$39,'Land Price Phase Sc1&amp;2'!S45+1,0)</f>
        <v>2000</v>
      </c>
      <c r="T100" s="245">
        <f>VLOOKUP($H100,'Cost inputs'!$A$18:$E$39,'Land Price Phase Sc1&amp;2'!T45+1,0)</f>
        <v>2000</v>
      </c>
      <c r="U100" s="245">
        <f>VLOOKUP($H100,'Cost inputs'!$A$18:$E$39,'Land Price Phase Sc1&amp;2'!U45+1,0)</f>
        <v>2000</v>
      </c>
      <c r="V100" s="245">
        <f>VLOOKUP($H100,'Cost inputs'!$A$18:$E$39,'Land Price Phase Sc1&amp;2'!V45+1,0)</f>
        <v>2000</v>
      </c>
      <c r="W100" s="245">
        <f>VLOOKUP($H100,'Cost inputs'!$A$18:$E$39,'Land Price Phase Sc1&amp;2'!W45+1,0)</f>
        <v>2000</v>
      </c>
      <c r="X100" s="245">
        <f>VLOOKUP($H100,'Cost inputs'!$A$18:$E$39,'Land Price Phase Sc1&amp;2'!X45+1,0)</f>
        <v>2000</v>
      </c>
      <c r="Y100" s="245">
        <f>VLOOKUP($H100,'Cost inputs'!$A$18:$E$39,'Land Price Phase Sc1&amp;2'!Y45+1,0)</f>
        <v>2000</v>
      </c>
      <c r="Z100" s="245">
        <f>VLOOKUP($H100,'Cost inputs'!$A$18:$E$39,'Land Price Phase Sc1&amp;2'!Z45+1,0)</f>
        <v>2000</v>
      </c>
      <c r="AA100" s="245">
        <f>VLOOKUP($H100,'Cost inputs'!$A$18:$E$39,'Land Price Phase Sc1&amp;2'!AA45+1,0)</f>
        <v>2000</v>
      </c>
      <c r="AB100" s="245">
        <f>VLOOKUP($H100,'Cost inputs'!$A$18:$E$39,'Land Price Phase Sc1&amp;2'!AB45+1,0)</f>
        <v>2000</v>
      </c>
      <c r="AC100" s="245">
        <f>VLOOKUP($H100,'Cost inputs'!$A$18:$E$39,'Land Price Phase Sc1&amp;2'!AC45+1,0)</f>
        <v>2000</v>
      </c>
      <c r="AD100" s="245">
        <f>VLOOKUP($H100,'Cost inputs'!$A$18:$E$39,'Land Price Phase Sc1&amp;2'!AD45+1,0)</f>
        <v>2000</v>
      </c>
      <c r="AE100" s="245">
        <f>VLOOKUP($H100,'Cost inputs'!$A$18:$E$39,'Land Price Phase Sc1&amp;2'!AE45+1,0)</f>
        <v>2000</v>
      </c>
      <c r="AF100" s="245">
        <f>VLOOKUP($H100,'Cost inputs'!$A$18:$E$39,'Land Price Phase Sc1&amp;2'!AF45+1,0)</f>
        <v>2000</v>
      </c>
      <c r="AG100" s="245">
        <f>VLOOKUP($H100,'Cost inputs'!$A$18:$E$39,'Land Price Phase Sc1&amp;2'!AG45+1,0)</f>
        <v>2000</v>
      </c>
      <c r="AH100" s="245">
        <f>VLOOKUP($H100,'Cost inputs'!$A$18:$E$39,'Land Price Phase Sc1&amp;2'!AH45+1,0)</f>
        <v>2000</v>
      </c>
      <c r="AI100" s="245">
        <f>VLOOKUP($H100,'Cost inputs'!$A$18:$E$39,'Land Price Phase Sc1&amp;2'!AI45+1,0)</f>
        <v>2000</v>
      </c>
      <c r="AJ100" s="245">
        <f>VLOOKUP($H100,'Cost inputs'!$A$18:$E$39,'Land Price Phase Sc1&amp;2'!AJ45+1,0)</f>
        <v>2000</v>
      </c>
      <c r="AK100" s="245">
        <f>VLOOKUP($H100,'Cost inputs'!$A$18:$E$39,'Land Price Phase Sc1&amp;2'!AK45+1,0)</f>
        <v>2000</v>
      </c>
      <c r="AL100" s="245">
        <f>VLOOKUP($H100,'Cost inputs'!$A$18:$E$39,'Land Price Phase Sc1&amp;2'!AL45+1,0)</f>
        <v>2000</v>
      </c>
      <c r="AM100" s="245">
        <f>VLOOKUP($H100,'Cost inputs'!$A$18:$E$39,'Land Price Phase Sc1&amp;2'!AM45+1,0)</f>
        <v>2000</v>
      </c>
      <c r="AN100" s="245">
        <f>VLOOKUP($H100,'Cost inputs'!$A$18:$E$39,'Land Price Phase Sc1&amp;2'!AN45+1,0)</f>
        <v>2000</v>
      </c>
      <c r="AO100" s="245">
        <f>VLOOKUP($H100,'Cost inputs'!$A$18:$E$39,'Land Price Phase Sc1&amp;2'!AO45+1,0)</f>
        <v>2000</v>
      </c>
      <c r="AP100" s="245">
        <f>VLOOKUP($H100,'Cost inputs'!$A$18:$E$39,'Land Price Phase Sc1&amp;2'!AP45+1,0)</f>
        <v>2000</v>
      </c>
      <c r="AQ100" s="245">
        <f>VLOOKUP($H100,'Cost inputs'!$A$18:$E$39,'Land Price Phase Sc1&amp;2'!AQ45+1,0)</f>
        <v>2000</v>
      </c>
      <c r="AR100" s="245">
        <f>VLOOKUP($H100,'Cost inputs'!$A$18:$E$39,'Land Price Phase Sc1&amp;2'!AR45+1,0)</f>
        <v>2000</v>
      </c>
      <c r="AS100" s="245">
        <f>VLOOKUP($H100,'Cost inputs'!$A$18:$E$39,'Land Price Phase Sc1&amp;2'!AS45+1,0)</f>
        <v>2000</v>
      </c>
      <c r="AT100" s="245">
        <f>VLOOKUP($H100,'Cost inputs'!$A$18:$E$39,'Land Price Phase Sc1&amp;2'!AT45+1,0)</f>
        <v>2000</v>
      </c>
      <c r="AU100" s="245">
        <f>VLOOKUP($H100,'Cost inputs'!$A$18:$E$39,'Land Price Phase Sc1&amp;2'!AU45+1,0)</f>
        <v>2000</v>
      </c>
    </row>
    <row r="101" spans="1:47" x14ac:dyDescent="0.3">
      <c r="A101" s="245" t="str">
        <f t="shared" si="45"/>
        <v>Other</v>
      </c>
      <c r="B101" s="245" t="str">
        <f t="shared" si="45"/>
        <v xml:space="preserve">Helensville </v>
      </c>
      <c r="C101" s="245">
        <f t="shared" si="45"/>
        <v>2035</v>
      </c>
      <c r="D101" s="245">
        <f t="shared" si="45"/>
        <v>2031</v>
      </c>
      <c r="E101" s="245">
        <f t="shared" si="45"/>
        <v>2035</v>
      </c>
      <c r="F101" s="245">
        <f t="shared" si="45"/>
        <v>2039</v>
      </c>
      <c r="G101" s="245" t="str">
        <f t="shared" si="42"/>
        <v/>
      </c>
      <c r="H101" s="245" t="str">
        <f t="shared" si="43"/>
        <v>North of Huapai</v>
      </c>
      <c r="I101" s="245">
        <f>VLOOKUP($H101,'Cost inputs'!$A$18:$E$39,'Land Price Phase Sc1&amp;2'!I46+1,0)</f>
        <v>95</v>
      </c>
      <c r="J101" s="245">
        <f>VLOOKUP($H101,'Cost inputs'!$A$18:$E$39,'Land Price Phase Sc1&amp;2'!J46+1,0)</f>
        <v>95</v>
      </c>
      <c r="K101" s="245">
        <f>VLOOKUP($H101,'Cost inputs'!$A$18:$E$39,'Land Price Phase Sc1&amp;2'!K46+1,0)</f>
        <v>95</v>
      </c>
      <c r="L101" s="245">
        <f>VLOOKUP($H101,'Cost inputs'!$A$18:$E$39,'Land Price Phase Sc1&amp;2'!L46+1,0)</f>
        <v>95</v>
      </c>
      <c r="M101" s="245">
        <f>VLOOKUP($H101,'Cost inputs'!$A$18:$E$39,'Land Price Phase Sc1&amp;2'!M46+1,0)</f>
        <v>95</v>
      </c>
      <c r="N101" s="245">
        <f>VLOOKUP($H101,'Cost inputs'!$A$18:$E$39,'Land Price Phase Sc1&amp;2'!N46+1,0)</f>
        <v>95</v>
      </c>
      <c r="O101" s="245">
        <f>VLOOKUP($H101,'Cost inputs'!$A$18:$E$39,'Land Price Phase Sc1&amp;2'!O46+1,0)</f>
        <v>95</v>
      </c>
      <c r="P101" s="245">
        <f>VLOOKUP($H101,'Cost inputs'!$A$18:$E$39,'Land Price Phase Sc1&amp;2'!P46+1,0)</f>
        <v>130</v>
      </c>
      <c r="Q101" s="245">
        <f>VLOOKUP($H101,'Cost inputs'!$A$18:$E$39,'Land Price Phase Sc1&amp;2'!Q46+1,0)</f>
        <v>130</v>
      </c>
      <c r="R101" s="245">
        <f>VLOOKUP($H101,'Cost inputs'!$A$18:$E$39,'Land Price Phase Sc1&amp;2'!R46+1,0)</f>
        <v>130</v>
      </c>
      <c r="S101" s="245">
        <f>VLOOKUP($H101,'Cost inputs'!$A$18:$E$39,'Land Price Phase Sc1&amp;2'!S46+1,0)</f>
        <v>130</v>
      </c>
      <c r="T101" s="245">
        <f>VLOOKUP($H101,'Cost inputs'!$A$18:$E$39,'Land Price Phase Sc1&amp;2'!T46+1,0)</f>
        <v>215</v>
      </c>
      <c r="U101" s="245">
        <f>VLOOKUP($H101,'Cost inputs'!$A$18:$E$39,'Land Price Phase Sc1&amp;2'!U46+1,0)</f>
        <v>215</v>
      </c>
      <c r="V101" s="245">
        <f>VLOOKUP($H101,'Cost inputs'!$A$18:$E$39,'Land Price Phase Sc1&amp;2'!V46+1,0)</f>
        <v>215</v>
      </c>
      <c r="W101" s="245">
        <f>VLOOKUP($H101,'Cost inputs'!$A$18:$E$39,'Land Price Phase Sc1&amp;2'!W46+1,0)</f>
        <v>215</v>
      </c>
      <c r="X101" s="245">
        <f>VLOOKUP($H101,'Cost inputs'!$A$18:$E$39,'Land Price Phase Sc1&amp;2'!X46+1,0)</f>
        <v>900</v>
      </c>
      <c r="Y101" s="245">
        <f>VLOOKUP($H101,'Cost inputs'!$A$18:$E$39,'Land Price Phase Sc1&amp;2'!Y46+1,0)</f>
        <v>900</v>
      </c>
      <c r="Z101" s="245">
        <f>VLOOKUP($H101,'Cost inputs'!$A$18:$E$39,'Land Price Phase Sc1&amp;2'!Z46+1,0)</f>
        <v>900</v>
      </c>
      <c r="AA101" s="245">
        <f>VLOOKUP($H101,'Cost inputs'!$A$18:$E$39,'Land Price Phase Sc1&amp;2'!AA46+1,0)</f>
        <v>900</v>
      </c>
      <c r="AB101" s="245">
        <f>VLOOKUP($H101,'Cost inputs'!$A$18:$E$39,'Land Price Phase Sc1&amp;2'!AB46+1,0)</f>
        <v>900</v>
      </c>
      <c r="AC101" s="245">
        <f>VLOOKUP($H101,'Cost inputs'!$A$18:$E$39,'Land Price Phase Sc1&amp;2'!AC46+1,0)</f>
        <v>900</v>
      </c>
      <c r="AD101" s="245">
        <f>VLOOKUP($H101,'Cost inputs'!$A$18:$E$39,'Land Price Phase Sc1&amp;2'!AD46+1,0)</f>
        <v>900</v>
      </c>
      <c r="AE101" s="245">
        <f>VLOOKUP($H101,'Cost inputs'!$A$18:$E$39,'Land Price Phase Sc1&amp;2'!AE46+1,0)</f>
        <v>900</v>
      </c>
      <c r="AF101" s="245">
        <f>VLOOKUP($H101,'Cost inputs'!$A$18:$E$39,'Land Price Phase Sc1&amp;2'!AF46+1,0)</f>
        <v>900</v>
      </c>
      <c r="AG101" s="245">
        <f>VLOOKUP($H101,'Cost inputs'!$A$18:$E$39,'Land Price Phase Sc1&amp;2'!AG46+1,0)</f>
        <v>900</v>
      </c>
      <c r="AH101" s="245">
        <f>VLOOKUP($H101,'Cost inputs'!$A$18:$E$39,'Land Price Phase Sc1&amp;2'!AH46+1,0)</f>
        <v>900</v>
      </c>
      <c r="AI101" s="245">
        <f>VLOOKUP($H101,'Cost inputs'!$A$18:$E$39,'Land Price Phase Sc1&amp;2'!AI46+1,0)</f>
        <v>900</v>
      </c>
      <c r="AJ101" s="245">
        <f>VLOOKUP($H101,'Cost inputs'!$A$18:$E$39,'Land Price Phase Sc1&amp;2'!AJ46+1,0)</f>
        <v>900</v>
      </c>
      <c r="AK101" s="245">
        <f>VLOOKUP($H101,'Cost inputs'!$A$18:$E$39,'Land Price Phase Sc1&amp;2'!AK46+1,0)</f>
        <v>900</v>
      </c>
      <c r="AL101" s="245">
        <f>VLOOKUP($H101,'Cost inputs'!$A$18:$E$39,'Land Price Phase Sc1&amp;2'!AL46+1,0)</f>
        <v>900</v>
      </c>
      <c r="AM101" s="245">
        <f>VLOOKUP($H101,'Cost inputs'!$A$18:$E$39,'Land Price Phase Sc1&amp;2'!AM46+1,0)</f>
        <v>900</v>
      </c>
      <c r="AN101" s="245">
        <f>VLOOKUP($H101,'Cost inputs'!$A$18:$E$39,'Land Price Phase Sc1&amp;2'!AN46+1,0)</f>
        <v>900</v>
      </c>
      <c r="AO101" s="245">
        <f>VLOOKUP($H101,'Cost inputs'!$A$18:$E$39,'Land Price Phase Sc1&amp;2'!AO46+1,0)</f>
        <v>900</v>
      </c>
      <c r="AP101" s="245">
        <f>VLOOKUP($H101,'Cost inputs'!$A$18:$E$39,'Land Price Phase Sc1&amp;2'!AP46+1,0)</f>
        <v>900</v>
      </c>
      <c r="AQ101" s="245">
        <f>VLOOKUP($H101,'Cost inputs'!$A$18:$E$39,'Land Price Phase Sc1&amp;2'!AQ46+1,0)</f>
        <v>900</v>
      </c>
      <c r="AR101" s="245">
        <f>VLOOKUP($H101,'Cost inputs'!$A$18:$E$39,'Land Price Phase Sc1&amp;2'!AR46+1,0)</f>
        <v>900</v>
      </c>
      <c r="AS101" s="245">
        <f>VLOOKUP($H101,'Cost inputs'!$A$18:$E$39,'Land Price Phase Sc1&amp;2'!AS46+1,0)</f>
        <v>900</v>
      </c>
      <c r="AT101" s="245">
        <f>VLOOKUP($H101,'Cost inputs'!$A$18:$E$39,'Land Price Phase Sc1&amp;2'!AT46+1,0)</f>
        <v>900</v>
      </c>
      <c r="AU101" s="245">
        <f>VLOOKUP($H101,'Cost inputs'!$A$18:$E$39,'Land Price Phase Sc1&amp;2'!AU46+1,0)</f>
        <v>900</v>
      </c>
    </row>
    <row r="102" spans="1:47" x14ac:dyDescent="0.3">
      <c r="A102" s="245" t="str">
        <f t="shared" si="45"/>
        <v>Other</v>
      </c>
      <c r="B102" s="245" t="str">
        <f t="shared" si="45"/>
        <v>Oruarangi</v>
      </c>
      <c r="C102" s="245">
        <f t="shared" si="45"/>
        <v>2025</v>
      </c>
      <c r="D102" s="245">
        <f t="shared" si="45"/>
        <v>2021</v>
      </c>
      <c r="E102" s="245">
        <f t="shared" si="45"/>
        <v>2025</v>
      </c>
      <c r="F102" s="245">
        <f t="shared" si="45"/>
        <v>2029</v>
      </c>
      <c r="G102" s="245" t="str">
        <f t="shared" si="42"/>
        <v/>
      </c>
      <c r="H102" s="245" t="str">
        <f t="shared" si="43"/>
        <v>Hingaia</v>
      </c>
      <c r="I102" s="245">
        <f>VLOOKUP($H102,'Cost inputs'!$A$18:$E$39,'Land Price Phase Sc1&amp;2'!I47+1,0)</f>
        <v>270</v>
      </c>
      <c r="J102" s="245">
        <f>VLOOKUP($H102,'Cost inputs'!$A$18:$E$39,'Land Price Phase Sc1&amp;2'!J47+1,0)</f>
        <v>385</v>
      </c>
      <c r="K102" s="245">
        <f>VLOOKUP($H102,'Cost inputs'!$A$18:$E$39,'Land Price Phase Sc1&amp;2'!K47+1,0)</f>
        <v>385</v>
      </c>
      <c r="L102" s="245">
        <f>VLOOKUP($H102,'Cost inputs'!$A$18:$E$39,'Land Price Phase Sc1&amp;2'!L47+1,0)</f>
        <v>385</v>
      </c>
      <c r="M102" s="245">
        <f>VLOOKUP($H102,'Cost inputs'!$A$18:$E$39,'Land Price Phase Sc1&amp;2'!M47+1,0)</f>
        <v>385</v>
      </c>
      <c r="N102" s="245">
        <f>VLOOKUP($H102,'Cost inputs'!$A$18:$E$39,'Land Price Phase Sc1&amp;2'!N47+1,0)</f>
        <v>1150</v>
      </c>
      <c r="O102" s="245">
        <f>VLOOKUP($H102,'Cost inputs'!$A$18:$E$39,'Land Price Phase Sc1&amp;2'!O47+1,0)</f>
        <v>1150</v>
      </c>
      <c r="P102" s="245">
        <f>VLOOKUP($H102,'Cost inputs'!$A$18:$E$39,'Land Price Phase Sc1&amp;2'!P47+1,0)</f>
        <v>1150</v>
      </c>
      <c r="Q102" s="245">
        <f>VLOOKUP($H102,'Cost inputs'!$A$18:$E$39,'Land Price Phase Sc1&amp;2'!Q47+1,0)</f>
        <v>1150</v>
      </c>
      <c r="R102" s="245">
        <f>VLOOKUP($H102,'Cost inputs'!$A$18:$E$39,'Land Price Phase Sc1&amp;2'!R47+1,0)</f>
        <v>1150</v>
      </c>
      <c r="S102" s="245">
        <f>VLOOKUP($H102,'Cost inputs'!$A$18:$E$39,'Land Price Phase Sc1&amp;2'!S47+1,0)</f>
        <v>1150</v>
      </c>
      <c r="T102" s="245">
        <f>VLOOKUP($H102,'Cost inputs'!$A$18:$E$39,'Land Price Phase Sc1&amp;2'!T47+1,0)</f>
        <v>1150</v>
      </c>
      <c r="U102" s="245">
        <f>VLOOKUP($H102,'Cost inputs'!$A$18:$E$39,'Land Price Phase Sc1&amp;2'!U47+1,0)</f>
        <v>1150</v>
      </c>
      <c r="V102" s="245">
        <f>VLOOKUP($H102,'Cost inputs'!$A$18:$E$39,'Land Price Phase Sc1&amp;2'!V47+1,0)</f>
        <v>1150</v>
      </c>
      <c r="W102" s="245">
        <f>VLOOKUP($H102,'Cost inputs'!$A$18:$E$39,'Land Price Phase Sc1&amp;2'!W47+1,0)</f>
        <v>1150</v>
      </c>
      <c r="X102" s="245">
        <f>VLOOKUP($H102,'Cost inputs'!$A$18:$E$39,'Land Price Phase Sc1&amp;2'!X47+1,0)</f>
        <v>1150</v>
      </c>
      <c r="Y102" s="245">
        <f>VLOOKUP($H102,'Cost inputs'!$A$18:$E$39,'Land Price Phase Sc1&amp;2'!Y47+1,0)</f>
        <v>1150</v>
      </c>
      <c r="Z102" s="245">
        <f>VLOOKUP($H102,'Cost inputs'!$A$18:$E$39,'Land Price Phase Sc1&amp;2'!Z47+1,0)</f>
        <v>1150</v>
      </c>
      <c r="AA102" s="245">
        <f>VLOOKUP($H102,'Cost inputs'!$A$18:$E$39,'Land Price Phase Sc1&amp;2'!AA47+1,0)</f>
        <v>1150</v>
      </c>
      <c r="AB102" s="245">
        <f>VLOOKUP($H102,'Cost inputs'!$A$18:$E$39,'Land Price Phase Sc1&amp;2'!AB47+1,0)</f>
        <v>1150</v>
      </c>
      <c r="AC102" s="245">
        <f>VLOOKUP($H102,'Cost inputs'!$A$18:$E$39,'Land Price Phase Sc1&amp;2'!AC47+1,0)</f>
        <v>1150</v>
      </c>
      <c r="AD102" s="245">
        <f>VLOOKUP($H102,'Cost inputs'!$A$18:$E$39,'Land Price Phase Sc1&amp;2'!AD47+1,0)</f>
        <v>1150</v>
      </c>
      <c r="AE102" s="245">
        <f>VLOOKUP($H102,'Cost inputs'!$A$18:$E$39,'Land Price Phase Sc1&amp;2'!AE47+1,0)</f>
        <v>1150</v>
      </c>
      <c r="AF102" s="245">
        <f>VLOOKUP($H102,'Cost inputs'!$A$18:$E$39,'Land Price Phase Sc1&amp;2'!AF47+1,0)</f>
        <v>1150</v>
      </c>
      <c r="AG102" s="245">
        <f>VLOOKUP($H102,'Cost inputs'!$A$18:$E$39,'Land Price Phase Sc1&amp;2'!AG47+1,0)</f>
        <v>1150</v>
      </c>
      <c r="AH102" s="245">
        <f>VLOOKUP($H102,'Cost inputs'!$A$18:$E$39,'Land Price Phase Sc1&amp;2'!AH47+1,0)</f>
        <v>1150</v>
      </c>
      <c r="AI102" s="245">
        <f>VLOOKUP($H102,'Cost inputs'!$A$18:$E$39,'Land Price Phase Sc1&amp;2'!AI47+1,0)</f>
        <v>1150</v>
      </c>
      <c r="AJ102" s="245">
        <f>VLOOKUP($H102,'Cost inputs'!$A$18:$E$39,'Land Price Phase Sc1&amp;2'!AJ47+1,0)</f>
        <v>1150</v>
      </c>
      <c r="AK102" s="245">
        <f>VLOOKUP($H102,'Cost inputs'!$A$18:$E$39,'Land Price Phase Sc1&amp;2'!AK47+1,0)</f>
        <v>1150</v>
      </c>
      <c r="AL102" s="245">
        <f>VLOOKUP($H102,'Cost inputs'!$A$18:$E$39,'Land Price Phase Sc1&amp;2'!AL47+1,0)</f>
        <v>1150</v>
      </c>
      <c r="AM102" s="245">
        <f>VLOOKUP($H102,'Cost inputs'!$A$18:$E$39,'Land Price Phase Sc1&amp;2'!AM47+1,0)</f>
        <v>1150</v>
      </c>
      <c r="AN102" s="245">
        <f>VLOOKUP($H102,'Cost inputs'!$A$18:$E$39,'Land Price Phase Sc1&amp;2'!AN47+1,0)</f>
        <v>1150</v>
      </c>
      <c r="AO102" s="245">
        <f>VLOOKUP($H102,'Cost inputs'!$A$18:$E$39,'Land Price Phase Sc1&amp;2'!AO47+1,0)</f>
        <v>1150</v>
      </c>
      <c r="AP102" s="245">
        <f>VLOOKUP($H102,'Cost inputs'!$A$18:$E$39,'Land Price Phase Sc1&amp;2'!AP47+1,0)</f>
        <v>1150</v>
      </c>
      <c r="AQ102" s="245">
        <f>VLOOKUP($H102,'Cost inputs'!$A$18:$E$39,'Land Price Phase Sc1&amp;2'!AQ47+1,0)</f>
        <v>1150</v>
      </c>
      <c r="AR102" s="245">
        <f>VLOOKUP($H102,'Cost inputs'!$A$18:$E$39,'Land Price Phase Sc1&amp;2'!AR47+1,0)</f>
        <v>1150</v>
      </c>
      <c r="AS102" s="245">
        <f>VLOOKUP($H102,'Cost inputs'!$A$18:$E$39,'Land Price Phase Sc1&amp;2'!AS47+1,0)</f>
        <v>1150</v>
      </c>
      <c r="AT102" s="245">
        <f>VLOOKUP($H102,'Cost inputs'!$A$18:$E$39,'Land Price Phase Sc1&amp;2'!AT47+1,0)</f>
        <v>1150</v>
      </c>
      <c r="AU102" s="245">
        <f>VLOOKUP($H102,'Cost inputs'!$A$18:$E$39,'Land Price Phase Sc1&amp;2'!AU47+1,0)</f>
        <v>1150</v>
      </c>
    </row>
    <row r="103" spans="1:47" x14ac:dyDescent="0.3">
      <c r="A103" s="245" t="str">
        <f t="shared" si="45"/>
        <v>Other</v>
      </c>
      <c r="B103" s="245" t="str">
        <f t="shared" si="45"/>
        <v>Clarks Beach</v>
      </c>
      <c r="C103" s="245">
        <f t="shared" si="45"/>
        <v>2025</v>
      </c>
      <c r="D103" s="245">
        <f t="shared" si="45"/>
        <v>2021</v>
      </c>
      <c r="E103" s="245">
        <f t="shared" si="45"/>
        <v>2025</v>
      </c>
      <c r="F103" s="245">
        <f t="shared" si="45"/>
        <v>2029</v>
      </c>
      <c r="G103" s="245" t="str">
        <f t="shared" si="42"/>
        <v/>
      </c>
      <c r="H103" s="245" t="str">
        <f t="shared" si="43"/>
        <v>Glenbrook, Clarks Beach</v>
      </c>
      <c r="I103" s="245">
        <f>VLOOKUP($H103,'Cost inputs'!$A$18:$E$39,'Land Price Phase Sc1&amp;2'!I48+1,0)</f>
        <v>119.73684210526316</v>
      </c>
      <c r="J103" s="245">
        <f>VLOOKUP($H103,'Cost inputs'!$A$18:$E$39,'Land Price Phase Sc1&amp;2'!J48+1,0)</f>
        <v>198.0263157894737</v>
      </c>
      <c r="K103" s="245">
        <f>VLOOKUP($H103,'Cost inputs'!$A$18:$E$39,'Land Price Phase Sc1&amp;2'!K48+1,0)</f>
        <v>198.0263157894737</v>
      </c>
      <c r="L103" s="245">
        <f>VLOOKUP($H103,'Cost inputs'!$A$18:$E$39,'Land Price Phase Sc1&amp;2'!L48+1,0)</f>
        <v>198.0263157894737</v>
      </c>
      <c r="M103" s="245">
        <f>VLOOKUP($H103,'Cost inputs'!$A$18:$E$39,'Land Price Phase Sc1&amp;2'!M48+1,0)</f>
        <v>198.0263157894737</v>
      </c>
      <c r="N103" s="245">
        <f>VLOOKUP($H103,'Cost inputs'!$A$18:$E$39,'Land Price Phase Sc1&amp;2'!N48+1,0)</f>
        <v>750</v>
      </c>
      <c r="O103" s="245">
        <f>VLOOKUP($H103,'Cost inputs'!$A$18:$E$39,'Land Price Phase Sc1&amp;2'!O48+1,0)</f>
        <v>750</v>
      </c>
      <c r="P103" s="245">
        <f>VLOOKUP($H103,'Cost inputs'!$A$18:$E$39,'Land Price Phase Sc1&amp;2'!P48+1,0)</f>
        <v>750</v>
      </c>
      <c r="Q103" s="245">
        <f>VLOOKUP($H103,'Cost inputs'!$A$18:$E$39,'Land Price Phase Sc1&amp;2'!Q48+1,0)</f>
        <v>750</v>
      </c>
      <c r="R103" s="245">
        <f>VLOOKUP($H103,'Cost inputs'!$A$18:$E$39,'Land Price Phase Sc1&amp;2'!R48+1,0)</f>
        <v>750</v>
      </c>
      <c r="S103" s="245">
        <f>VLOOKUP($H103,'Cost inputs'!$A$18:$E$39,'Land Price Phase Sc1&amp;2'!S48+1,0)</f>
        <v>750</v>
      </c>
      <c r="T103" s="245">
        <f>VLOOKUP($H103,'Cost inputs'!$A$18:$E$39,'Land Price Phase Sc1&amp;2'!T48+1,0)</f>
        <v>750</v>
      </c>
      <c r="U103" s="245">
        <f>VLOOKUP($H103,'Cost inputs'!$A$18:$E$39,'Land Price Phase Sc1&amp;2'!U48+1,0)</f>
        <v>750</v>
      </c>
      <c r="V103" s="245">
        <f>VLOOKUP($H103,'Cost inputs'!$A$18:$E$39,'Land Price Phase Sc1&amp;2'!V48+1,0)</f>
        <v>750</v>
      </c>
      <c r="W103" s="245">
        <f>VLOOKUP($H103,'Cost inputs'!$A$18:$E$39,'Land Price Phase Sc1&amp;2'!W48+1,0)</f>
        <v>750</v>
      </c>
      <c r="X103" s="245">
        <f>VLOOKUP($H103,'Cost inputs'!$A$18:$E$39,'Land Price Phase Sc1&amp;2'!X48+1,0)</f>
        <v>750</v>
      </c>
      <c r="Y103" s="245">
        <f>VLOOKUP($H103,'Cost inputs'!$A$18:$E$39,'Land Price Phase Sc1&amp;2'!Y48+1,0)</f>
        <v>750</v>
      </c>
      <c r="Z103" s="245">
        <f>VLOOKUP($H103,'Cost inputs'!$A$18:$E$39,'Land Price Phase Sc1&amp;2'!Z48+1,0)</f>
        <v>750</v>
      </c>
      <c r="AA103" s="245">
        <f>VLOOKUP($H103,'Cost inputs'!$A$18:$E$39,'Land Price Phase Sc1&amp;2'!AA48+1,0)</f>
        <v>750</v>
      </c>
      <c r="AB103" s="245">
        <f>VLOOKUP($H103,'Cost inputs'!$A$18:$E$39,'Land Price Phase Sc1&amp;2'!AB48+1,0)</f>
        <v>750</v>
      </c>
      <c r="AC103" s="245">
        <f>VLOOKUP($H103,'Cost inputs'!$A$18:$E$39,'Land Price Phase Sc1&amp;2'!AC48+1,0)</f>
        <v>750</v>
      </c>
      <c r="AD103" s="245">
        <f>VLOOKUP($H103,'Cost inputs'!$A$18:$E$39,'Land Price Phase Sc1&amp;2'!AD48+1,0)</f>
        <v>750</v>
      </c>
      <c r="AE103" s="245">
        <f>VLOOKUP($H103,'Cost inputs'!$A$18:$E$39,'Land Price Phase Sc1&amp;2'!AE48+1,0)</f>
        <v>750</v>
      </c>
      <c r="AF103" s="245">
        <f>VLOOKUP($H103,'Cost inputs'!$A$18:$E$39,'Land Price Phase Sc1&amp;2'!AF48+1,0)</f>
        <v>750</v>
      </c>
      <c r="AG103" s="245">
        <f>VLOOKUP($H103,'Cost inputs'!$A$18:$E$39,'Land Price Phase Sc1&amp;2'!AG48+1,0)</f>
        <v>750</v>
      </c>
      <c r="AH103" s="245">
        <f>VLOOKUP($H103,'Cost inputs'!$A$18:$E$39,'Land Price Phase Sc1&amp;2'!AH48+1,0)</f>
        <v>750</v>
      </c>
      <c r="AI103" s="245">
        <f>VLOOKUP($H103,'Cost inputs'!$A$18:$E$39,'Land Price Phase Sc1&amp;2'!AI48+1,0)</f>
        <v>750</v>
      </c>
      <c r="AJ103" s="245">
        <f>VLOOKUP($H103,'Cost inputs'!$A$18:$E$39,'Land Price Phase Sc1&amp;2'!AJ48+1,0)</f>
        <v>750</v>
      </c>
      <c r="AK103" s="245">
        <f>VLOOKUP($H103,'Cost inputs'!$A$18:$E$39,'Land Price Phase Sc1&amp;2'!AK48+1,0)</f>
        <v>750</v>
      </c>
      <c r="AL103" s="245">
        <f>VLOOKUP($H103,'Cost inputs'!$A$18:$E$39,'Land Price Phase Sc1&amp;2'!AL48+1,0)</f>
        <v>750</v>
      </c>
      <c r="AM103" s="245">
        <f>VLOOKUP($H103,'Cost inputs'!$A$18:$E$39,'Land Price Phase Sc1&amp;2'!AM48+1,0)</f>
        <v>750</v>
      </c>
      <c r="AN103" s="245">
        <f>VLOOKUP($H103,'Cost inputs'!$A$18:$E$39,'Land Price Phase Sc1&amp;2'!AN48+1,0)</f>
        <v>750</v>
      </c>
      <c r="AO103" s="245">
        <f>VLOOKUP($H103,'Cost inputs'!$A$18:$E$39,'Land Price Phase Sc1&amp;2'!AO48+1,0)</f>
        <v>750</v>
      </c>
      <c r="AP103" s="245">
        <f>VLOOKUP($H103,'Cost inputs'!$A$18:$E$39,'Land Price Phase Sc1&amp;2'!AP48+1,0)</f>
        <v>750</v>
      </c>
      <c r="AQ103" s="245">
        <f>VLOOKUP($H103,'Cost inputs'!$A$18:$E$39,'Land Price Phase Sc1&amp;2'!AQ48+1,0)</f>
        <v>750</v>
      </c>
      <c r="AR103" s="245">
        <f>VLOOKUP($H103,'Cost inputs'!$A$18:$E$39,'Land Price Phase Sc1&amp;2'!AR48+1,0)</f>
        <v>750</v>
      </c>
      <c r="AS103" s="245">
        <f>VLOOKUP($H103,'Cost inputs'!$A$18:$E$39,'Land Price Phase Sc1&amp;2'!AS48+1,0)</f>
        <v>750</v>
      </c>
      <c r="AT103" s="245">
        <f>VLOOKUP($H103,'Cost inputs'!$A$18:$E$39,'Land Price Phase Sc1&amp;2'!AT48+1,0)</f>
        <v>750</v>
      </c>
      <c r="AU103" s="245">
        <f>VLOOKUP($H103,'Cost inputs'!$A$18:$E$39,'Land Price Phase Sc1&amp;2'!AU48+1,0)</f>
        <v>750</v>
      </c>
    </row>
    <row r="104" spans="1:47" x14ac:dyDescent="0.3">
      <c r="A104" s="245" t="str">
        <f t="shared" si="45"/>
        <v>Other</v>
      </c>
      <c r="B104" s="245" t="str">
        <f t="shared" si="45"/>
        <v>Glenbrook Beach</v>
      </c>
      <c r="C104" s="245">
        <f t="shared" si="45"/>
        <v>2030</v>
      </c>
      <c r="D104" s="245">
        <f t="shared" si="45"/>
        <v>2026</v>
      </c>
      <c r="E104" s="245">
        <f t="shared" si="45"/>
        <v>2030</v>
      </c>
      <c r="F104" s="245">
        <f t="shared" si="45"/>
        <v>2034</v>
      </c>
      <c r="G104" s="245" t="str">
        <f t="shared" si="42"/>
        <v/>
      </c>
      <c r="H104" s="245" t="str">
        <f t="shared" si="43"/>
        <v>Glenbrook, Clarks Beach</v>
      </c>
      <c r="I104" s="245">
        <f>VLOOKUP($H104,'Cost inputs'!$A$18:$E$39,'Land Price Phase Sc1&amp;2'!I49+1,0)</f>
        <v>87.5</v>
      </c>
      <c r="J104" s="245">
        <f>VLOOKUP($H104,'Cost inputs'!$A$18:$E$39,'Land Price Phase Sc1&amp;2'!J49+1,0)</f>
        <v>87.5</v>
      </c>
      <c r="K104" s="245">
        <f>VLOOKUP($H104,'Cost inputs'!$A$18:$E$39,'Land Price Phase Sc1&amp;2'!K49+1,0)</f>
        <v>119.73684210526316</v>
      </c>
      <c r="L104" s="245">
        <f>VLOOKUP($H104,'Cost inputs'!$A$18:$E$39,'Land Price Phase Sc1&amp;2'!L49+1,0)</f>
        <v>119.73684210526316</v>
      </c>
      <c r="M104" s="245">
        <f>VLOOKUP($H104,'Cost inputs'!$A$18:$E$39,'Land Price Phase Sc1&amp;2'!M49+1,0)</f>
        <v>119.73684210526316</v>
      </c>
      <c r="N104" s="245">
        <f>VLOOKUP($H104,'Cost inputs'!$A$18:$E$39,'Land Price Phase Sc1&amp;2'!N49+1,0)</f>
        <v>119.73684210526316</v>
      </c>
      <c r="O104" s="245">
        <f>VLOOKUP($H104,'Cost inputs'!$A$18:$E$39,'Land Price Phase Sc1&amp;2'!O49+1,0)</f>
        <v>198.0263157894737</v>
      </c>
      <c r="P104" s="245">
        <f>VLOOKUP($H104,'Cost inputs'!$A$18:$E$39,'Land Price Phase Sc1&amp;2'!P49+1,0)</f>
        <v>198.0263157894737</v>
      </c>
      <c r="Q104" s="245">
        <f>VLOOKUP($H104,'Cost inputs'!$A$18:$E$39,'Land Price Phase Sc1&amp;2'!Q49+1,0)</f>
        <v>198.0263157894737</v>
      </c>
      <c r="R104" s="245">
        <f>VLOOKUP($H104,'Cost inputs'!$A$18:$E$39,'Land Price Phase Sc1&amp;2'!R49+1,0)</f>
        <v>198.0263157894737</v>
      </c>
      <c r="S104" s="245">
        <f>VLOOKUP($H104,'Cost inputs'!$A$18:$E$39,'Land Price Phase Sc1&amp;2'!S49+1,0)</f>
        <v>750</v>
      </c>
      <c r="T104" s="245">
        <f>VLOOKUP($H104,'Cost inputs'!$A$18:$E$39,'Land Price Phase Sc1&amp;2'!T49+1,0)</f>
        <v>750</v>
      </c>
      <c r="U104" s="245">
        <f>VLOOKUP($H104,'Cost inputs'!$A$18:$E$39,'Land Price Phase Sc1&amp;2'!U49+1,0)</f>
        <v>750</v>
      </c>
      <c r="V104" s="245">
        <f>VLOOKUP($H104,'Cost inputs'!$A$18:$E$39,'Land Price Phase Sc1&amp;2'!V49+1,0)</f>
        <v>750</v>
      </c>
      <c r="W104" s="245">
        <f>VLOOKUP($H104,'Cost inputs'!$A$18:$E$39,'Land Price Phase Sc1&amp;2'!W49+1,0)</f>
        <v>750</v>
      </c>
      <c r="X104" s="245">
        <f>VLOOKUP($H104,'Cost inputs'!$A$18:$E$39,'Land Price Phase Sc1&amp;2'!X49+1,0)</f>
        <v>750</v>
      </c>
      <c r="Y104" s="245">
        <f>VLOOKUP($H104,'Cost inputs'!$A$18:$E$39,'Land Price Phase Sc1&amp;2'!Y49+1,0)</f>
        <v>750</v>
      </c>
      <c r="Z104" s="245">
        <f>VLOOKUP($H104,'Cost inputs'!$A$18:$E$39,'Land Price Phase Sc1&amp;2'!Z49+1,0)</f>
        <v>750</v>
      </c>
      <c r="AA104" s="245">
        <f>VLOOKUP($H104,'Cost inputs'!$A$18:$E$39,'Land Price Phase Sc1&amp;2'!AA49+1,0)</f>
        <v>750</v>
      </c>
      <c r="AB104" s="245">
        <f>VLOOKUP($H104,'Cost inputs'!$A$18:$E$39,'Land Price Phase Sc1&amp;2'!AB49+1,0)</f>
        <v>750</v>
      </c>
      <c r="AC104" s="245">
        <f>VLOOKUP($H104,'Cost inputs'!$A$18:$E$39,'Land Price Phase Sc1&amp;2'!AC49+1,0)</f>
        <v>750</v>
      </c>
      <c r="AD104" s="245">
        <f>VLOOKUP($H104,'Cost inputs'!$A$18:$E$39,'Land Price Phase Sc1&amp;2'!AD49+1,0)</f>
        <v>750</v>
      </c>
      <c r="AE104" s="245">
        <f>VLOOKUP($H104,'Cost inputs'!$A$18:$E$39,'Land Price Phase Sc1&amp;2'!AE49+1,0)</f>
        <v>750</v>
      </c>
      <c r="AF104" s="245">
        <f>VLOOKUP($H104,'Cost inputs'!$A$18:$E$39,'Land Price Phase Sc1&amp;2'!AF49+1,0)</f>
        <v>750</v>
      </c>
      <c r="AG104" s="245">
        <f>VLOOKUP($H104,'Cost inputs'!$A$18:$E$39,'Land Price Phase Sc1&amp;2'!AG49+1,0)</f>
        <v>750</v>
      </c>
      <c r="AH104" s="245">
        <f>VLOOKUP($H104,'Cost inputs'!$A$18:$E$39,'Land Price Phase Sc1&amp;2'!AH49+1,0)</f>
        <v>750</v>
      </c>
      <c r="AI104" s="245">
        <f>VLOOKUP($H104,'Cost inputs'!$A$18:$E$39,'Land Price Phase Sc1&amp;2'!AI49+1,0)</f>
        <v>750</v>
      </c>
      <c r="AJ104" s="245">
        <f>VLOOKUP($H104,'Cost inputs'!$A$18:$E$39,'Land Price Phase Sc1&amp;2'!AJ49+1,0)</f>
        <v>750</v>
      </c>
      <c r="AK104" s="245">
        <f>VLOOKUP($H104,'Cost inputs'!$A$18:$E$39,'Land Price Phase Sc1&amp;2'!AK49+1,0)</f>
        <v>750</v>
      </c>
      <c r="AL104" s="245">
        <f>VLOOKUP($H104,'Cost inputs'!$A$18:$E$39,'Land Price Phase Sc1&amp;2'!AL49+1,0)</f>
        <v>750</v>
      </c>
      <c r="AM104" s="245">
        <f>VLOOKUP($H104,'Cost inputs'!$A$18:$E$39,'Land Price Phase Sc1&amp;2'!AM49+1,0)</f>
        <v>750</v>
      </c>
      <c r="AN104" s="245">
        <f>VLOOKUP($H104,'Cost inputs'!$A$18:$E$39,'Land Price Phase Sc1&amp;2'!AN49+1,0)</f>
        <v>750</v>
      </c>
      <c r="AO104" s="245">
        <f>VLOOKUP($H104,'Cost inputs'!$A$18:$E$39,'Land Price Phase Sc1&amp;2'!AO49+1,0)</f>
        <v>750</v>
      </c>
      <c r="AP104" s="245">
        <f>VLOOKUP($H104,'Cost inputs'!$A$18:$E$39,'Land Price Phase Sc1&amp;2'!AP49+1,0)</f>
        <v>750</v>
      </c>
      <c r="AQ104" s="245">
        <f>VLOOKUP($H104,'Cost inputs'!$A$18:$E$39,'Land Price Phase Sc1&amp;2'!AQ49+1,0)</f>
        <v>750</v>
      </c>
      <c r="AR104" s="245">
        <f>VLOOKUP($H104,'Cost inputs'!$A$18:$E$39,'Land Price Phase Sc1&amp;2'!AR49+1,0)</f>
        <v>750</v>
      </c>
      <c r="AS104" s="245">
        <f>VLOOKUP($H104,'Cost inputs'!$A$18:$E$39,'Land Price Phase Sc1&amp;2'!AS49+1,0)</f>
        <v>750</v>
      </c>
      <c r="AT104" s="245">
        <f>VLOOKUP($H104,'Cost inputs'!$A$18:$E$39,'Land Price Phase Sc1&amp;2'!AT49+1,0)</f>
        <v>750</v>
      </c>
      <c r="AU104" s="245">
        <f>VLOOKUP($H104,'Cost inputs'!$A$18:$E$39,'Land Price Phase Sc1&amp;2'!AU49+1,0)</f>
        <v>750</v>
      </c>
    </row>
    <row r="105" spans="1:47" x14ac:dyDescent="0.3">
      <c r="A105" s="245" t="str">
        <f t="shared" si="45"/>
        <v>Other</v>
      </c>
      <c r="B105" s="245" t="str">
        <f t="shared" si="45"/>
        <v>Maraetai/Clevedon</v>
      </c>
      <c r="C105" s="245">
        <f t="shared" si="45"/>
        <v>2035</v>
      </c>
      <c r="D105" s="245">
        <f t="shared" si="45"/>
        <v>2031</v>
      </c>
      <c r="E105" s="245">
        <f t="shared" si="45"/>
        <v>2035</v>
      </c>
      <c r="F105" s="245">
        <f t="shared" si="45"/>
        <v>2039</v>
      </c>
      <c r="G105" s="245" t="str">
        <f t="shared" si="42"/>
        <v/>
      </c>
      <c r="H105" s="245" t="str">
        <f t="shared" si="43"/>
        <v>Maraetai/Clevedon</v>
      </c>
      <c r="I105" s="245">
        <f>VLOOKUP($H105,'Cost inputs'!$A$18:$E$39,'Land Price Phase Sc1&amp;2'!I50+1,0)</f>
        <v>121.51162790697674</v>
      </c>
      <c r="J105" s="245">
        <f>VLOOKUP($H105,'Cost inputs'!$A$18:$E$39,'Land Price Phase Sc1&amp;2'!J50+1,0)</f>
        <v>121.51162790697674</v>
      </c>
      <c r="K105" s="245">
        <f>VLOOKUP($H105,'Cost inputs'!$A$18:$E$39,'Land Price Phase Sc1&amp;2'!K50+1,0)</f>
        <v>121.51162790697674</v>
      </c>
      <c r="L105" s="245">
        <f>VLOOKUP($H105,'Cost inputs'!$A$18:$E$39,'Land Price Phase Sc1&amp;2'!L50+1,0)</f>
        <v>121.51162790697674</v>
      </c>
      <c r="M105" s="245">
        <f>VLOOKUP($H105,'Cost inputs'!$A$18:$E$39,'Land Price Phase Sc1&amp;2'!M50+1,0)</f>
        <v>121.51162790697674</v>
      </c>
      <c r="N105" s="245">
        <f>VLOOKUP($H105,'Cost inputs'!$A$18:$E$39,'Land Price Phase Sc1&amp;2'!N50+1,0)</f>
        <v>121.51162790697674</v>
      </c>
      <c r="O105" s="245">
        <f>VLOOKUP($H105,'Cost inputs'!$A$18:$E$39,'Land Price Phase Sc1&amp;2'!O50+1,0)</f>
        <v>121.51162790697674</v>
      </c>
      <c r="P105" s="245">
        <f>VLOOKUP($H105,'Cost inputs'!$A$18:$E$39,'Land Price Phase Sc1&amp;2'!P50+1,0)</f>
        <v>166.27906976744185</v>
      </c>
      <c r="Q105" s="245">
        <f>VLOOKUP($H105,'Cost inputs'!$A$18:$E$39,'Land Price Phase Sc1&amp;2'!Q50+1,0)</f>
        <v>166.27906976744185</v>
      </c>
      <c r="R105" s="245">
        <f>VLOOKUP($H105,'Cost inputs'!$A$18:$E$39,'Land Price Phase Sc1&amp;2'!R50+1,0)</f>
        <v>166.27906976744185</v>
      </c>
      <c r="S105" s="245">
        <f>VLOOKUP($H105,'Cost inputs'!$A$18:$E$39,'Land Price Phase Sc1&amp;2'!S50+1,0)</f>
        <v>166.27906976744185</v>
      </c>
      <c r="T105" s="245">
        <f>VLOOKUP($H105,'Cost inputs'!$A$18:$E$39,'Land Price Phase Sc1&amp;2'!T50+1,0)</f>
        <v>275</v>
      </c>
      <c r="U105" s="245">
        <f>VLOOKUP($H105,'Cost inputs'!$A$18:$E$39,'Land Price Phase Sc1&amp;2'!U50+1,0)</f>
        <v>275</v>
      </c>
      <c r="V105" s="245">
        <f>VLOOKUP($H105,'Cost inputs'!$A$18:$E$39,'Land Price Phase Sc1&amp;2'!V50+1,0)</f>
        <v>275</v>
      </c>
      <c r="W105" s="245">
        <f>VLOOKUP($H105,'Cost inputs'!$A$18:$E$39,'Land Price Phase Sc1&amp;2'!W50+1,0)</f>
        <v>275</v>
      </c>
      <c r="X105" s="245">
        <f>VLOOKUP($H105,'Cost inputs'!$A$18:$E$39,'Land Price Phase Sc1&amp;2'!X50+1,0)</f>
        <v>1014.3313953488373</v>
      </c>
      <c r="Y105" s="245">
        <f>VLOOKUP($H105,'Cost inputs'!$A$18:$E$39,'Land Price Phase Sc1&amp;2'!Y50+1,0)</f>
        <v>1014.3313953488373</v>
      </c>
      <c r="Z105" s="245">
        <f>VLOOKUP($H105,'Cost inputs'!$A$18:$E$39,'Land Price Phase Sc1&amp;2'!Z50+1,0)</f>
        <v>1014.3313953488373</v>
      </c>
      <c r="AA105" s="245">
        <f>VLOOKUP($H105,'Cost inputs'!$A$18:$E$39,'Land Price Phase Sc1&amp;2'!AA50+1,0)</f>
        <v>1014.3313953488373</v>
      </c>
      <c r="AB105" s="245">
        <f>VLOOKUP($H105,'Cost inputs'!$A$18:$E$39,'Land Price Phase Sc1&amp;2'!AB50+1,0)</f>
        <v>1014.3313953488373</v>
      </c>
      <c r="AC105" s="245">
        <f>VLOOKUP($H105,'Cost inputs'!$A$18:$E$39,'Land Price Phase Sc1&amp;2'!AC50+1,0)</f>
        <v>1014.3313953488373</v>
      </c>
      <c r="AD105" s="245">
        <f>VLOOKUP($H105,'Cost inputs'!$A$18:$E$39,'Land Price Phase Sc1&amp;2'!AD50+1,0)</f>
        <v>1014.3313953488373</v>
      </c>
      <c r="AE105" s="245">
        <f>VLOOKUP($H105,'Cost inputs'!$A$18:$E$39,'Land Price Phase Sc1&amp;2'!AE50+1,0)</f>
        <v>1014.3313953488373</v>
      </c>
      <c r="AF105" s="245">
        <f>VLOOKUP($H105,'Cost inputs'!$A$18:$E$39,'Land Price Phase Sc1&amp;2'!AF50+1,0)</f>
        <v>1014.3313953488373</v>
      </c>
      <c r="AG105" s="245">
        <f>VLOOKUP($H105,'Cost inputs'!$A$18:$E$39,'Land Price Phase Sc1&amp;2'!AG50+1,0)</f>
        <v>1014.3313953488373</v>
      </c>
      <c r="AH105" s="245">
        <f>VLOOKUP($H105,'Cost inputs'!$A$18:$E$39,'Land Price Phase Sc1&amp;2'!AH50+1,0)</f>
        <v>1014.3313953488373</v>
      </c>
      <c r="AI105" s="245">
        <f>VLOOKUP($H105,'Cost inputs'!$A$18:$E$39,'Land Price Phase Sc1&amp;2'!AI50+1,0)</f>
        <v>1014.3313953488373</v>
      </c>
      <c r="AJ105" s="245">
        <f>VLOOKUP($H105,'Cost inputs'!$A$18:$E$39,'Land Price Phase Sc1&amp;2'!AJ50+1,0)</f>
        <v>1014.3313953488373</v>
      </c>
      <c r="AK105" s="245">
        <f>VLOOKUP($H105,'Cost inputs'!$A$18:$E$39,'Land Price Phase Sc1&amp;2'!AK50+1,0)</f>
        <v>1014.3313953488373</v>
      </c>
      <c r="AL105" s="245">
        <f>VLOOKUP($H105,'Cost inputs'!$A$18:$E$39,'Land Price Phase Sc1&amp;2'!AL50+1,0)</f>
        <v>1014.3313953488373</v>
      </c>
      <c r="AM105" s="245">
        <f>VLOOKUP($H105,'Cost inputs'!$A$18:$E$39,'Land Price Phase Sc1&amp;2'!AM50+1,0)</f>
        <v>1014.3313953488373</v>
      </c>
      <c r="AN105" s="245">
        <f>VLOOKUP($H105,'Cost inputs'!$A$18:$E$39,'Land Price Phase Sc1&amp;2'!AN50+1,0)</f>
        <v>1014.3313953488373</v>
      </c>
      <c r="AO105" s="245">
        <f>VLOOKUP($H105,'Cost inputs'!$A$18:$E$39,'Land Price Phase Sc1&amp;2'!AO50+1,0)</f>
        <v>1014.3313953488373</v>
      </c>
      <c r="AP105" s="245">
        <f>VLOOKUP($H105,'Cost inputs'!$A$18:$E$39,'Land Price Phase Sc1&amp;2'!AP50+1,0)</f>
        <v>1014.3313953488373</v>
      </c>
      <c r="AQ105" s="245">
        <f>VLOOKUP($H105,'Cost inputs'!$A$18:$E$39,'Land Price Phase Sc1&amp;2'!AQ50+1,0)</f>
        <v>1014.3313953488373</v>
      </c>
      <c r="AR105" s="245">
        <f>VLOOKUP($H105,'Cost inputs'!$A$18:$E$39,'Land Price Phase Sc1&amp;2'!AR50+1,0)</f>
        <v>1014.3313953488373</v>
      </c>
      <c r="AS105" s="245">
        <f>VLOOKUP($H105,'Cost inputs'!$A$18:$E$39,'Land Price Phase Sc1&amp;2'!AS50+1,0)</f>
        <v>1014.3313953488373</v>
      </c>
      <c r="AT105" s="245">
        <f>VLOOKUP($H105,'Cost inputs'!$A$18:$E$39,'Land Price Phase Sc1&amp;2'!AT50+1,0)</f>
        <v>1014.3313953488373</v>
      </c>
      <c r="AU105" s="245">
        <f>VLOOKUP($H105,'Cost inputs'!$A$18:$E$39,'Land Price Phase Sc1&amp;2'!AU50+1,0)</f>
        <v>1014.3313953488373</v>
      </c>
    </row>
    <row r="106" spans="1:47" x14ac:dyDescent="0.3">
      <c r="G106" s="245" t="str">
        <f t="shared" si="42"/>
        <v/>
      </c>
    </row>
    <row r="107" spans="1:47" x14ac:dyDescent="0.3">
      <c r="A107" s="245" t="str">
        <f>A52</f>
        <v>Scenario 2 differences</v>
      </c>
      <c r="G107" s="245" t="str">
        <f t="shared" si="42"/>
        <v/>
      </c>
    </row>
    <row r="108" spans="1:47" x14ac:dyDescent="0.3">
      <c r="A108" s="245" t="str">
        <f>A53</f>
        <v>Inner North-West</v>
      </c>
      <c r="B108" s="245" t="str">
        <f t="shared" ref="B108:F110" si="46">B53</f>
        <v>Whenuapai North (Stage 1b)</v>
      </c>
      <c r="C108" s="245">
        <f t="shared" si="46"/>
        <v>2028</v>
      </c>
      <c r="D108" s="245">
        <f t="shared" si="46"/>
        <v>2024</v>
      </c>
      <c r="E108" s="245">
        <f t="shared" si="46"/>
        <v>2028</v>
      </c>
      <c r="F108" s="245">
        <f t="shared" si="46"/>
        <v>2032</v>
      </c>
      <c r="G108" s="245" t="str">
        <f t="shared" si="42"/>
        <v>earlier than Sc1</v>
      </c>
      <c r="H108" s="245" t="str">
        <f>H53</f>
        <v>Whenuapai</v>
      </c>
      <c r="I108" s="245">
        <f>VLOOKUP($H108,'Cost inputs'!$A$18:$E$39,'Land Price Phase Sc1&amp;2'!I53+1,0)</f>
        <v>375</v>
      </c>
      <c r="J108" s="245">
        <f>VLOOKUP($H108,'Cost inputs'!$A$18:$E$39,'Land Price Phase Sc1&amp;2'!J53+1,0)</f>
        <v>375</v>
      </c>
      <c r="K108" s="245">
        <f>VLOOKUP($H108,'Cost inputs'!$A$18:$E$39,'Land Price Phase Sc1&amp;2'!K53+1,0)</f>
        <v>375</v>
      </c>
      <c r="L108" s="245">
        <f>VLOOKUP($H108,'Cost inputs'!$A$18:$E$39,'Land Price Phase Sc1&amp;2'!L53+1,0)</f>
        <v>375</v>
      </c>
      <c r="M108" s="245">
        <f>VLOOKUP($H108,'Cost inputs'!$A$18:$E$39,'Land Price Phase Sc1&amp;2'!M53+1,0)</f>
        <v>590</v>
      </c>
      <c r="N108" s="245">
        <f>VLOOKUP($H108,'Cost inputs'!$A$18:$E$39,'Land Price Phase Sc1&amp;2'!N53+1,0)</f>
        <v>590</v>
      </c>
      <c r="O108" s="245">
        <f>VLOOKUP($H108,'Cost inputs'!$A$18:$E$39,'Land Price Phase Sc1&amp;2'!O53+1,0)</f>
        <v>590</v>
      </c>
      <c r="P108" s="245">
        <f>VLOOKUP($H108,'Cost inputs'!$A$18:$E$39,'Land Price Phase Sc1&amp;2'!P53+1,0)</f>
        <v>590</v>
      </c>
      <c r="Q108" s="245">
        <f>VLOOKUP($H108,'Cost inputs'!$A$18:$E$39,'Land Price Phase Sc1&amp;2'!Q53+1,0)</f>
        <v>1550</v>
      </c>
      <c r="R108" s="245">
        <f>VLOOKUP($H108,'Cost inputs'!$A$18:$E$39,'Land Price Phase Sc1&amp;2'!R53+1,0)</f>
        <v>1550</v>
      </c>
      <c r="S108" s="245">
        <f>VLOOKUP($H108,'Cost inputs'!$A$18:$E$39,'Land Price Phase Sc1&amp;2'!S53+1,0)</f>
        <v>1550</v>
      </c>
      <c r="T108" s="245">
        <f>VLOOKUP($H108,'Cost inputs'!$A$18:$E$39,'Land Price Phase Sc1&amp;2'!T53+1,0)</f>
        <v>1550</v>
      </c>
      <c r="U108" s="245">
        <f>VLOOKUP($H108,'Cost inputs'!$A$18:$E$39,'Land Price Phase Sc1&amp;2'!U53+1,0)</f>
        <v>1550</v>
      </c>
      <c r="V108" s="245">
        <f>VLOOKUP($H108,'Cost inputs'!$A$18:$E$39,'Land Price Phase Sc1&amp;2'!V53+1,0)</f>
        <v>1550</v>
      </c>
      <c r="W108" s="245">
        <f>VLOOKUP($H108,'Cost inputs'!$A$18:$E$39,'Land Price Phase Sc1&amp;2'!W53+1,0)</f>
        <v>1550</v>
      </c>
      <c r="X108" s="245">
        <f>VLOOKUP($H108,'Cost inputs'!$A$18:$E$39,'Land Price Phase Sc1&amp;2'!X53+1,0)</f>
        <v>1550</v>
      </c>
      <c r="Y108" s="245">
        <f>VLOOKUP($H108,'Cost inputs'!$A$18:$E$39,'Land Price Phase Sc1&amp;2'!Y53+1,0)</f>
        <v>1550</v>
      </c>
      <c r="Z108" s="245">
        <f>VLOOKUP($H108,'Cost inputs'!$A$18:$E$39,'Land Price Phase Sc1&amp;2'!Z53+1,0)</f>
        <v>1550</v>
      </c>
      <c r="AA108" s="245">
        <f>VLOOKUP($H108,'Cost inputs'!$A$18:$E$39,'Land Price Phase Sc1&amp;2'!AA53+1,0)</f>
        <v>1550</v>
      </c>
      <c r="AB108" s="245">
        <f>VLOOKUP($H108,'Cost inputs'!$A$18:$E$39,'Land Price Phase Sc1&amp;2'!AB53+1,0)</f>
        <v>1550</v>
      </c>
      <c r="AC108" s="245">
        <f>VLOOKUP($H108,'Cost inputs'!$A$18:$E$39,'Land Price Phase Sc1&amp;2'!AC53+1,0)</f>
        <v>1550</v>
      </c>
      <c r="AD108" s="245">
        <f>VLOOKUP($H108,'Cost inputs'!$A$18:$E$39,'Land Price Phase Sc1&amp;2'!AD53+1,0)</f>
        <v>1550</v>
      </c>
      <c r="AE108" s="245">
        <f>VLOOKUP($H108,'Cost inputs'!$A$18:$E$39,'Land Price Phase Sc1&amp;2'!AE53+1,0)</f>
        <v>1550</v>
      </c>
      <c r="AF108" s="245">
        <f>VLOOKUP($H108,'Cost inputs'!$A$18:$E$39,'Land Price Phase Sc1&amp;2'!AF53+1,0)</f>
        <v>1550</v>
      </c>
      <c r="AG108" s="245">
        <f>VLOOKUP($H108,'Cost inputs'!$A$18:$E$39,'Land Price Phase Sc1&amp;2'!AG53+1,0)</f>
        <v>1550</v>
      </c>
      <c r="AH108" s="245">
        <f>VLOOKUP($H108,'Cost inputs'!$A$18:$E$39,'Land Price Phase Sc1&amp;2'!AH53+1,0)</f>
        <v>1550</v>
      </c>
      <c r="AI108" s="245">
        <f>VLOOKUP($H108,'Cost inputs'!$A$18:$E$39,'Land Price Phase Sc1&amp;2'!AI53+1,0)</f>
        <v>1550</v>
      </c>
      <c r="AJ108" s="245">
        <f>VLOOKUP($H108,'Cost inputs'!$A$18:$E$39,'Land Price Phase Sc1&amp;2'!AJ53+1,0)</f>
        <v>1550</v>
      </c>
      <c r="AK108" s="245">
        <f>VLOOKUP($H108,'Cost inputs'!$A$18:$E$39,'Land Price Phase Sc1&amp;2'!AK53+1,0)</f>
        <v>1550</v>
      </c>
      <c r="AL108" s="245">
        <f>VLOOKUP($H108,'Cost inputs'!$A$18:$E$39,'Land Price Phase Sc1&amp;2'!AL53+1,0)</f>
        <v>1550</v>
      </c>
      <c r="AM108" s="245">
        <f>VLOOKUP($H108,'Cost inputs'!$A$18:$E$39,'Land Price Phase Sc1&amp;2'!AM53+1,0)</f>
        <v>1550</v>
      </c>
      <c r="AN108" s="245">
        <f>VLOOKUP($H108,'Cost inputs'!$A$18:$E$39,'Land Price Phase Sc1&amp;2'!AN53+1,0)</f>
        <v>1550</v>
      </c>
      <c r="AO108" s="245">
        <f>VLOOKUP($H108,'Cost inputs'!$A$18:$E$39,'Land Price Phase Sc1&amp;2'!AO53+1,0)</f>
        <v>1550</v>
      </c>
      <c r="AP108" s="245">
        <f>VLOOKUP($H108,'Cost inputs'!$A$18:$E$39,'Land Price Phase Sc1&amp;2'!AP53+1,0)</f>
        <v>1550</v>
      </c>
      <c r="AQ108" s="245">
        <f>VLOOKUP($H108,'Cost inputs'!$A$18:$E$39,'Land Price Phase Sc1&amp;2'!AQ53+1,0)</f>
        <v>1550</v>
      </c>
      <c r="AR108" s="245">
        <f>VLOOKUP($H108,'Cost inputs'!$A$18:$E$39,'Land Price Phase Sc1&amp;2'!AR53+1,0)</f>
        <v>1550</v>
      </c>
      <c r="AS108" s="245">
        <f>VLOOKUP($H108,'Cost inputs'!$A$18:$E$39,'Land Price Phase Sc1&amp;2'!AS53+1,0)</f>
        <v>1550</v>
      </c>
      <c r="AT108" s="245">
        <f>VLOOKUP($H108,'Cost inputs'!$A$18:$E$39,'Land Price Phase Sc1&amp;2'!AT53+1,0)</f>
        <v>1550</v>
      </c>
      <c r="AU108" s="245">
        <f>VLOOKUP($H108,'Cost inputs'!$A$18:$E$39,'Land Price Phase Sc1&amp;2'!AU53+1,0)</f>
        <v>1550</v>
      </c>
    </row>
    <row r="109" spans="1:47" x14ac:dyDescent="0.3">
      <c r="A109" s="245" t="str">
        <f>A54</f>
        <v>Inner North-West</v>
      </c>
      <c r="B109" s="245" t="str">
        <f t="shared" si="46"/>
        <v>Whenuapai North (Stage 2)</v>
      </c>
      <c r="C109" s="245">
        <f t="shared" si="46"/>
        <v>2028</v>
      </c>
      <c r="D109" s="245">
        <f t="shared" si="46"/>
        <v>2024</v>
      </c>
      <c r="E109" s="245">
        <f t="shared" si="46"/>
        <v>2028</v>
      </c>
      <c r="F109" s="245">
        <f t="shared" si="46"/>
        <v>2032</v>
      </c>
      <c r="G109" s="245" t="str">
        <f t="shared" si="42"/>
        <v>earlier than Sc1</v>
      </c>
      <c r="H109" s="245" t="str">
        <f>H54</f>
        <v>Whenuapai</v>
      </c>
      <c r="I109" s="245">
        <f>VLOOKUP($H109,'Cost inputs'!$A$18:$E$39,'Land Price Phase Sc1&amp;2'!I54+1,0)</f>
        <v>375</v>
      </c>
      <c r="J109" s="245">
        <f>VLOOKUP($H109,'Cost inputs'!$A$18:$E$39,'Land Price Phase Sc1&amp;2'!J54+1,0)</f>
        <v>375</v>
      </c>
      <c r="K109" s="245">
        <f>VLOOKUP($H109,'Cost inputs'!$A$18:$E$39,'Land Price Phase Sc1&amp;2'!K54+1,0)</f>
        <v>375</v>
      </c>
      <c r="L109" s="245">
        <f>VLOOKUP($H109,'Cost inputs'!$A$18:$E$39,'Land Price Phase Sc1&amp;2'!L54+1,0)</f>
        <v>375</v>
      </c>
      <c r="M109" s="245">
        <f>VLOOKUP($H109,'Cost inputs'!$A$18:$E$39,'Land Price Phase Sc1&amp;2'!M54+1,0)</f>
        <v>590</v>
      </c>
      <c r="N109" s="245">
        <f>VLOOKUP($H109,'Cost inputs'!$A$18:$E$39,'Land Price Phase Sc1&amp;2'!N54+1,0)</f>
        <v>590</v>
      </c>
      <c r="O109" s="245">
        <f>VLOOKUP($H109,'Cost inputs'!$A$18:$E$39,'Land Price Phase Sc1&amp;2'!O54+1,0)</f>
        <v>590</v>
      </c>
      <c r="P109" s="245">
        <f>VLOOKUP($H109,'Cost inputs'!$A$18:$E$39,'Land Price Phase Sc1&amp;2'!P54+1,0)</f>
        <v>590</v>
      </c>
      <c r="Q109" s="245">
        <f>VLOOKUP($H109,'Cost inputs'!$A$18:$E$39,'Land Price Phase Sc1&amp;2'!Q54+1,0)</f>
        <v>1550</v>
      </c>
      <c r="R109" s="245">
        <f>VLOOKUP($H109,'Cost inputs'!$A$18:$E$39,'Land Price Phase Sc1&amp;2'!R54+1,0)</f>
        <v>1550</v>
      </c>
      <c r="S109" s="245">
        <f>VLOOKUP($H109,'Cost inputs'!$A$18:$E$39,'Land Price Phase Sc1&amp;2'!S54+1,0)</f>
        <v>1550</v>
      </c>
      <c r="T109" s="245">
        <f>VLOOKUP($H109,'Cost inputs'!$A$18:$E$39,'Land Price Phase Sc1&amp;2'!T54+1,0)</f>
        <v>1550</v>
      </c>
      <c r="U109" s="245">
        <f>VLOOKUP($H109,'Cost inputs'!$A$18:$E$39,'Land Price Phase Sc1&amp;2'!U54+1,0)</f>
        <v>1550</v>
      </c>
      <c r="V109" s="245">
        <f>VLOOKUP($H109,'Cost inputs'!$A$18:$E$39,'Land Price Phase Sc1&amp;2'!V54+1,0)</f>
        <v>1550</v>
      </c>
      <c r="W109" s="245">
        <f>VLOOKUP($H109,'Cost inputs'!$A$18:$E$39,'Land Price Phase Sc1&amp;2'!W54+1,0)</f>
        <v>1550</v>
      </c>
      <c r="X109" s="245">
        <f>VLOOKUP($H109,'Cost inputs'!$A$18:$E$39,'Land Price Phase Sc1&amp;2'!X54+1,0)</f>
        <v>1550</v>
      </c>
      <c r="Y109" s="245">
        <f>VLOOKUP($H109,'Cost inputs'!$A$18:$E$39,'Land Price Phase Sc1&amp;2'!Y54+1,0)</f>
        <v>1550</v>
      </c>
      <c r="Z109" s="245">
        <f>VLOOKUP($H109,'Cost inputs'!$A$18:$E$39,'Land Price Phase Sc1&amp;2'!Z54+1,0)</f>
        <v>1550</v>
      </c>
      <c r="AA109" s="245">
        <f>VLOOKUP($H109,'Cost inputs'!$A$18:$E$39,'Land Price Phase Sc1&amp;2'!AA54+1,0)</f>
        <v>1550</v>
      </c>
      <c r="AB109" s="245">
        <f>VLOOKUP($H109,'Cost inputs'!$A$18:$E$39,'Land Price Phase Sc1&amp;2'!AB54+1,0)</f>
        <v>1550</v>
      </c>
      <c r="AC109" s="245">
        <f>VLOOKUP($H109,'Cost inputs'!$A$18:$E$39,'Land Price Phase Sc1&amp;2'!AC54+1,0)</f>
        <v>1550</v>
      </c>
      <c r="AD109" s="245">
        <f>VLOOKUP($H109,'Cost inputs'!$A$18:$E$39,'Land Price Phase Sc1&amp;2'!AD54+1,0)</f>
        <v>1550</v>
      </c>
      <c r="AE109" s="245">
        <f>VLOOKUP($H109,'Cost inputs'!$A$18:$E$39,'Land Price Phase Sc1&amp;2'!AE54+1,0)</f>
        <v>1550</v>
      </c>
      <c r="AF109" s="245">
        <f>VLOOKUP($H109,'Cost inputs'!$A$18:$E$39,'Land Price Phase Sc1&amp;2'!AF54+1,0)</f>
        <v>1550</v>
      </c>
      <c r="AG109" s="245">
        <f>VLOOKUP($H109,'Cost inputs'!$A$18:$E$39,'Land Price Phase Sc1&amp;2'!AG54+1,0)</f>
        <v>1550</v>
      </c>
      <c r="AH109" s="245">
        <f>VLOOKUP($H109,'Cost inputs'!$A$18:$E$39,'Land Price Phase Sc1&amp;2'!AH54+1,0)</f>
        <v>1550</v>
      </c>
      <c r="AI109" s="245">
        <f>VLOOKUP($H109,'Cost inputs'!$A$18:$E$39,'Land Price Phase Sc1&amp;2'!AI54+1,0)</f>
        <v>1550</v>
      </c>
      <c r="AJ109" s="245">
        <f>VLOOKUP($H109,'Cost inputs'!$A$18:$E$39,'Land Price Phase Sc1&amp;2'!AJ54+1,0)</f>
        <v>1550</v>
      </c>
      <c r="AK109" s="245">
        <f>VLOOKUP($H109,'Cost inputs'!$A$18:$E$39,'Land Price Phase Sc1&amp;2'!AK54+1,0)</f>
        <v>1550</v>
      </c>
      <c r="AL109" s="245">
        <f>VLOOKUP($H109,'Cost inputs'!$A$18:$E$39,'Land Price Phase Sc1&amp;2'!AL54+1,0)</f>
        <v>1550</v>
      </c>
      <c r="AM109" s="245">
        <f>VLOOKUP($H109,'Cost inputs'!$A$18:$E$39,'Land Price Phase Sc1&amp;2'!AM54+1,0)</f>
        <v>1550</v>
      </c>
      <c r="AN109" s="245">
        <f>VLOOKUP($H109,'Cost inputs'!$A$18:$E$39,'Land Price Phase Sc1&amp;2'!AN54+1,0)</f>
        <v>1550</v>
      </c>
      <c r="AO109" s="245">
        <f>VLOOKUP($H109,'Cost inputs'!$A$18:$E$39,'Land Price Phase Sc1&amp;2'!AO54+1,0)</f>
        <v>1550</v>
      </c>
      <c r="AP109" s="245">
        <f>VLOOKUP($H109,'Cost inputs'!$A$18:$E$39,'Land Price Phase Sc1&amp;2'!AP54+1,0)</f>
        <v>1550</v>
      </c>
      <c r="AQ109" s="245">
        <f>VLOOKUP($H109,'Cost inputs'!$A$18:$E$39,'Land Price Phase Sc1&amp;2'!AQ54+1,0)</f>
        <v>1550</v>
      </c>
      <c r="AR109" s="245">
        <f>VLOOKUP($H109,'Cost inputs'!$A$18:$E$39,'Land Price Phase Sc1&amp;2'!AR54+1,0)</f>
        <v>1550</v>
      </c>
      <c r="AS109" s="245">
        <f>VLOOKUP($H109,'Cost inputs'!$A$18:$E$39,'Land Price Phase Sc1&amp;2'!AS54+1,0)</f>
        <v>1550</v>
      </c>
      <c r="AT109" s="245">
        <f>VLOOKUP($H109,'Cost inputs'!$A$18:$E$39,'Land Price Phase Sc1&amp;2'!AT54+1,0)</f>
        <v>1550</v>
      </c>
      <c r="AU109" s="245">
        <f>VLOOKUP($H109,'Cost inputs'!$A$18:$E$39,'Land Price Phase Sc1&amp;2'!AU54+1,0)</f>
        <v>1550</v>
      </c>
    </row>
    <row r="110" spans="1:47" x14ac:dyDescent="0.3">
      <c r="A110" s="245" t="str">
        <f>A55</f>
        <v>Inner North-West</v>
      </c>
      <c r="B110" s="245" t="str">
        <f t="shared" si="46"/>
        <v>Whenuapai East/South</v>
      </c>
      <c r="C110" s="245">
        <f t="shared" si="46"/>
        <v>2028</v>
      </c>
      <c r="D110" s="245">
        <f t="shared" si="46"/>
        <v>2024</v>
      </c>
      <c r="E110" s="245">
        <f t="shared" si="46"/>
        <v>2028</v>
      </c>
      <c r="F110" s="245">
        <f t="shared" si="46"/>
        <v>2032</v>
      </c>
      <c r="G110" s="245" t="str">
        <f t="shared" si="42"/>
        <v>earlier than Sc1</v>
      </c>
      <c r="H110" s="245" t="str">
        <f>H55</f>
        <v>Whenuapai</v>
      </c>
      <c r="I110" s="245">
        <f>VLOOKUP($H110,'Cost inputs'!$A$18:$E$39,'Land Price Phase Sc1&amp;2'!I55+1,0)</f>
        <v>375</v>
      </c>
      <c r="J110" s="245">
        <f>VLOOKUP($H110,'Cost inputs'!$A$18:$E$39,'Land Price Phase Sc1&amp;2'!J55+1,0)</f>
        <v>375</v>
      </c>
      <c r="K110" s="245">
        <f>VLOOKUP($H110,'Cost inputs'!$A$18:$E$39,'Land Price Phase Sc1&amp;2'!K55+1,0)</f>
        <v>375</v>
      </c>
      <c r="L110" s="245">
        <f>VLOOKUP($H110,'Cost inputs'!$A$18:$E$39,'Land Price Phase Sc1&amp;2'!L55+1,0)</f>
        <v>375</v>
      </c>
      <c r="M110" s="245">
        <f>VLOOKUP($H110,'Cost inputs'!$A$18:$E$39,'Land Price Phase Sc1&amp;2'!M55+1,0)</f>
        <v>590</v>
      </c>
      <c r="N110" s="245">
        <f>VLOOKUP($H110,'Cost inputs'!$A$18:$E$39,'Land Price Phase Sc1&amp;2'!N55+1,0)</f>
        <v>590</v>
      </c>
      <c r="O110" s="245">
        <f>VLOOKUP($H110,'Cost inputs'!$A$18:$E$39,'Land Price Phase Sc1&amp;2'!O55+1,0)</f>
        <v>590</v>
      </c>
      <c r="P110" s="245">
        <f>VLOOKUP($H110,'Cost inputs'!$A$18:$E$39,'Land Price Phase Sc1&amp;2'!P55+1,0)</f>
        <v>590</v>
      </c>
      <c r="Q110" s="245">
        <f>VLOOKUP($H110,'Cost inputs'!$A$18:$E$39,'Land Price Phase Sc1&amp;2'!Q55+1,0)</f>
        <v>1550</v>
      </c>
      <c r="R110" s="245">
        <f>VLOOKUP($H110,'Cost inputs'!$A$18:$E$39,'Land Price Phase Sc1&amp;2'!R55+1,0)</f>
        <v>1550</v>
      </c>
      <c r="S110" s="245">
        <f>VLOOKUP($H110,'Cost inputs'!$A$18:$E$39,'Land Price Phase Sc1&amp;2'!S55+1,0)</f>
        <v>1550</v>
      </c>
      <c r="T110" s="245">
        <f>VLOOKUP($H110,'Cost inputs'!$A$18:$E$39,'Land Price Phase Sc1&amp;2'!T55+1,0)</f>
        <v>1550</v>
      </c>
      <c r="U110" s="245">
        <f>VLOOKUP($H110,'Cost inputs'!$A$18:$E$39,'Land Price Phase Sc1&amp;2'!U55+1,0)</f>
        <v>1550</v>
      </c>
      <c r="V110" s="245">
        <f>VLOOKUP($H110,'Cost inputs'!$A$18:$E$39,'Land Price Phase Sc1&amp;2'!V55+1,0)</f>
        <v>1550</v>
      </c>
      <c r="W110" s="245">
        <f>VLOOKUP($H110,'Cost inputs'!$A$18:$E$39,'Land Price Phase Sc1&amp;2'!W55+1,0)</f>
        <v>1550</v>
      </c>
      <c r="X110" s="245">
        <f>VLOOKUP($H110,'Cost inputs'!$A$18:$E$39,'Land Price Phase Sc1&amp;2'!X55+1,0)</f>
        <v>1550</v>
      </c>
      <c r="Y110" s="245">
        <f>VLOOKUP($H110,'Cost inputs'!$A$18:$E$39,'Land Price Phase Sc1&amp;2'!Y55+1,0)</f>
        <v>1550</v>
      </c>
      <c r="Z110" s="245">
        <f>VLOOKUP($H110,'Cost inputs'!$A$18:$E$39,'Land Price Phase Sc1&amp;2'!Z55+1,0)</f>
        <v>1550</v>
      </c>
      <c r="AA110" s="245">
        <f>VLOOKUP($H110,'Cost inputs'!$A$18:$E$39,'Land Price Phase Sc1&amp;2'!AA55+1,0)</f>
        <v>1550</v>
      </c>
      <c r="AB110" s="245">
        <f>VLOOKUP($H110,'Cost inputs'!$A$18:$E$39,'Land Price Phase Sc1&amp;2'!AB55+1,0)</f>
        <v>1550</v>
      </c>
      <c r="AC110" s="245">
        <f>VLOOKUP($H110,'Cost inputs'!$A$18:$E$39,'Land Price Phase Sc1&amp;2'!AC55+1,0)</f>
        <v>1550</v>
      </c>
      <c r="AD110" s="245">
        <f>VLOOKUP($H110,'Cost inputs'!$A$18:$E$39,'Land Price Phase Sc1&amp;2'!AD55+1,0)</f>
        <v>1550</v>
      </c>
      <c r="AE110" s="245">
        <f>VLOOKUP($H110,'Cost inputs'!$A$18:$E$39,'Land Price Phase Sc1&amp;2'!AE55+1,0)</f>
        <v>1550</v>
      </c>
      <c r="AF110" s="245">
        <f>VLOOKUP($H110,'Cost inputs'!$A$18:$E$39,'Land Price Phase Sc1&amp;2'!AF55+1,0)</f>
        <v>1550</v>
      </c>
      <c r="AG110" s="245">
        <f>VLOOKUP($H110,'Cost inputs'!$A$18:$E$39,'Land Price Phase Sc1&amp;2'!AG55+1,0)</f>
        <v>1550</v>
      </c>
      <c r="AH110" s="245">
        <f>VLOOKUP($H110,'Cost inputs'!$A$18:$E$39,'Land Price Phase Sc1&amp;2'!AH55+1,0)</f>
        <v>1550</v>
      </c>
      <c r="AI110" s="245">
        <f>VLOOKUP($H110,'Cost inputs'!$A$18:$E$39,'Land Price Phase Sc1&amp;2'!AI55+1,0)</f>
        <v>1550</v>
      </c>
      <c r="AJ110" s="245">
        <f>VLOOKUP($H110,'Cost inputs'!$A$18:$E$39,'Land Price Phase Sc1&amp;2'!AJ55+1,0)</f>
        <v>1550</v>
      </c>
      <c r="AK110" s="245">
        <f>VLOOKUP($H110,'Cost inputs'!$A$18:$E$39,'Land Price Phase Sc1&amp;2'!AK55+1,0)</f>
        <v>1550</v>
      </c>
      <c r="AL110" s="245">
        <f>VLOOKUP($H110,'Cost inputs'!$A$18:$E$39,'Land Price Phase Sc1&amp;2'!AL55+1,0)</f>
        <v>1550</v>
      </c>
      <c r="AM110" s="245">
        <f>VLOOKUP($H110,'Cost inputs'!$A$18:$E$39,'Land Price Phase Sc1&amp;2'!AM55+1,0)</f>
        <v>1550</v>
      </c>
      <c r="AN110" s="245">
        <f>VLOOKUP($H110,'Cost inputs'!$A$18:$E$39,'Land Price Phase Sc1&amp;2'!AN55+1,0)</f>
        <v>1550</v>
      </c>
      <c r="AO110" s="245">
        <f>VLOOKUP($H110,'Cost inputs'!$A$18:$E$39,'Land Price Phase Sc1&amp;2'!AO55+1,0)</f>
        <v>1550</v>
      </c>
      <c r="AP110" s="245">
        <f>VLOOKUP($H110,'Cost inputs'!$A$18:$E$39,'Land Price Phase Sc1&amp;2'!AP55+1,0)</f>
        <v>1550</v>
      </c>
      <c r="AQ110" s="245">
        <f>VLOOKUP($H110,'Cost inputs'!$A$18:$E$39,'Land Price Phase Sc1&amp;2'!AQ55+1,0)</f>
        <v>1550</v>
      </c>
      <c r="AR110" s="245">
        <f>VLOOKUP($H110,'Cost inputs'!$A$18:$E$39,'Land Price Phase Sc1&amp;2'!AR55+1,0)</f>
        <v>1550</v>
      </c>
      <c r="AS110" s="245">
        <f>VLOOKUP($H110,'Cost inputs'!$A$18:$E$39,'Land Price Phase Sc1&amp;2'!AS55+1,0)</f>
        <v>1550</v>
      </c>
      <c r="AT110" s="245">
        <f>VLOOKUP($H110,'Cost inputs'!$A$18:$E$39,'Land Price Phase Sc1&amp;2'!AT55+1,0)</f>
        <v>1550</v>
      </c>
      <c r="AU110" s="245">
        <f>VLOOKUP($H110,'Cost inputs'!$A$18:$E$39,'Land Price Phase Sc1&amp;2'!AU55+1,0)</f>
        <v>1550</v>
      </c>
    </row>
    <row r="112" spans="1:47" x14ac:dyDescent="0.3">
      <c r="I112" s="271">
        <f>I3</f>
        <v>2024</v>
      </c>
      <c r="J112" s="271">
        <f t="shared" ref="J112:AU112" si="47">J3</f>
        <v>2025</v>
      </c>
      <c r="K112" s="271">
        <f t="shared" si="47"/>
        <v>2026</v>
      </c>
      <c r="L112" s="271">
        <f t="shared" si="47"/>
        <v>2027</v>
      </c>
      <c r="M112" s="271">
        <f t="shared" si="47"/>
        <v>2028</v>
      </c>
      <c r="N112" s="271">
        <f t="shared" si="47"/>
        <v>2029</v>
      </c>
      <c r="O112" s="271">
        <f t="shared" si="47"/>
        <v>2030</v>
      </c>
      <c r="P112" s="271">
        <f t="shared" si="47"/>
        <v>2031</v>
      </c>
      <c r="Q112" s="271">
        <f t="shared" si="47"/>
        <v>2032</v>
      </c>
      <c r="R112" s="271">
        <f t="shared" si="47"/>
        <v>2033</v>
      </c>
      <c r="S112" s="271">
        <f t="shared" si="47"/>
        <v>2034</v>
      </c>
      <c r="T112" s="271">
        <f t="shared" si="47"/>
        <v>2035</v>
      </c>
      <c r="U112" s="271">
        <f t="shared" si="47"/>
        <v>2036</v>
      </c>
      <c r="V112" s="271">
        <f t="shared" si="47"/>
        <v>2037</v>
      </c>
      <c r="W112" s="271">
        <f t="shared" si="47"/>
        <v>2038</v>
      </c>
      <c r="X112" s="271">
        <f t="shared" si="47"/>
        <v>2039</v>
      </c>
      <c r="Y112" s="271">
        <f t="shared" si="47"/>
        <v>2040</v>
      </c>
      <c r="Z112" s="271">
        <f t="shared" si="47"/>
        <v>2041</v>
      </c>
      <c r="AA112" s="271">
        <f t="shared" si="47"/>
        <v>2042</v>
      </c>
      <c r="AB112" s="271">
        <f t="shared" si="47"/>
        <v>2043</v>
      </c>
      <c r="AC112" s="271">
        <f t="shared" si="47"/>
        <v>2044</v>
      </c>
      <c r="AD112" s="271">
        <f t="shared" si="47"/>
        <v>2045</v>
      </c>
      <c r="AE112" s="271">
        <f t="shared" si="47"/>
        <v>2046</v>
      </c>
      <c r="AF112" s="271">
        <f t="shared" si="47"/>
        <v>2047</v>
      </c>
      <c r="AG112" s="271">
        <f t="shared" si="47"/>
        <v>2048</v>
      </c>
      <c r="AH112" s="271">
        <f t="shared" si="47"/>
        <v>2049</v>
      </c>
      <c r="AI112" s="271">
        <f t="shared" si="47"/>
        <v>2050</v>
      </c>
      <c r="AJ112" s="271">
        <f t="shared" si="47"/>
        <v>2051</v>
      </c>
      <c r="AK112" s="271">
        <f t="shared" si="47"/>
        <v>2052</v>
      </c>
      <c r="AL112" s="271">
        <f t="shared" si="47"/>
        <v>2053</v>
      </c>
      <c r="AM112" s="271">
        <f t="shared" si="47"/>
        <v>2054</v>
      </c>
      <c r="AN112" s="271">
        <f t="shared" si="47"/>
        <v>2055</v>
      </c>
      <c r="AO112" s="271">
        <f t="shared" si="47"/>
        <v>2056</v>
      </c>
      <c r="AP112" s="271">
        <f t="shared" si="47"/>
        <v>2057</v>
      </c>
      <c r="AQ112" s="271">
        <f t="shared" si="47"/>
        <v>2058</v>
      </c>
      <c r="AR112" s="271">
        <f t="shared" si="47"/>
        <v>2059</v>
      </c>
      <c r="AS112" s="271">
        <f t="shared" si="47"/>
        <v>2060</v>
      </c>
      <c r="AT112" s="271">
        <f t="shared" si="47"/>
        <v>2061</v>
      </c>
      <c r="AU112" s="271">
        <f t="shared" si="47"/>
        <v>2062</v>
      </c>
    </row>
    <row r="113" spans="1:128" x14ac:dyDescent="0.3">
      <c r="A113" s="245" t="s">
        <v>131</v>
      </c>
      <c r="B113" s="245" t="s">
        <v>133</v>
      </c>
      <c r="C113" s="273">
        <v>1</v>
      </c>
      <c r="D113" s="274" t="s">
        <v>470</v>
      </c>
      <c r="I113" s="275">
        <v>0</v>
      </c>
      <c r="J113" s="276">
        <f>IF($C$113=1,IF($D$113="J",'Cost inputs'!F6,IF($D$113="D",'Auckland Council README'!D24/100,"wrong version")),0)</f>
        <v>2.7999999999999997E-2</v>
      </c>
      <c r="K113" s="276">
        <f>IF($C$113=1,IF($D$113="J",'Cost inputs'!G6,IF($D$113="D",'Auckland Council README'!E24/100,"wrong version")),0)</f>
        <v>7.0000000000000007E-2</v>
      </c>
      <c r="L113" s="276">
        <f>IF($C$113=1,IF($D$113="J",'Cost inputs'!H6,IF($D$113="D",'Auckland Council README'!F24/100,"wrong version")),0)</f>
        <v>4.2999999999999997E-2</v>
      </c>
      <c r="M113" s="276">
        <f>IF($C$113=1,IF($D$113="J",'Cost inputs'!I6,IF($D$113="D",'Auckland Council README'!G24/100,"wrong version")),0)</f>
        <v>7.0999999999999994E-2</v>
      </c>
      <c r="N113" s="276">
        <f>M113</f>
        <v>7.0999999999999994E-2</v>
      </c>
      <c r="O113" s="276">
        <f t="shared" ref="O113:AU113" si="48">N113</f>
        <v>7.0999999999999994E-2</v>
      </c>
      <c r="P113" s="276">
        <f t="shared" si="48"/>
        <v>7.0999999999999994E-2</v>
      </c>
      <c r="Q113" s="276">
        <f t="shared" si="48"/>
        <v>7.0999999999999994E-2</v>
      </c>
      <c r="R113" s="276">
        <f t="shared" si="48"/>
        <v>7.0999999999999994E-2</v>
      </c>
      <c r="S113" s="276">
        <f t="shared" si="48"/>
        <v>7.0999999999999994E-2</v>
      </c>
      <c r="T113" s="276">
        <f t="shared" si="48"/>
        <v>7.0999999999999994E-2</v>
      </c>
      <c r="U113" s="276">
        <f t="shared" si="48"/>
        <v>7.0999999999999994E-2</v>
      </c>
      <c r="V113" s="276">
        <f t="shared" si="48"/>
        <v>7.0999999999999994E-2</v>
      </c>
      <c r="W113" s="276">
        <f t="shared" si="48"/>
        <v>7.0999999999999994E-2</v>
      </c>
      <c r="X113" s="276">
        <f t="shared" si="48"/>
        <v>7.0999999999999994E-2</v>
      </c>
      <c r="Y113" s="276">
        <f t="shared" si="48"/>
        <v>7.0999999999999994E-2</v>
      </c>
      <c r="Z113" s="276">
        <f t="shared" si="48"/>
        <v>7.0999999999999994E-2</v>
      </c>
      <c r="AA113" s="276">
        <f t="shared" si="48"/>
        <v>7.0999999999999994E-2</v>
      </c>
      <c r="AB113" s="276">
        <f t="shared" si="48"/>
        <v>7.0999999999999994E-2</v>
      </c>
      <c r="AC113" s="276">
        <f t="shared" si="48"/>
        <v>7.0999999999999994E-2</v>
      </c>
      <c r="AD113" s="276">
        <f t="shared" si="48"/>
        <v>7.0999999999999994E-2</v>
      </c>
      <c r="AE113" s="276">
        <f t="shared" si="48"/>
        <v>7.0999999999999994E-2</v>
      </c>
      <c r="AF113" s="276">
        <f t="shared" si="48"/>
        <v>7.0999999999999994E-2</v>
      </c>
      <c r="AG113" s="276">
        <f t="shared" si="48"/>
        <v>7.0999999999999994E-2</v>
      </c>
      <c r="AH113" s="276">
        <f t="shared" si="48"/>
        <v>7.0999999999999994E-2</v>
      </c>
      <c r="AI113" s="276">
        <f t="shared" si="48"/>
        <v>7.0999999999999994E-2</v>
      </c>
      <c r="AJ113" s="276">
        <f t="shared" si="48"/>
        <v>7.0999999999999994E-2</v>
      </c>
      <c r="AK113" s="276">
        <f t="shared" si="48"/>
        <v>7.0999999999999994E-2</v>
      </c>
      <c r="AL113" s="276">
        <f t="shared" si="48"/>
        <v>7.0999999999999994E-2</v>
      </c>
      <c r="AM113" s="276">
        <f t="shared" si="48"/>
        <v>7.0999999999999994E-2</v>
      </c>
      <c r="AN113" s="276">
        <f t="shared" si="48"/>
        <v>7.0999999999999994E-2</v>
      </c>
      <c r="AO113" s="276">
        <f t="shared" si="48"/>
        <v>7.0999999999999994E-2</v>
      </c>
      <c r="AP113" s="276">
        <f t="shared" si="48"/>
        <v>7.0999999999999994E-2</v>
      </c>
      <c r="AQ113" s="276">
        <f t="shared" si="48"/>
        <v>7.0999999999999994E-2</v>
      </c>
      <c r="AR113" s="276">
        <f t="shared" si="48"/>
        <v>7.0999999999999994E-2</v>
      </c>
      <c r="AS113" s="276">
        <f t="shared" si="48"/>
        <v>7.0999999999999994E-2</v>
      </c>
      <c r="AT113" s="276">
        <f t="shared" si="48"/>
        <v>7.0999999999999994E-2</v>
      </c>
      <c r="AU113" s="276">
        <f t="shared" si="48"/>
        <v>7.0999999999999994E-2</v>
      </c>
    </row>
    <row r="114" spans="1:128" x14ac:dyDescent="0.3">
      <c r="A114" s="245" t="s">
        <v>132</v>
      </c>
      <c r="D114" s="245" t="s">
        <v>468</v>
      </c>
      <c r="I114" s="277">
        <v>1</v>
      </c>
      <c r="J114" s="277">
        <f>I114*(1+J113)</f>
        <v>1.028</v>
      </c>
      <c r="K114" s="277">
        <f t="shared" ref="K114:Q114" si="49">J114*(1+K113)</f>
        <v>1.09996</v>
      </c>
      <c r="L114" s="277">
        <f t="shared" si="49"/>
        <v>1.14725828</v>
      </c>
      <c r="M114" s="277">
        <f t="shared" si="49"/>
        <v>1.22871361788</v>
      </c>
      <c r="N114" s="277">
        <f t="shared" si="49"/>
        <v>1.31595228474948</v>
      </c>
      <c r="O114" s="277">
        <f t="shared" si="49"/>
        <v>1.4093848969666931</v>
      </c>
      <c r="P114" s="277">
        <f t="shared" si="49"/>
        <v>1.5094512246513283</v>
      </c>
      <c r="Q114" s="277">
        <f t="shared" si="49"/>
        <v>1.6166222616015726</v>
      </c>
      <c r="R114" s="277">
        <f t="shared" ref="R114" si="50">Q114*(1+R113)</f>
        <v>1.7314024421752843</v>
      </c>
      <c r="S114" s="277">
        <f t="shared" ref="S114" si="51">R114*(1+S113)</f>
        <v>1.8543320155697294</v>
      </c>
      <c r="T114" s="277">
        <f t="shared" ref="T114" si="52">S114*(1+T113)</f>
        <v>1.9859895886751802</v>
      </c>
      <c r="U114" s="277">
        <f t="shared" ref="U114" si="53">T114*(1+U113)</f>
        <v>2.1269948494711177</v>
      </c>
      <c r="V114" s="277">
        <f t="shared" ref="V114" si="54">U114*(1+V113)</f>
        <v>2.2780114837835668</v>
      </c>
      <c r="W114" s="277">
        <f t="shared" ref="W114" si="55">V114*(1+W113)</f>
        <v>2.4397502991322</v>
      </c>
      <c r="X114" s="277">
        <f t="shared" ref="X114" si="56">W114*(1+X113)</f>
        <v>2.6129725703705859</v>
      </c>
      <c r="Y114" s="277">
        <f t="shared" ref="Y114" si="57">X114*(1+Y113)</f>
        <v>2.7984936228668973</v>
      </c>
      <c r="Z114" s="277">
        <f t="shared" ref="Z114" si="58">Y114*(1+Z113)</f>
        <v>2.9971866700904468</v>
      </c>
      <c r="AA114" s="277">
        <f t="shared" ref="AA114" si="59">Z114*(1+AA113)</f>
        <v>3.2099869236668686</v>
      </c>
      <c r="AB114" s="277">
        <f t="shared" ref="AB114" si="60">AA114*(1+AB113)</f>
        <v>3.4378959952472159</v>
      </c>
      <c r="AC114" s="277">
        <f t="shared" ref="AC114" si="61">AB114*(1+AC113)</f>
        <v>3.6819866109097679</v>
      </c>
      <c r="AD114" s="277">
        <f t="shared" ref="AD114" si="62">AC114*(1+AD113)</f>
        <v>3.9434076602843611</v>
      </c>
      <c r="AE114" s="277">
        <f t="shared" ref="AE114" si="63">AD114*(1+AE113)</f>
        <v>4.2233896041645504</v>
      </c>
      <c r="AF114" s="277">
        <f t="shared" ref="AF114" si="64">AE114*(1+AF113)</f>
        <v>4.5232502660602334</v>
      </c>
      <c r="AG114" s="277">
        <f t="shared" ref="AG114" si="65">AF114*(1+AG113)</f>
        <v>4.8444010349505096</v>
      </c>
      <c r="AH114" s="277">
        <f t="shared" ref="AH114" si="66">AG114*(1+AH113)</f>
        <v>5.1883535084319954</v>
      </c>
      <c r="AI114" s="277">
        <f t="shared" ref="AI114" si="67">AH114*(1+AI113)</f>
        <v>5.5567266075306669</v>
      </c>
      <c r="AJ114" s="277">
        <f t="shared" ref="AJ114" si="68">AI114*(1+AJ113)</f>
        <v>5.9512541966653441</v>
      </c>
      <c r="AK114" s="277">
        <f t="shared" ref="AK114" si="69">AJ114*(1+AK113)</f>
        <v>6.3737932446285832</v>
      </c>
      <c r="AL114" s="277">
        <f t="shared" ref="AL114" si="70">AK114*(1+AL113)</f>
        <v>6.8263325649972124</v>
      </c>
      <c r="AM114" s="277">
        <f t="shared" ref="AM114" si="71">AL114*(1+AM113)</f>
        <v>7.3110021771120142</v>
      </c>
      <c r="AN114" s="277">
        <f t="shared" ref="AN114" si="72">AM114*(1+AN113)</f>
        <v>7.8300833316869669</v>
      </c>
      <c r="AO114" s="277">
        <f t="shared" ref="AO114" si="73">AN114*(1+AO113)</f>
        <v>8.3860192482367406</v>
      </c>
      <c r="AP114" s="277">
        <f t="shared" ref="AP114" si="74">AO114*(1+AP113)</f>
        <v>8.9814266148615491</v>
      </c>
      <c r="AQ114" s="277">
        <f t="shared" ref="AQ114" si="75">AP114*(1+AQ113)</f>
        <v>9.6191079045167189</v>
      </c>
      <c r="AR114" s="277">
        <f t="shared" ref="AR114" si="76">AQ114*(1+AR113)</f>
        <v>10.302064565737405</v>
      </c>
      <c r="AS114" s="277">
        <f t="shared" ref="AS114" si="77">AR114*(1+AS113)</f>
        <v>11.03351114990476</v>
      </c>
      <c r="AT114" s="277">
        <f t="shared" ref="AT114" si="78">AS114*(1+AT113)</f>
        <v>11.816890441547997</v>
      </c>
      <c r="AU114" s="277">
        <f t="shared" ref="AU114" si="79">AT114*(1+AU113)</f>
        <v>12.655889662897904</v>
      </c>
    </row>
    <row r="115" spans="1:128" x14ac:dyDescent="0.3">
      <c r="A115" s="245" t="s">
        <v>233</v>
      </c>
      <c r="D115" s="245" t="s">
        <v>469</v>
      </c>
      <c r="I115" s="277">
        <v>1</v>
      </c>
      <c r="J115" s="277">
        <v>1.0416906267970099</v>
      </c>
      <c r="K115" s="277">
        <v>1.0945945945945947</v>
      </c>
      <c r="L115" s="277">
        <v>1.1643195701031523</v>
      </c>
      <c r="M115" s="277">
        <v>1.2469862595804762</v>
      </c>
      <c r="N115" s="277">
        <v>1.33552228401069</v>
      </c>
      <c r="O115" s="277">
        <v>1.4303443661754489</v>
      </c>
      <c r="P115" s="277">
        <v>1.5318988161739058</v>
      </c>
      <c r="Q115" s="277">
        <v>1.640663632122253</v>
      </c>
      <c r="R115" s="277">
        <v>1.7571507500029329</v>
      </c>
      <c r="S115" s="277">
        <v>1.8819084532531409</v>
      </c>
      <c r="T115" s="277">
        <v>2.0155239534341138</v>
      </c>
      <c r="U115" s="277">
        <v>2.1586261541279357</v>
      </c>
      <c r="V115" s="277">
        <v>2.3118886110710188</v>
      </c>
      <c r="W115" s="277">
        <v>2.476032702457061</v>
      </c>
      <c r="X115" s="277">
        <v>2.651831024331512</v>
      </c>
      <c r="Y115" s="277">
        <v>2.8401110270590491</v>
      </c>
      <c r="Z115" s="277">
        <v>3.0417589099802416</v>
      </c>
      <c r="AA115" s="277">
        <v>3.2577237925888385</v>
      </c>
      <c r="AB115" s="277">
        <v>3.4890221818626457</v>
      </c>
      <c r="AC115" s="277">
        <v>3.7367427567748934</v>
      </c>
      <c r="AD115" s="277">
        <v>4.0020514925059105</v>
      </c>
      <c r="AE115" s="277">
        <v>4.2861971484738302</v>
      </c>
      <c r="AF115" s="277">
        <v>4.5905171460154719</v>
      </c>
      <c r="AG115" s="277">
        <v>4.91644386338257</v>
      </c>
      <c r="AH115" s="277">
        <v>5.2655113776827323</v>
      </c>
      <c r="AI115" s="277">
        <v>5.639362685498206</v>
      </c>
      <c r="AJ115" s="277">
        <v>6.0397574361685784</v>
      </c>
      <c r="AK115" s="277">
        <v>6.4685802141365469</v>
      </c>
      <c r="AL115" s="277">
        <v>6.9278494093402418</v>
      </c>
      <c r="AM115" s="277">
        <v>7.4197267174033987</v>
      </c>
      <c r="AN115" s="277">
        <v>7.9465273143390398</v>
      </c>
      <c r="AO115" s="277">
        <v>8.5107307536571106</v>
      </c>
      <c r="AP115" s="277">
        <v>9.1149926371667647</v>
      </c>
      <c r="AQ115" s="277">
        <v>9.7621571144056052</v>
      </c>
      <c r="AR115" s="277">
        <v>10.455270269528402</v>
      </c>
      <c r="AS115" s="277">
        <v>11.197594458664918</v>
      </c>
      <c r="AT115" s="277">
        <v>11.992623665230127</v>
      </c>
      <c r="AU115" s="277">
        <v>12.844099945461465</v>
      </c>
    </row>
    <row r="117" spans="1:128" x14ac:dyDescent="0.3">
      <c r="AW117" s="278"/>
    </row>
    <row r="118" spans="1:128" x14ac:dyDescent="0.3">
      <c r="A118" s="271" t="s">
        <v>130</v>
      </c>
      <c r="B118" s="271"/>
      <c r="C118" s="271"/>
      <c r="D118" s="271"/>
      <c r="E118" s="271"/>
      <c r="F118" s="271"/>
    </row>
    <row r="119" spans="1:128" x14ac:dyDescent="0.3">
      <c r="A119" s="245" t="str">
        <f t="shared" ref="A119:F128" si="80">A59</f>
        <v>Inner North-West</v>
      </c>
      <c r="B119" s="245" t="str">
        <f t="shared" si="80"/>
        <v>Redhills Precinct area</v>
      </c>
      <c r="C119" s="245">
        <f t="shared" si="80"/>
        <v>2024</v>
      </c>
      <c r="D119" s="245">
        <f t="shared" si="80"/>
        <v>2020</v>
      </c>
      <c r="E119" s="245">
        <f t="shared" si="80"/>
        <v>2024</v>
      </c>
      <c r="F119" s="245">
        <f t="shared" si="80"/>
        <v>2028</v>
      </c>
      <c r="G119" s="245" t="str">
        <f t="shared" ref="G119:G134" si="81">IF(G59="","",G59)</f>
        <v>Redhills is developing in stages with dwellings alredy occupied in certain areas and others without development. By 2024 most of the area is considered to have bulk infrastructure available to support development, aligning with how the FDS dates were determined.</v>
      </c>
      <c r="H119" s="245" t="str">
        <f t="shared" ref="H119:H134" si="82">H59</f>
        <v>Redhills</v>
      </c>
      <c r="I119" s="279">
        <f t="shared" ref="I119:AU119" si="83">I59*I$114</f>
        <v>500</v>
      </c>
      <c r="J119" s="279">
        <f t="shared" si="83"/>
        <v>514</v>
      </c>
      <c r="K119" s="279">
        <f t="shared" si="83"/>
        <v>549.98</v>
      </c>
      <c r="L119" s="279">
        <f t="shared" si="83"/>
        <v>573.62914000000001</v>
      </c>
      <c r="M119" s="279">
        <f t="shared" si="83"/>
        <v>1750.916905479</v>
      </c>
      <c r="N119" s="279">
        <f t="shared" si="83"/>
        <v>1875.232005768009</v>
      </c>
      <c r="O119" s="279">
        <f t="shared" si="83"/>
        <v>2008.3734781775377</v>
      </c>
      <c r="P119" s="279">
        <f t="shared" si="83"/>
        <v>2150.9679951281428</v>
      </c>
      <c r="Q119" s="279">
        <f t="shared" si="83"/>
        <v>2303.6867227822408</v>
      </c>
      <c r="R119" s="279">
        <f t="shared" si="83"/>
        <v>2467.24848009978</v>
      </c>
      <c r="S119" s="279">
        <f t="shared" si="83"/>
        <v>2642.4231221868645</v>
      </c>
      <c r="T119" s="279">
        <f t="shared" si="83"/>
        <v>2830.0351638621319</v>
      </c>
      <c r="U119" s="279">
        <f t="shared" si="83"/>
        <v>3030.9676604963429</v>
      </c>
      <c r="V119" s="279">
        <f t="shared" si="83"/>
        <v>3246.1663643915826</v>
      </c>
      <c r="W119" s="279">
        <f t="shared" si="83"/>
        <v>3476.6441762633849</v>
      </c>
      <c r="X119" s="279">
        <f t="shared" si="83"/>
        <v>3723.4859127780851</v>
      </c>
      <c r="Y119" s="279">
        <f t="shared" si="83"/>
        <v>3987.8534125853284</v>
      </c>
      <c r="Z119" s="279">
        <f t="shared" si="83"/>
        <v>4270.991004878887</v>
      </c>
      <c r="AA119" s="279">
        <f t="shared" si="83"/>
        <v>4574.2313662252873</v>
      </c>
      <c r="AB119" s="279">
        <f t="shared" si="83"/>
        <v>4899.0017932272831</v>
      </c>
      <c r="AC119" s="279">
        <f t="shared" si="83"/>
        <v>5246.8309205464193</v>
      </c>
      <c r="AD119" s="279">
        <f t="shared" si="83"/>
        <v>5619.3559159052147</v>
      </c>
      <c r="AE119" s="279">
        <f t="shared" si="83"/>
        <v>6018.3301859344847</v>
      </c>
      <c r="AF119" s="279">
        <f t="shared" si="83"/>
        <v>6445.6316291358326</v>
      </c>
      <c r="AG119" s="279">
        <f t="shared" si="83"/>
        <v>6903.2714748044764</v>
      </c>
      <c r="AH119" s="279">
        <f t="shared" si="83"/>
        <v>7393.4037495155935</v>
      </c>
      <c r="AI119" s="279">
        <f t="shared" si="83"/>
        <v>7918.3354157312006</v>
      </c>
      <c r="AJ119" s="279">
        <f t="shared" si="83"/>
        <v>8480.5372302481155</v>
      </c>
      <c r="AK119" s="279">
        <f t="shared" si="83"/>
        <v>9082.6553735957314</v>
      </c>
      <c r="AL119" s="279">
        <f t="shared" si="83"/>
        <v>9727.5239051210283</v>
      </c>
      <c r="AM119" s="279">
        <f t="shared" si="83"/>
        <v>10418.17810238462</v>
      </c>
      <c r="AN119" s="279">
        <f t="shared" si="83"/>
        <v>11157.868747653927</v>
      </c>
      <c r="AO119" s="279">
        <f t="shared" si="83"/>
        <v>11950.077428737355</v>
      </c>
      <c r="AP119" s="279">
        <f t="shared" si="83"/>
        <v>12798.532926177708</v>
      </c>
      <c r="AQ119" s="279">
        <f t="shared" si="83"/>
        <v>13707.228763936324</v>
      </c>
      <c r="AR119" s="279">
        <f t="shared" si="83"/>
        <v>14680.442006175803</v>
      </c>
      <c r="AS119" s="279">
        <f t="shared" si="83"/>
        <v>15722.753388614283</v>
      </c>
      <c r="AT119" s="279">
        <f t="shared" si="83"/>
        <v>16839.068879205897</v>
      </c>
      <c r="AU119" s="279">
        <f t="shared" si="83"/>
        <v>18034.642769629514</v>
      </c>
      <c r="AX119" s="280"/>
      <c r="AY119" s="280"/>
      <c r="AZ119" s="280"/>
      <c r="BA119" s="280"/>
      <c r="BB119" s="280"/>
      <c r="BC119" s="280"/>
      <c r="BD119" s="280"/>
      <c r="BE119" s="280"/>
      <c r="BF119" s="280"/>
      <c r="BG119" s="280"/>
      <c r="BH119" s="280"/>
      <c r="BI119" s="280"/>
      <c r="BJ119" s="280"/>
      <c r="BK119" s="280"/>
      <c r="BL119" s="280"/>
      <c r="BM119" s="280"/>
      <c r="BN119" s="280"/>
      <c r="BO119" s="280"/>
      <c r="BP119" s="280"/>
      <c r="BQ119" s="280"/>
      <c r="BR119" s="280"/>
      <c r="BS119" s="280"/>
      <c r="BT119" s="280"/>
      <c r="BU119" s="280"/>
      <c r="BV119" s="280"/>
      <c r="BW119" s="280"/>
      <c r="BX119" s="280"/>
      <c r="BY119" s="280"/>
      <c r="BZ119" s="280"/>
      <c r="CA119" s="280"/>
      <c r="CB119" s="280"/>
      <c r="CC119" s="280"/>
      <c r="CD119" s="280"/>
      <c r="CE119" s="280"/>
      <c r="CF119" s="280"/>
      <c r="CG119" s="280"/>
      <c r="CH119" s="280"/>
      <c r="CI119" s="280"/>
      <c r="CJ119" s="280"/>
      <c r="CL119" s="281"/>
      <c r="CM119" s="281"/>
      <c r="CN119" s="281"/>
      <c r="CO119" s="281"/>
      <c r="CP119" s="281"/>
      <c r="CQ119" s="281"/>
      <c r="CR119" s="281"/>
      <c r="CS119" s="281"/>
      <c r="CT119" s="281"/>
      <c r="CU119" s="281"/>
      <c r="CV119" s="281"/>
      <c r="CW119" s="281"/>
      <c r="CX119" s="281"/>
      <c r="CY119" s="281"/>
      <c r="CZ119" s="281"/>
      <c r="DA119" s="281"/>
      <c r="DB119" s="281"/>
      <c r="DC119" s="281"/>
      <c r="DD119" s="281"/>
      <c r="DE119" s="281"/>
      <c r="DF119" s="281"/>
      <c r="DG119" s="281"/>
      <c r="DH119" s="281"/>
      <c r="DI119" s="281"/>
      <c r="DJ119" s="281"/>
      <c r="DK119" s="281"/>
      <c r="DL119" s="281"/>
      <c r="DM119" s="281"/>
      <c r="DN119" s="281"/>
      <c r="DO119" s="281"/>
      <c r="DP119" s="281"/>
      <c r="DQ119" s="281"/>
      <c r="DR119" s="281"/>
      <c r="DS119" s="281"/>
      <c r="DT119" s="281"/>
      <c r="DU119" s="281"/>
      <c r="DV119" s="281"/>
      <c r="DW119" s="281"/>
      <c r="DX119" s="281"/>
    </row>
    <row r="120" spans="1:128" x14ac:dyDescent="0.3">
      <c r="A120" s="245" t="str">
        <f t="shared" si="80"/>
        <v>Inner North-West</v>
      </c>
      <c r="B120" s="245" t="str">
        <f t="shared" si="80"/>
        <v>Redhills North/Whenuapai west</v>
      </c>
      <c r="C120" s="245">
        <f t="shared" si="80"/>
        <v>2035</v>
      </c>
      <c r="D120" s="245">
        <f t="shared" si="80"/>
        <v>2031</v>
      </c>
      <c r="E120" s="245">
        <f t="shared" si="80"/>
        <v>2035</v>
      </c>
      <c r="F120" s="245">
        <f t="shared" si="80"/>
        <v>2039</v>
      </c>
      <c r="G120" s="245" t="str">
        <f t="shared" si="81"/>
        <v/>
      </c>
      <c r="H120" s="245" t="str">
        <f t="shared" si="82"/>
        <v>Redhills</v>
      </c>
      <c r="I120" s="279">
        <f t="shared" ref="I120:AU120" si="84">I60*I$114</f>
        <v>210</v>
      </c>
      <c r="J120" s="279">
        <f t="shared" si="84"/>
        <v>215.88</v>
      </c>
      <c r="K120" s="279">
        <f t="shared" si="84"/>
        <v>230.99160000000001</v>
      </c>
      <c r="L120" s="279">
        <f t="shared" si="84"/>
        <v>240.92423879999998</v>
      </c>
      <c r="M120" s="279">
        <f t="shared" si="84"/>
        <v>258.02985975479999</v>
      </c>
      <c r="N120" s="279">
        <f t="shared" si="84"/>
        <v>276.3499797973908</v>
      </c>
      <c r="O120" s="279">
        <f t="shared" si="84"/>
        <v>295.97082836300558</v>
      </c>
      <c r="P120" s="279">
        <f t="shared" si="84"/>
        <v>392.45731840934536</v>
      </c>
      <c r="Q120" s="279">
        <f t="shared" si="84"/>
        <v>420.3217880164089</v>
      </c>
      <c r="R120" s="279">
        <f t="shared" si="84"/>
        <v>450.1646349655739</v>
      </c>
      <c r="S120" s="279">
        <f t="shared" si="84"/>
        <v>482.12632404812962</v>
      </c>
      <c r="T120" s="279">
        <f t="shared" si="84"/>
        <v>992.99479433759006</v>
      </c>
      <c r="U120" s="279">
        <f t="shared" si="84"/>
        <v>1063.4974247355588</v>
      </c>
      <c r="V120" s="279">
        <f t="shared" si="84"/>
        <v>1139.0057418917834</v>
      </c>
      <c r="W120" s="279">
        <f t="shared" si="84"/>
        <v>1219.8751495660999</v>
      </c>
      <c r="X120" s="279">
        <f t="shared" si="84"/>
        <v>3723.4859127780851</v>
      </c>
      <c r="Y120" s="279">
        <f t="shared" si="84"/>
        <v>3987.8534125853284</v>
      </c>
      <c r="Z120" s="279">
        <f t="shared" si="84"/>
        <v>4270.991004878887</v>
      </c>
      <c r="AA120" s="279">
        <f t="shared" si="84"/>
        <v>4574.2313662252873</v>
      </c>
      <c r="AB120" s="279">
        <f t="shared" si="84"/>
        <v>4899.0017932272831</v>
      </c>
      <c r="AC120" s="279">
        <f t="shared" si="84"/>
        <v>5246.8309205464193</v>
      </c>
      <c r="AD120" s="279">
        <f t="shared" si="84"/>
        <v>5619.3559159052147</v>
      </c>
      <c r="AE120" s="279">
        <f t="shared" si="84"/>
        <v>6018.3301859344847</v>
      </c>
      <c r="AF120" s="279">
        <f t="shared" si="84"/>
        <v>6445.6316291358326</v>
      </c>
      <c r="AG120" s="279">
        <f t="shared" si="84"/>
        <v>6903.2714748044764</v>
      </c>
      <c r="AH120" s="279">
        <f t="shared" si="84"/>
        <v>7393.4037495155935</v>
      </c>
      <c r="AI120" s="279">
        <f t="shared" si="84"/>
        <v>7918.3354157312006</v>
      </c>
      <c r="AJ120" s="279">
        <f t="shared" si="84"/>
        <v>8480.5372302481155</v>
      </c>
      <c r="AK120" s="279">
        <f t="shared" si="84"/>
        <v>9082.6553735957314</v>
      </c>
      <c r="AL120" s="279">
        <f t="shared" si="84"/>
        <v>9727.5239051210283</v>
      </c>
      <c r="AM120" s="279">
        <f t="shared" si="84"/>
        <v>10418.17810238462</v>
      </c>
      <c r="AN120" s="279">
        <f t="shared" si="84"/>
        <v>11157.868747653927</v>
      </c>
      <c r="AO120" s="279">
        <f t="shared" si="84"/>
        <v>11950.077428737355</v>
      </c>
      <c r="AP120" s="279">
        <f t="shared" si="84"/>
        <v>12798.532926177708</v>
      </c>
      <c r="AQ120" s="279">
        <f t="shared" si="84"/>
        <v>13707.228763936324</v>
      </c>
      <c r="AR120" s="279">
        <f t="shared" si="84"/>
        <v>14680.442006175803</v>
      </c>
      <c r="AS120" s="279">
        <f t="shared" si="84"/>
        <v>15722.753388614283</v>
      </c>
      <c r="AT120" s="279">
        <f t="shared" si="84"/>
        <v>16839.068879205897</v>
      </c>
      <c r="AU120" s="279">
        <f t="shared" si="84"/>
        <v>18034.642769629514</v>
      </c>
      <c r="AX120" s="280"/>
      <c r="AY120" s="280"/>
      <c r="AZ120" s="280"/>
      <c r="BA120" s="280"/>
      <c r="BB120" s="280"/>
      <c r="BC120" s="280"/>
      <c r="BD120" s="280"/>
      <c r="BE120" s="280"/>
      <c r="BF120" s="280"/>
      <c r="BG120" s="280"/>
      <c r="BH120" s="280"/>
      <c r="BI120" s="280"/>
      <c r="BJ120" s="280"/>
      <c r="BK120" s="280"/>
      <c r="BL120" s="280"/>
      <c r="BM120" s="280"/>
      <c r="BN120" s="280"/>
      <c r="BO120" s="280"/>
      <c r="BP120" s="280"/>
      <c r="BQ120" s="280"/>
      <c r="BR120" s="280"/>
      <c r="BS120" s="280"/>
      <c r="BT120" s="280"/>
      <c r="BU120" s="280"/>
      <c r="BV120" s="280"/>
      <c r="BW120" s="280"/>
      <c r="BX120" s="280"/>
      <c r="BY120" s="280"/>
      <c r="BZ120" s="280"/>
      <c r="CA120" s="280"/>
      <c r="CB120" s="280"/>
      <c r="CC120" s="280"/>
      <c r="CD120" s="280"/>
      <c r="CE120" s="280"/>
      <c r="CF120" s="280"/>
      <c r="CG120" s="280"/>
      <c r="CH120" s="280"/>
      <c r="CI120" s="280"/>
      <c r="CJ120" s="280"/>
      <c r="CL120" s="281"/>
      <c r="CM120" s="281"/>
      <c r="CN120" s="281"/>
      <c r="CO120" s="281"/>
      <c r="CP120" s="281"/>
      <c r="CQ120" s="281"/>
      <c r="CR120" s="281"/>
      <c r="CS120" s="281"/>
      <c r="CT120" s="281"/>
      <c r="CU120" s="281"/>
      <c r="CV120" s="281"/>
      <c r="CW120" s="281"/>
      <c r="CX120" s="281"/>
      <c r="CY120" s="281"/>
      <c r="CZ120" s="281"/>
      <c r="DA120" s="281"/>
      <c r="DB120" s="281"/>
      <c r="DC120" s="281"/>
      <c r="DD120" s="281"/>
      <c r="DE120" s="281"/>
      <c r="DF120" s="281"/>
      <c r="DG120" s="281"/>
      <c r="DH120" s="281"/>
      <c r="DI120" s="281"/>
      <c r="DJ120" s="281"/>
      <c r="DK120" s="281"/>
      <c r="DL120" s="281"/>
      <c r="DM120" s="281"/>
      <c r="DN120" s="281"/>
      <c r="DO120" s="281"/>
      <c r="DP120" s="281"/>
      <c r="DQ120" s="281"/>
      <c r="DR120" s="281"/>
      <c r="DS120" s="281"/>
      <c r="DT120" s="281"/>
      <c r="DU120" s="281"/>
      <c r="DV120" s="281"/>
      <c r="DW120" s="281"/>
      <c r="DX120" s="281"/>
    </row>
    <row r="121" spans="1:128" x14ac:dyDescent="0.3">
      <c r="A121" s="245" t="str">
        <f t="shared" si="80"/>
        <v>Inner North-West</v>
      </c>
      <c r="B121" s="245" t="str">
        <f t="shared" si="80"/>
        <v>Whenuapai North (Stage 1a)</v>
      </c>
      <c r="C121" s="245">
        <f t="shared" si="80"/>
        <v>2035</v>
      </c>
      <c r="D121" s="245">
        <f t="shared" si="80"/>
        <v>2031</v>
      </c>
      <c r="E121" s="245">
        <f t="shared" si="80"/>
        <v>2035</v>
      </c>
      <c r="F121" s="245">
        <f t="shared" si="80"/>
        <v>2039</v>
      </c>
      <c r="G121" s="245" t="str">
        <f t="shared" si="81"/>
        <v/>
      </c>
      <c r="H121" s="245" t="str">
        <f t="shared" si="82"/>
        <v>Whenuapai</v>
      </c>
      <c r="I121" s="279">
        <f t="shared" ref="I121:AU121" si="85">I61*I$114</f>
        <v>250</v>
      </c>
      <c r="J121" s="279">
        <f t="shared" si="85"/>
        <v>257</v>
      </c>
      <c r="K121" s="279">
        <f t="shared" si="85"/>
        <v>274.99</v>
      </c>
      <c r="L121" s="279">
        <f t="shared" si="85"/>
        <v>286.81457</v>
      </c>
      <c r="M121" s="279">
        <f t="shared" si="85"/>
        <v>307.17840446999998</v>
      </c>
      <c r="N121" s="279">
        <f t="shared" si="85"/>
        <v>328.98807118737</v>
      </c>
      <c r="O121" s="279">
        <f t="shared" si="85"/>
        <v>352.34622424167327</v>
      </c>
      <c r="P121" s="279">
        <f t="shared" si="85"/>
        <v>566.04420924424812</v>
      </c>
      <c r="Q121" s="279">
        <f t="shared" si="85"/>
        <v>606.23334810058975</v>
      </c>
      <c r="R121" s="279">
        <f t="shared" si="85"/>
        <v>649.27591581573165</v>
      </c>
      <c r="S121" s="279">
        <f t="shared" si="85"/>
        <v>695.37450583864847</v>
      </c>
      <c r="T121" s="279">
        <f t="shared" si="85"/>
        <v>1171.7338573183563</v>
      </c>
      <c r="U121" s="279">
        <f t="shared" si="85"/>
        <v>1254.9269611879595</v>
      </c>
      <c r="V121" s="279">
        <f t="shared" si="85"/>
        <v>1344.0267754323045</v>
      </c>
      <c r="W121" s="279">
        <f t="shared" si="85"/>
        <v>1439.4526764879979</v>
      </c>
      <c r="X121" s="279">
        <f t="shared" si="85"/>
        <v>4050.1074840744081</v>
      </c>
      <c r="Y121" s="279">
        <f t="shared" si="85"/>
        <v>4337.6651154436904</v>
      </c>
      <c r="Z121" s="279">
        <f t="shared" si="85"/>
        <v>4645.6393386401924</v>
      </c>
      <c r="AA121" s="279">
        <f t="shared" si="85"/>
        <v>4975.4797316836466</v>
      </c>
      <c r="AB121" s="279">
        <f t="shared" si="85"/>
        <v>5328.7387926331849</v>
      </c>
      <c r="AC121" s="279">
        <f t="shared" si="85"/>
        <v>5707.0792469101398</v>
      </c>
      <c r="AD121" s="279">
        <f t="shared" si="85"/>
        <v>6112.2818734407592</v>
      </c>
      <c r="AE121" s="279">
        <f t="shared" si="85"/>
        <v>6546.2538864550534</v>
      </c>
      <c r="AF121" s="279">
        <f t="shared" si="85"/>
        <v>7011.0379123933617</v>
      </c>
      <c r="AG121" s="279">
        <f t="shared" si="85"/>
        <v>7508.8216041732894</v>
      </c>
      <c r="AH121" s="279">
        <f t="shared" si="85"/>
        <v>8041.947938069593</v>
      </c>
      <c r="AI121" s="279">
        <f t="shared" si="85"/>
        <v>8612.9262416725342</v>
      </c>
      <c r="AJ121" s="279">
        <f t="shared" si="85"/>
        <v>9224.4440048312827</v>
      </c>
      <c r="AK121" s="279">
        <f t="shared" si="85"/>
        <v>9879.3795291743045</v>
      </c>
      <c r="AL121" s="279">
        <f t="shared" si="85"/>
        <v>10580.81547574568</v>
      </c>
      <c r="AM121" s="279">
        <f t="shared" si="85"/>
        <v>11332.053374523623</v>
      </c>
      <c r="AN121" s="279">
        <f t="shared" si="85"/>
        <v>12136.629164114798</v>
      </c>
      <c r="AO121" s="279">
        <f t="shared" si="85"/>
        <v>12998.329834766948</v>
      </c>
      <c r="AP121" s="279">
        <f t="shared" si="85"/>
        <v>13921.211253035401</v>
      </c>
      <c r="AQ121" s="279">
        <f t="shared" si="85"/>
        <v>14909.617252000915</v>
      </c>
      <c r="AR121" s="279">
        <f t="shared" si="85"/>
        <v>15968.200076892977</v>
      </c>
      <c r="AS121" s="279">
        <f t="shared" si="85"/>
        <v>17101.942282352378</v>
      </c>
      <c r="AT121" s="279">
        <f t="shared" si="85"/>
        <v>18316.180184399396</v>
      </c>
      <c r="AU121" s="279">
        <f t="shared" si="85"/>
        <v>19616.62897749175</v>
      </c>
      <c r="AX121" s="280"/>
      <c r="AY121" s="280"/>
      <c r="AZ121" s="280"/>
      <c r="BA121" s="280"/>
      <c r="BB121" s="280"/>
      <c r="BC121" s="280"/>
      <c r="BD121" s="280"/>
      <c r="BE121" s="280"/>
      <c r="BF121" s="280"/>
      <c r="BG121" s="280"/>
      <c r="BH121" s="280"/>
      <c r="BI121" s="280"/>
      <c r="BJ121" s="280"/>
      <c r="BK121" s="280"/>
      <c r="BL121" s="280"/>
      <c r="BM121" s="280"/>
      <c r="BN121" s="280"/>
      <c r="BO121" s="280"/>
      <c r="BP121" s="280"/>
      <c r="BQ121" s="280"/>
      <c r="BR121" s="280"/>
      <c r="BS121" s="280"/>
      <c r="BT121" s="280"/>
      <c r="BU121" s="280"/>
      <c r="BV121" s="280"/>
      <c r="BW121" s="280"/>
      <c r="BX121" s="280"/>
      <c r="BY121" s="280"/>
      <c r="BZ121" s="280"/>
      <c r="CA121" s="280"/>
      <c r="CB121" s="280"/>
      <c r="CC121" s="280"/>
      <c r="CD121" s="280"/>
      <c r="CE121" s="280"/>
      <c r="CF121" s="280"/>
      <c r="CG121" s="280"/>
      <c r="CH121" s="280"/>
      <c r="CI121" s="280"/>
      <c r="CJ121" s="280"/>
      <c r="CL121" s="281"/>
      <c r="CM121" s="281"/>
      <c r="CN121" s="281"/>
      <c r="CO121" s="281"/>
      <c r="CP121" s="281"/>
      <c r="CQ121" s="281"/>
      <c r="CR121" s="281"/>
      <c r="CS121" s="281"/>
      <c r="CT121" s="281"/>
      <c r="CU121" s="281"/>
      <c r="CV121" s="281"/>
      <c r="CW121" s="281"/>
      <c r="CX121" s="281"/>
      <c r="CY121" s="281"/>
      <c r="CZ121" s="281"/>
      <c r="DA121" s="281"/>
      <c r="DB121" s="281"/>
      <c r="DC121" s="281"/>
      <c r="DD121" s="281"/>
      <c r="DE121" s="281"/>
      <c r="DF121" s="281"/>
      <c r="DG121" s="281"/>
      <c r="DH121" s="281"/>
      <c r="DI121" s="281"/>
      <c r="DJ121" s="281"/>
      <c r="DK121" s="281"/>
      <c r="DL121" s="281"/>
      <c r="DM121" s="281"/>
      <c r="DN121" s="281"/>
      <c r="DO121" s="281"/>
      <c r="DP121" s="281"/>
      <c r="DQ121" s="281"/>
      <c r="DR121" s="281"/>
      <c r="DS121" s="281"/>
      <c r="DT121" s="281"/>
      <c r="DU121" s="281"/>
      <c r="DV121" s="281"/>
      <c r="DW121" s="281"/>
      <c r="DX121" s="281"/>
    </row>
    <row r="122" spans="1:128" x14ac:dyDescent="0.3">
      <c r="A122" s="245" t="str">
        <f t="shared" si="80"/>
        <v>Inner North-West</v>
      </c>
      <c r="B122" s="245" t="str">
        <f t="shared" si="80"/>
        <v>Whenuapai north (Stage 1b)</v>
      </c>
      <c r="C122" s="245">
        <f t="shared" si="80"/>
        <v>2035</v>
      </c>
      <c r="D122" s="245">
        <f t="shared" si="80"/>
        <v>2031</v>
      </c>
      <c r="E122" s="245">
        <f t="shared" si="80"/>
        <v>2035</v>
      </c>
      <c r="F122" s="245">
        <f t="shared" si="80"/>
        <v>2039</v>
      </c>
      <c r="G122" s="245" t="str">
        <f t="shared" si="81"/>
        <v>1a and 1b are the same in this scenario, but 1b diff in Sc2</v>
      </c>
      <c r="H122" s="245" t="str">
        <f t="shared" si="82"/>
        <v>Whenuapai</v>
      </c>
      <c r="I122" s="279">
        <f t="shared" ref="I122:AU122" si="86">I62*I$114</f>
        <v>250</v>
      </c>
      <c r="J122" s="279">
        <f t="shared" si="86"/>
        <v>257</v>
      </c>
      <c r="K122" s="279">
        <f t="shared" si="86"/>
        <v>274.99</v>
      </c>
      <c r="L122" s="279">
        <f t="shared" si="86"/>
        <v>286.81457</v>
      </c>
      <c r="M122" s="279">
        <f t="shared" si="86"/>
        <v>307.17840446999998</v>
      </c>
      <c r="N122" s="279">
        <f t="shared" si="86"/>
        <v>328.98807118737</v>
      </c>
      <c r="O122" s="279">
        <f t="shared" si="86"/>
        <v>352.34622424167327</v>
      </c>
      <c r="P122" s="279">
        <f t="shared" si="86"/>
        <v>566.04420924424812</v>
      </c>
      <c r="Q122" s="279">
        <f t="shared" si="86"/>
        <v>606.23334810058975</v>
      </c>
      <c r="R122" s="279">
        <f t="shared" si="86"/>
        <v>649.27591581573165</v>
      </c>
      <c r="S122" s="279">
        <f t="shared" si="86"/>
        <v>695.37450583864847</v>
      </c>
      <c r="T122" s="279">
        <f t="shared" si="86"/>
        <v>1171.7338573183563</v>
      </c>
      <c r="U122" s="279">
        <f t="shared" si="86"/>
        <v>1254.9269611879595</v>
      </c>
      <c r="V122" s="279">
        <f t="shared" si="86"/>
        <v>1344.0267754323045</v>
      </c>
      <c r="W122" s="279">
        <f t="shared" si="86"/>
        <v>1439.4526764879979</v>
      </c>
      <c r="X122" s="279">
        <f t="shared" si="86"/>
        <v>4050.1074840744081</v>
      </c>
      <c r="Y122" s="279">
        <f t="shared" si="86"/>
        <v>4337.6651154436904</v>
      </c>
      <c r="Z122" s="279">
        <f t="shared" si="86"/>
        <v>4645.6393386401924</v>
      </c>
      <c r="AA122" s="279">
        <f t="shared" si="86"/>
        <v>4975.4797316836466</v>
      </c>
      <c r="AB122" s="279">
        <f t="shared" si="86"/>
        <v>5328.7387926331849</v>
      </c>
      <c r="AC122" s="279">
        <f t="shared" si="86"/>
        <v>5707.0792469101398</v>
      </c>
      <c r="AD122" s="279">
        <f t="shared" si="86"/>
        <v>6112.2818734407592</v>
      </c>
      <c r="AE122" s="279">
        <f t="shared" si="86"/>
        <v>6546.2538864550534</v>
      </c>
      <c r="AF122" s="279">
        <f t="shared" si="86"/>
        <v>7011.0379123933617</v>
      </c>
      <c r="AG122" s="279">
        <f t="shared" si="86"/>
        <v>7508.8216041732894</v>
      </c>
      <c r="AH122" s="279">
        <f t="shared" si="86"/>
        <v>8041.947938069593</v>
      </c>
      <c r="AI122" s="279">
        <f t="shared" si="86"/>
        <v>8612.9262416725342</v>
      </c>
      <c r="AJ122" s="279">
        <f t="shared" si="86"/>
        <v>9224.4440048312827</v>
      </c>
      <c r="AK122" s="279">
        <f t="shared" si="86"/>
        <v>9879.3795291743045</v>
      </c>
      <c r="AL122" s="279">
        <f t="shared" si="86"/>
        <v>10580.81547574568</v>
      </c>
      <c r="AM122" s="279">
        <f t="shared" si="86"/>
        <v>11332.053374523623</v>
      </c>
      <c r="AN122" s="279">
        <f t="shared" si="86"/>
        <v>12136.629164114798</v>
      </c>
      <c r="AO122" s="279">
        <f t="shared" si="86"/>
        <v>12998.329834766948</v>
      </c>
      <c r="AP122" s="279">
        <f t="shared" si="86"/>
        <v>13921.211253035401</v>
      </c>
      <c r="AQ122" s="279">
        <f t="shared" si="86"/>
        <v>14909.617252000915</v>
      </c>
      <c r="AR122" s="279">
        <f t="shared" si="86"/>
        <v>15968.200076892977</v>
      </c>
      <c r="AS122" s="279">
        <f t="shared" si="86"/>
        <v>17101.942282352378</v>
      </c>
      <c r="AT122" s="279">
        <f t="shared" si="86"/>
        <v>18316.180184399396</v>
      </c>
      <c r="AU122" s="279">
        <f t="shared" si="86"/>
        <v>19616.62897749175</v>
      </c>
      <c r="CL122" s="281"/>
      <c r="CM122" s="281"/>
      <c r="CN122" s="281"/>
      <c r="CO122" s="281"/>
      <c r="CP122" s="281"/>
      <c r="CQ122" s="281"/>
      <c r="CR122" s="281"/>
      <c r="CS122" s="281"/>
      <c r="CT122" s="281"/>
      <c r="CU122" s="281"/>
      <c r="CV122" s="281"/>
      <c r="CW122" s="281"/>
      <c r="CX122" s="281"/>
      <c r="CY122" s="281"/>
      <c r="CZ122" s="281"/>
      <c r="DA122" s="281"/>
      <c r="DB122" s="281"/>
      <c r="DC122" s="281"/>
      <c r="DD122" s="281"/>
      <c r="DE122" s="281"/>
      <c r="DF122" s="281"/>
      <c r="DG122" s="281"/>
      <c r="DH122" s="281"/>
      <c r="DI122" s="281"/>
      <c r="DJ122" s="281"/>
      <c r="DK122" s="281"/>
      <c r="DL122" s="281"/>
      <c r="DM122" s="281"/>
      <c r="DN122" s="281"/>
      <c r="DO122" s="281"/>
      <c r="DP122" s="281"/>
      <c r="DQ122" s="281"/>
      <c r="DR122" s="281"/>
      <c r="DS122" s="281"/>
      <c r="DT122" s="281"/>
      <c r="DU122" s="281"/>
      <c r="DV122" s="281"/>
      <c r="DW122" s="281"/>
      <c r="DX122" s="281"/>
    </row>
    <row r="123" spans="1:128" x14ac:dyDescent="0.3">
      <c r="A123" s="245" t="str">
        <f t="shared" si="80"/>
        <v>Inner North-West</v>
      </c>
      <c r="B123" s="245" t="str">
        <f t="shared" si="80"/>
        <v>Whenuapai North (Stage 2)</v>
      </c>
      <c r="C123" s="245">
        <f t="shared" si="80"/>
        <v>2050</v>
      </c>
      <c r="D123" s="245">
        <f t="shared" si="80"/>
        <v>2046</v>
      </c>
      <c r="E123" s="245">
        <f t="shared" si="80"/>
        <v>2050</v>
      </c>
      <c r="F123" s="245">
        <f t="shared" si="80"/>
        <v>2054</v>
      </c>
      <c r="G123" s="245" t="str">
        <f t="shared" si="81"/>
        <v>earlier in sc2</v>
      </c>
      <c r="H123" s="245" t="str">
        <f t="shared" si="82"/>
        <v>Whenuapai</v>
      </c>
      <c r="I123" s="279">
        <f t="shared" ref="I123:AU123" si="87">I63*I$114</f>
        <v>250</v>
      </c>
      <c r="J123" s="279">
        <f t="shared" si="87"/>
        <v>257</v>
      </c>
      <c r="K123" s="279">
        <f t="shared" si="87"/>
        <v>274.99</v>
      </c>
      <c r="L123" s="279">
        <f t="shared" si="87"/>
        <v>286.81457</v>
      </c>
      <c r="M123" s="279">
        <f t="shared" si="87"/>
        <v>307.17840446999998</v>
      </c>
      <c r="N123" s="279">
        <f t="shared" si="87"/>
        <v>328.98807118737</v>
      </c>
      <c r="O123" s="279">
        <f t="shared" si="87"/>
        <v>352.34622424167327</v>
      </c>
      <c r="P123" s="279">
        <f t="shared" si="87"/>
        <v>377.3628061628321</v>
      </c>
      <c r="Q123" s="279">
        <f t="shared" si="87"/>
        <v>404.15556540039313</v>
      </c>
      <c r="R123" s="279">
        <f t="shared" si="87"/>
        <v>432.85061054382106</v>
      </c>
      <c r="S123" s="279">
        <f t="shared" si="87"/>
        <v>463.58300389243232</v>
      </c>
      <c r="T123" s="279">
        <f t="shared" si="87"/>
        <v>496.49739716879503</v>
      </c>
      <c r="U123" s="279">
        <f t="shared" si="87"/>
        <v>531.74871236777938</v>
      </c>
      <c r="V123" s="279">
        <f t="shared" si="87"/>
        <v>569.50287094589169</v>
      </c>
      <c r="W123" s="279">
        <f t="shared" si="87"/>
        <v>609.93757478304997</v>
      </c>
      <c r="X123" s="279">
        <f t="shared" si="87"/>
        <v>653.24314259264645</v>
      </c>
      <c r="Y123" s="279">
        <f t="shared" si="87"/>
        <v>699.62340571672428</v>
      </c>
      <c r="Z123" s="279">
        <f t="shared" si="87"/>
        <v>749.29666752261176</v>
      </c>
      <c r="AA123" s="279">
        <f t="shared" si="87"/>
        <v>802.49673091671718</v>
      </c>
      <c r="AB123" s="279">
        <f t="shared" si="87"/>
        <v>859.47399881180399</v>
      </c>
      <c r="AC123" s="279">
        <f t="shared" si="87"/>
        <v>920.49665272744198</v>
      </c>
      <c r="AD123" s="279">
        <f t="shared" si="87"/>
        <v>985.85191507109027</v>
      </c>
      <c r="AE123" s="279">
        <f t="shared" si="87"/>
        <v>1583.7711015617065</v>
      </c>
      <c r="AF123" s="279">
        <f t="shared" si="87"/>
        <v>1696.2188497725874</v>
      </c>
      <c r="AG123" s="279">
        <f t="shared" si="87"/>
        <v>1816.6503881064411</v>
      </c>
      <c r="AH123" s="279">
        <f t="shared" si="87"/>
        <v>1945.6325656619983</v>
      </c>
      <c r="AI123" s="279">
        <f t="shared" si="87"/>
        <v>3278.4686984430937</v>
      </c>
      <c r="AJ123" s="279">
        <f t="shared" si="87"/>
        <v>3511.2399760325529</v>
      </c>
      <c r="AK123" s="279">
        <f t="shared" si="87"/>
        <v>3760.5380143308639</v>
      </c>
      <c r="AL123" s="279">
        <f t="shared" si="87"/>
        <v>4027.5362133483554</v>
      </c>
      <c r="AM123" s="279">
        <f t="shared" si="87"/>
        <v>11332.053374523623</v>
      </c>
      <c r="AN123" s="279">
        <f t="shared" si="87"/>
        <v>12136.629164114798</v>
      </c>
      <c r="AO123" s="279">
        <f t="shared" si="87"/>
        <v>12998.329834766948</v>
      </c>
      <c r="AP123" s="279">
        <f t="shared" si="87"/>
        <v>13921.211253035401</v>
      </c>
      <c r="AQ123" s="279">
        <f t="shared" si="87"/>
        <v>14909.617252000915</v>
      </c>
      <c r="AR123" s="279">
        <f t="shared" si="87"/>
        <v>15968.200076892977</v>
      </c>
      <c r="AS123" s="279">
        <f t="shared" si="87"/>
        <v>17101.942282352378</v>
      </c>
      <c r="AT123" s="279">
        <f t="shared" si="87"/>
        <v>18316.180184399396</v>
      </c>
      <c r="AU123" s="279">
        <f t="shared" si="87"/>
        <v>19616.62897749175</v>
      </c>
      <c r="AX123" s="280"/>
      <c r="AY123" s="280"/>
      <c r="AZ123" s="280"/>
      <c r="BA123" s="280"/>
      <c r="BB123" s="280"/>
      <c r="BC123" s="280"/>
      <c r="BD123" s="280"/>
      <c r="BE123" s="280"/>
      <c r="BF123" s="280"/>
      <c r="BG123" s="280"/>
      <c r="BH123" s="280"/>
      <c r="BI123" s="280"/>
      <c r="BJ123" s="280"/>
      <c r="BK123" s="280"/>
      <c r="BL123" s="280"/>
      <c r="BM123" s="280"/>
      <c r="BN123" s="280"/>
      <c r="BO123" s="280"/>
      <c r="BP123" s="280"/>
      <c r="BQ123" s="280"/>
      <c r="BR123" s="280"/>
      <c r="BS123" s="280"/>
      <c r="BT123" s="280"/>
      <c r="BU123" s="280"/>
      <c r="BV123" s="280"/>
      <c r="BW123" s="280"/>
      <c r="BX123" s="280"/>
      <c r="BY123" s="280"/>
      <c r="BZ123" s="280"/>
      <c r="CA123" s="280"/>
      <c r="CB123" s="280"/>
      <c r="CC123" s="280"/>
      <c r="CD123" s="280"/>
      <c r="CE123" s="280"/>
      <c r="CF123" s="280"/>
      <c r="CG123" s="280"/>
      <c r="CH123" s="280"/>
      <c r="CI123" s="280"/>
      <c r="CJ123" s="280"/>
      <c r="CL123" s="281"/>
      <c r="CM123" s="281"/>
      <c r="CN123" s="281"/>
      <c r="CO123" s="281"/>
      <c r="CP123" s="281"/>
      <c r="CQ123" s="281"/>
      <c r="CR123" s="281"/>
      <c r="CS123" s="281"/>
      <c r="CT123" s="281"/>
      <c r="CU123" s="281"/>
      <c r="CV123" s="281"/>
      <c r="CW123" s="281"/>
      <c r="CX123" s="281"/>
      <c r="CY123" s="281"/>
      <c r="CZ123" s="281"/>
      <c r="DA123" s="281"/>
      <c r="DB123" s="281"/>
      <c r="DC123" s="281"/>
      <c r="DD123" s="281"/>
      <c r="DE123" s="281"/>
      <c r="DF123" s="281"/>
      <c r="DG123" s="281"/>
      <c r="DH123" s="281"/>
      <c r="DI123" s="281"/>
      <c r="DJ123" s="281"/>
      <c r="DK123" s="281"/>
      <c r="DL123" s="281"/>
      <c r="DM123" s="281"/>
      <c r="DN123" s="281"/>
      <c r="DO123" s="281"/>
      <c r="DP123" s="281"/>
      <c r="DQ123" s="281"/>
      <c r="DR123" s="281"/>
      <c r="DS123" s="281"/>
      <c r="DT123" s="281"/>
      <c r="DU123" s="281"/>
      <c r="DV123" s="281"/>
      <c r="DW123" s="281"/>
      <c r="DX123" s="281"/>
    </row>
    <row r="124" spans="1:128" x14ac:dyDescent="0.3">
      <c r="A124" s="245" t="str">
        <f t="shared" si="80"/>
        <v>Inner North-West</v>
      </c>
      <c r="B124" s="245" t="str">
        <f t="shared" si="80"/>
        <v>Whenuapai Business</v>
      </c>
      <c r="C124" s="245">
        <f t="shared" si="80"/>
        <v>2025</v>
      </c>
      <c r="D124" s="245">
        <f t="shared" si="80"/>
        <v>2021</v>
      </c>
      <c r="E124" s="245">
        <f t="shared" si="80"/>
        <v>2025</v>
      </c>
      <c r="F124" s="245">
        <f t="shared" si="80"/>
        <v>2029</v>
      </c>
      <c r="G124" s="245" t="str">
        <f t="shared" si="81"/>
        <v/>
      </c>
      <c r="H124" s="245" t="str">
        <f t="shared" si="82"/>
        <v>Whenuapai</v>
      </c>
      <c r="I124" s="279">
        <f t="shared" ref="I124:AU124" si="88">I64*I$114</f>
        <v>375</v>
      </c>
      <c r="J124" s="279">
        <f t="shared" si="88"/>
        <v>606.52</v>
      </c>
      <c r="K124" s="279">
        <f t="shared" si="88"/>
        <v>648.97640000000001</v>
      </c>
      <c r="L124" s="279">
        <f t="shared" si="88"/>
        <v>676.88238519999993</v>
      </c>
      <c r="M124" s="279">
        <f t="shared" si="88"/>
        <v>724.94103454920003</v>
      </c>
      <c r="N124" s="279">
        <f t="shared" si="88"/>
        <v>2039.7260413616941</v>
      </c>
      <c r="O124" s="279">
        <f t="shared" si="88"/>
        <v>2184.5465902983742</v>
      </c>
      <c r="P124" s="279">
        <f t="shared" si="88"/>
        <v>2339.649398209559</v>
      </c>
      <c r="Q124" s="279">
        <f t="shared" si="88"/>
        <v>2505.7645054824375</v>
      </c>
      <c r="R124" s="279">
        <f t="shared" si="88"/>
        <v>2683.6737853716904</v>
      </c>
      <c r="S124" s="279">
        <f t="shared" si="88"/>
        <v>2874.2146241330806</v>
      </c>
      <c r="T124" s="279">
        <f t="shared" si="88"/>
        <v>3078.2838624465294</v>
      </c>
      <c r="U124" s="279">
        <f t="shared" si="88"/>
        <v>3296.8420166802325</v>
      </c>
      <c r="V124" s="279">
        <f t="shared" si="88"/>
        <v>3530.9177998645287</v>
      </c>
      <c r="W124" s="279">
        <f t="shared" si="88"/>
        <v>3781.6129636549099</v>
      </c>
      <c r="X124" s="279">
        <f t="shared" si="88"/>
        <v>4050.1074840744081</v>
      </c>
      <c r="Y124" s="279">
        <f t="shared" si="88"/>
        <v>4337.6651154436904</v>
      </c>
      <c r="Z124" s="279">
        <f t="shared" si="88"/>
        <v>4645.6393386401924</v>
      </c>
      <c r="AA124" s="279">
        <f t="shared" si="88"/>
        <v>4975.4797316836466</v>
      </c>
      <c r="AB124" s="279">
        <f t="shared" si="88"/>
        <v>5328.7387926331849</v>
      </c>
      <c r="AC124" s="279">
        <f t="shared" si="88"/>
        <v>5707.0792469101398</v>
      </c>
      <c r="AD124" s="279">
        <f t="shared" si="88"/>
        <v>6112.2818734407592</v>
      </c>
      <c r="AE124" s="279">
        <f t="shared" si="88"/>
        <v>6546.2538864550534</v>
      </c>
      <c r="AF124" s="279">
        <f t="shared" si="88"/>
        <v>7011.0379123933617</v>
      </c>
      <c r="AG124" s="279">
        <f t="shared" si="88"/>
        <v>7508.8216041732894</v>
      </c>
      <c r="AH124" s="279">
        <f t="shared" si="88"/>
        <v>8041.947938069593</v>
      </c>
      <c r="AI124" s="279">
        <f t="shared" si="88"/>
        <v>8612.9262416725342</v>
      </c>
      <c r="AJ124" s="279">
        <f t="shared" si="88"/>
        <v>9224.4440048312827</v>
      </c>
      <c r="AK124" s="279">
        <f t="shared" si="88"/>
        <v>9879.3795291743045</v>
      </c>
      <c r="AL124" s="279">
        <f t="shared" si="88"/>
        <v>10580.81547574568</v>
      </c>
      <c r="AM124" s="279">
        <f t="shared" si="88"/>
        <v>11332.053374523623</v>
      </c>
      <c r="AN124" s="279">
        <f t="shared" si="88"/>
        <v>12136.629164114798</v>
      </c>
      <c r="AO124" s="279">
        <f t="shared" si="88"/>
        <v>12998.329834766948</v>
      </c>
      <c r="AP124" s="279">
        <f t="shared" si="88"/>
        <v>13921.211253035401</v>
      </c>
      <c r="AQ124" s="279">
        <f t="shared" si="88"/>
        <v>14909.617252000915</v>
      </c>
      <c r="AR124" s="279">
        <f t="shared" si="88"/>
        <v>15968.200076892977</v>
      </c>
      <c r="AS124" s="279">
        <f t="shared" si="88"/>
        <v>17101.942282352378</v>
      </c>
      <c r="AT124" s="279">
        <f t="shared" si="88"/>
        <v>18316.180184399396</v>
      </c>
      <c r="AU124" s="279">
        <f t="shared" si="88"/>
        <v>19616.62897749175</v>
      </c>
      <c r="AX124" s="280"/>
      <c r="AY124" s="280"/>
      <c r="AZ124" s="280"/>
      <c r="BA124" s="280"/>
      <c r="BB124" s="280"/>
      <c r="BC124" s="280"/>
      <c r="BD124" s="280"/>
      <c r="BE124" s="280"/>
      <c r="BF124" s="280"/>
      <c r="BG124" s="280"/>
      <c r="BH124" s="280"/>
      <c r="BI124" s="280"/>
      <c r="BJ124" s="280"/>
      <c r="BK124" s="280"/>
      <c r="BL124" s="280"/>
      <c r="BM124" s="280"/>
      <c r="BN124" s="280"/>
      <c r="BO124" s="280"/>
      <c r="BP124" s="280"/>
      <c r="BQ124" s="280"/>
      <c r="BR124" s="280"/>
      <c r="BS124" s="280"/>
      <c r="BT124" s="280"/>
      <c r="BU124" s="280"/>
      <c r="BV124" s="280"/>
      <c r="BW124" s="280"/>
      <c r="BX124" s="280"/>
      <c r="BY124" s="280"/>
      <c r="BZ124" s="280"/>
      <c r="CA124" s="280"/>
      <c r="CB124" s="280"/>
      <c r="CC124" s="280"/>
      <c r="CD124" s="280"/>
      <c r="CE124" s="280"/>
      <c r="CF124" s="280"/>
      <c r="CG124" s="280"/>
      <c r="CH124" s="280"/>
      <c r="CI124" s="280"/>
      <c r="CJ124" s="280"/>
      <c r="CL124" s="281"/>
      <c r="CM124" s="281"/>
      <c r="CN124" s="281"/>
      <c r="CO124" s="281"/>
      <c r="CP124" s="281"/>
      <c r="CQ124" s="281"/>
      <c r="CR124" s="281"/>
      <c r="CS124" s="281"/>
      <c r="CT124" s="281"/>
      <c r="CU124" s="281"/>
      <c r="CV124" s="281"/>
      <c r="CW124" s="281"/>
      <c r="CX124" s="281"/>
      <c r="CY124" s="281"/>
      <c r="CZ124" s="281"/>
      <c r="DA124" s="281"/>
      <c r="DB124" s="281"/>
      <c r="DC124" s="281"/>
      <c r="DD124" s="281"/>
      <c r="DE124" s="281"/>
      <c r="DF124" s="281"/>
      <c r="DG124" s="281"/>
      <c r="DH124" s="281"/>
      <c r="DI124" s="281"/>
      <c r="DJ124" s="281"/>
      <c r="DK124" s="281"/>
      <c r="DL124" s="281"/>
      <c r="DM124" s="281"/>
      <c r="DN124" s="281"/>
      <c r="DO124" s="281"/>
      <c r="DP124" s="281"/>
      <c r="DQ124" s="281"/>
      <c r="DR124" s="281"/>
      <c r="DS124" s="281"/>
      <c r="DT124" s="281"/>
      <c r="DU124" s="281"/>
      <c r="DV124" s="281"/>
      <c r="DW124" s="281"/>
      <c r="DX124" s="281"/>
    </row>
    <row r="125" spans="1:128" x14ac:dyDescent="0.3">
      <c r="A125" s="245" t="str">
        <f t="shared" si="80"/>
        <v>Inner North-West</v>
      </c>
      <c r="B125" s="245" t="str">
        <f t="shared" si="80"/>
        <v>Whenuapai East/South</v>
      </c>
      <c r="C125" s="245">
        <f t="shared" si="80"/>
        <v>2035</v>
      </c>
      <c r="D125" s="245">
        <f t="shared" si="80"/>
        <v>2031</v>
      </c>
      <c r="E125" s="245">
        <f t="shared" si="80"/>
        <v>2035</v>
      </c>
      <c r="F125" s="245">
        <f t="shared" si="80"/>
        <v>2039</v>
      </c>
      <c r="G125" s="245" t="str">
        <f t="shared" si="81"/>
        <v>same timing for East and South</v>
      </c>
      <c r="H125" s="245" t="str">
        <f t="shared" si="82"/>
        <v>Whenuapai</v>
      </c>
      <c r="I125" s="279">
        <f t="shared" ref="I125:AU125" si="89">I65*I$114</f>
        <v>250</v>
      </c>
      <c r="J125" s="279">
        <f t="shared" si="89"/>
        <v>257</v>
      </c>
      <c r="K125" s="279">
        <f t="shared" si="89"/>
        <v>274.99</v>
      </c>
      <c r="L125" s="279">
        <f t="shared" si="89"/>
        <v>286.81457</v>
      </c>
      <c r="M125" s="279">
        <f t="shared" si="89"/>
        <v>307.17840446999998</v>
      </c>
      <c r="N125" s="279">
        <f t="shared" si="89"/>
        <v>328.98807118737</v>
      </c>
      <c r="O125" s="279">
        <f t="shared" si="89"/>
        <v>352.34622424167327</v>
      </c>
      <c r="P125" s="279">
        <f t="shared" si="89"/>
        <v>566.04420924424812</v>
      </c>
      <c r="Q125" s="279">
        <f t="shared" si="89"/>
        <v>606.23334810058975</v>
      </c>
      <c r="R125" s="279">
        <f t="shared" si="89"/>
        <v>649.27591581573165</v>
      </c>
      <c r="S125" s="279">
        <f t="shared" si="89"/>
        <v>695.37450583864847</v>
      </c>
      <c r="T125" s="279">
        <f t="shared" si="89"/>
        <v>1171.7338573183563</v>
      </c>
      <c r="U125" s="279">
        <f t="shared" si="89"/>
        <v>1254.9269611879595</v>
      </c>
      <c r="V125" s="279">
        <f t="shared" si="89"/>
        <v>1344.0267754323045</v>
      </c>
      <c r="W125" s="279">
        <f t="shared" si="89"/>
        <v>1439.4526764879979</v>
      </c>
      <c r="X125" s="279">
        <f t="shared" si="89"/>
        <v>4050.1074840744081</v>
      </c>
      <c r="Y125" s="279">
        <f t="shared" si="89"/>
        <v>4337.6651154436904</v>
      </c>
      <c r="Z125" s="279">
        <f t="shared" si="89"/>
        <v>4645.6393386401924</v>
      </c>
      <c r="AA125" s="279">
        <f t="shared" si="89"/>
        <v>4975.4797316836466</v>
      </c>
      <c r="AB125" s="279">
        <f t="shared" si="89"/>
        <v>5328.7387926331849</v>
      </c>
      <c r="AC125" s="279">
        <f t="shared" si="89"/>
        <v>5707.0792469101398</v>
      </c>
      <c r="AD125" s="279">
        <f t="shared" si="89"/>
        <v>6112.2818734407592</v>
      </c>
      <c r="AE125" s="279">
        <f t="shared" si="89"/>
        <v>6546.2538864550534</v>
      </c>
      <c r="AF125" s="279">
        <f t="shared" si="89"/>
        <v>7011.0379123933617</v>
      </c>
      <c r="AG125" s="279">
        <f t="shared" si="89"/>
        <v>7508.8216041732894</v>
      </c>
      <c r="AH125" s="279">
        <f t="shared" si="89"/>
        <v>8041.947938069593</v>
      </c>
      <c r="AI125" s="279">
        <f t="shared" si="89"/>
        <v>8612.9262416725342</v>
      </c>
      <c r="AJ125" s="279">
        <f t="shared" si="89"/>
        <v>9224.4440048312827</v>
      </c>
      <c r="AK125" s="279">
        <f t="shared" si="89"/>
        <v>9879.3795291743045</v>
      </c>
      <c r="AL125" s="279">
        <f t="shared" si="89"/>
        <v>10580.81547574568</v>
      </c>
      <c r="AM125" s="279">
        <f t="shared" si="89"/>
        <v>11332.053374523623</v>
      </c>
      <c r="AN125" s="279">
        <f t="shared" si="89"/>
        <v>12136.629164114798</v>
      </c>
      <c r="AO125" s="279">
        <f t="shared" si="89"/>
        <v>12998.329834766948</v>
      </c>
      <c r="AP125" s="279">
        <f t="shared" si="89"/>
        <v>13921.211253035401</v>
      </c>
      <c r="AQ125" s="279">
        <f t="shared" si="89"/>
        <v>14909.617252000915</v>
      </c>
      <c r="AR125" s="279">
        <f t="shared" si="89"/>
        <v>15968.200076892977</v>
      </c>
      <c r="AS125" s="279">
        <f t="shared" si="89"/>
        <v>17101.942282352378</v>
      </c>
      <c r="AT125" s="279">
        <f t="shared" si="89"/>
        <v>18316.180184399396</v>
      </c>
      <c r="AU125" s="279">
        <f t="shared" si="89"/>
        <v>19616.62897749175</v>
      </c>
      <c r="AX125" s="280"/>
      <c r="AY125" s="280"/>
      <c r="AZ125" s="280"/>
      <c r="BA125" s="280"/>
      <c r="BB125" s="280"/>
      <c r="BC125" s="280"/>
      <c r="BD125" s="280"/>
      <c r="BE125" s="280"/>
      <c r="BF125" s="280"/>
      <c r="BG125" s="280"/>
      <c r="BH125" s="280"/>
      <c r="BI125" s="280"/>
      <c r="BJ125" s="280"/>
      <c r="BK125" s="280"/>
      <c r="BL125" s="280"/>
      <c r="BM125" s="280"/>
      <c r="BN125" s="280"/>
      <c r="BO125" s="280"/>
      <c r="BP125" s="280"/>
      <c r="BQ125" s="280"/>
      <c r="BR125" s="280"/>
      <c r="BS125" s="280"/>
      <c r="BT125" s="280"/>
      <c r="BU125" s="280"/>
      <c r="BV125" s="280"/>
      <c r="BW125" s="280"/>
      <c r="BX125" s="280"/>
      <c r="BY125" s="280"/>
      <c r="BZ125" s="280"/>
      <c r="CA125" s="280"/>
      <c r="CB125" s="280"/>
      <c r="CC125" s="280"/>
      <c r="CD125" s="280"/>
      <c r="CE125" s="280"/>
      <c r="CF125" s="280"/>
      <c r="CG125" s="280"/>
      <c r="CH125" s="280"/>
      <c r="CI125" s="280"/>
      <c r="CJ125" s="280"/>
      <c r="CL125" s="281"/>
      <c r="CM125" s="281"/>
      <c r="CN125" s="281"/>
      <c r="CO125" s="281"/>
      <c r="CP125" s="281"/>
      <c r="CQ125" s="281"/>
      <c r="CR125" s="281"/>
      <c r="CS125" s="281"/>
      <c r="CT125" s="281"/>
      <c r="CU125" s="281"/>
      <c r="CV125" s="281"/>
      <c r="CW125" s="281"/>
      <c r="CX125" s="281"/>
      <c r="CY125" s="281"/>
      <c r="CZ125" s="281"/>
      <c r="DA125" s="281"/>
      <c r="DB125" s="281"/>
      <c r="DC125" s="281"/>
      <c r="DD125" s="281"/>
      <c r="DE125" s="281"/>
      <c r="DF125" s="281"/>
      <c r="DG125" s="281"/>
      <c r="DH125" s="281"/>
      <c r="DI125" s="281"/>
      <c r="DJ125" s="281"/>
      <c r="DK125" s="281"/>
      <c r="DL125" s="281"/>
      <c r="DM125" s="281"/>
      <c r="DN125" s="281"/>
      <c r="DO125" s="281"/>
      <c r="DP125" s="281"/>
      <c r="DQ125" s="281"/>
      <c r="DR125" s="281"/>
      <c r="DS125" s="281"/>
      <c r="DT125" s="281"/>
      <c r="DU125" s="281"/>
      <c r="DV125" s="281"/>
      <c r="DW125" s="281"/>
      <c r="DX125" s="281"/>
    </row>
    <row r="126" spans="1:128" x14ac:dyDescent="0.3">
      <c r="A126" s="245" t="str">
        <f t="shared" si="80"/>
        <v>Inner North-West</v>
      </c>
      <c r="B126" s="245" t="str">
        <f t="shared" si="80"/>
        <v>Spedding Rd PC Area</v>
      </c>
      <c r="C126" s="245">
        <f t="shared" si="80"/>
        <v>2028</v>
      </c>
      <c r="D126" s="245">
        <f t="shared" si="80"/>
        <v>2024</v>
      </c>
      <c r="E126" s="245">
        <f t="shared" si="80"/>
        <v>2028</v>
      </c>
      <c r="F126" s="245">
        <f t="shared" si="80"/>
        <v>2032</v>
      </c>
      <c r="G126" s="245" t="str">
        <f t="shared" si="81"/>
        <v>The Spedding Rd PC area is constrained for development until the bulk network HIF wastewater upgrades are complete, estimated end of 2028.</v>
      </c>
      <c r="H126" s="245" t="str">
        <f t="shared" si="82"/>
        <v>NA</v>
      </c>
      <c r="I126" s="279" t="e">
        <f t="shared" ref="I126:AU126" si="90">I66*I$114</f>
        <v>#N/A</v>
      </c>
      <c r="J126" s="279" t="e">
        <f t="shared" si="90"/>
        <v>#N/A</v>
      </c>
      <c r="K126" s="279" t="e">
        <f t="shared" si="90"/>
        <v>#N/A</v>
      </c>
      <c r="L126" s="279" t="e">
        <f t="shared" si="90"/>
        <v>#N/A</v>
      </c>
      <c r="M126" s="279" t="e">
        <f t="shared" si="90"/>
        <v>#N/A</v>
      </c>
      <c r="N126" s="279" t="e">
        <f t="shared" si="90"/>
        <v>#N/A</v>
      </c>
      <c r="O126" s="279" t="e">
        <f t="shared" si="90"/>
        <v>#N/A</v>
      </c>
      <c r="P126" s="279" t="e">
        <f t="shared" si="90"/>
        <v>#N/A</v>
      </c>
      <c r="Q126" s="279" t="e">
        <f t="shared" si="90"/>
        <v>#N/A</v>
      </c>
      <c r="R126" s="279" t="e">
        <f t="shared" si="90"/>
        <v>#N/A</v>
      </c>
      <c r="S126" s="279" t="e">
        <f t="shared" si="90"/>
        <v>#N/A</v>
      </c>
      <c r="T126" s="279" t="e">
        <f t="shared" si="90"/>
        <v>#N/A</v>
      </c>
      <c r="U126" s="279" t="e">
        <f t="shared" si="90"/>
        <v>#N/A</v>
      </c>
      <c r="V126" s="279" t="e">
        <f t="shared" si="90"/>
        <v>#N/A</v>
      </c>
      <c r="W126" s="279" t="e">
        <f t="shared" si="90"/>
        <v>#N/A</v>
      </c>
      <c r="X126" s="279" t="e">
        <f t="shared" si="90"/>
        <v>#N/A</v>
      </c>
      <c r="Y126" s="279" t="e">
        <f t="shared" si="90"/>
        <v>#N/A</v>
      </c>
      <c r="Z126" s="279" t="e">
        <f t="shared" si="90"/>
        <v>#N/A</v>
      </c>
      <c r="AA126" s="279" t="e">
        <f t="shared" si="90"/>
        <v>#N/A</v>
      </c>
      <c r="AB126" s="279" t="e">
        <f t="shared" si="90"/>
        <v>#N/A</v>
      </c>
      <c r="AC126" s="279" t="e">
        <f t="shared" si="90"/>
        <v>#N/A</v>
      </c>
      <c r="AD126" s="279" t="e">
        <f t="shared" si="90"/>
        <v>#N/A</v>
      </c>
      <c r="AE126" s="279" t="e">
        <f t="shared" si="90"/>
        <v>#N/A</v>
      </c>
      <c r="AF126" s="279" t="e">
        <f t="shared" si="90"/>
        <v>#N/A</v>
      </c>
      <c r="AG126" s="279" t="e">
        <f t="shared" si="90"/>
        <v>#N/A</v>
      </c>
      <c r="AH126" s="279" t="e">
        <f t="shared" si="90"/>
        <v>#N/A</v>
      </c>
      <c r="AI126" s="279" t="e">
        <f t="shared" si="90"/>
        <v>#N/A</v>
      </c>
      <c r="AJ126" s="279" t="e">
        <f t="shared" si="90"/>
        <v>#N/A</v>
      </c>
      <c r="AK126" s="279" t="e">
        <f t="shared" si="90"/>
        <v>#N/A</v>
      </c>
      <c r="AL126" s="279" t="e">
        <f t="shared" si="90"/>
        <v>#N/A</v>
      </c>
      <c r="AM126" s="279" t="e">
        <f t="shared" si="90"/>
        <v>#N/A</v>
      </c>
      <c r="AN126" s="279" t="e">
        <f t="shared" si="90"/>
        <v>#N/A</v>
      </c>
      <c r="AO126" s="279" t="e">
        <f t="shared" si="90"/>
        <v>#N/A</v>
      </c>
      <c r="AP126" s="279" t="e">
        <f t="shared" si="90"/>
        <v>#N/A</v>
      </c>
      <c r="AQ126" s="279" t="e">
        <f t="shared" si="90"/>
        <v>#N/A</v>
      </c>
      <c r="AR126" s="279" t="e">
        <f t="shared" si="90"/>
        <v>#N/A</v>
      </c>
      <c r="AS126" s="279" t="e">
        <f t="shared" si="90"/>
        <v>#N/A</v>
      </c>
      <c r="AT126" s="279" t="e">
        <f t="shared" si="90"/>
        <v>#N/A</v>
      </c>
      <c r="AU126" s="279" t="e">
        <f t="shared" si="90"/>
        <v>#N/A</v>
      </c>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0"/>
      <c r="CE126" s="280"/>
      <c r="CF126" s="280"/>
      <c r="CG126" s="280"/>
      <c r="CH126" s="280"/>
      <c r="CI126" s="280"/>
      <c r="CJ126" s="280"/>
      <c r="CL126" s="281"/>
      <c r="CM126" s="281"/>
      <c r="CN126" s="281"/>
      <c r="CO126" s="281"/>
      <c r="CP126" s="281"/>
      <c r="CQ126" s="281"/>
      <c r="CR126" s="281"/>
      <c r="CS126" s="281"/>
      <c r="CT126" s="281"/>
      <c r="CU126" s="281"/>
      <c r="CV126" s="281"/>
      <c r="CW126" s="281"/>
      <c r="CX126" s="281"/>
      <c r="CY126" s="281"/>
      <c r="CZ126" s="281"/>
      <c r="DA126" s="281"/>
      <c r="DB126" s="281"/>
      <c r="DC126" s="281"/>
      <c r="DD126" s="281"/>
      <c r="DE126" s="281"/>
      <c r="DF126" s="281"/>
      <c r="DG126" s="281"/>
      <c r="DH126" s="281"/>
      <c r="DI126" s="281"/>
      <c r="DJ126" s="281"/>
      <c r="DK126" s="281"/>
      <c r="DL126" s="281"/>
      <c r="DM126" s="281"/>
      <c r="DN126" s="281"/>
      <c r="DO126" s="281"/>
      <c r="DP126" s="281"/>
      <c r="DQ126" s="281"/>
      <c r="DR126" s="281"/>
      <c r="DS126" s="281"/>
      <c r="DT126" s="281"/>
      <c r="DU126" s="281"/>
      <c r="DV126" s="281"/>
      <c r="DW126" s="281"/>
      <c r="DX126" s="281"/>
    </row>
    <row r="127" spans="1:128" x14ac:dyDescent="0.3">
      <c r="A127" s="245" t="str">
        <f t="shared" si="80"/>
        <v>Inner North-West</v>
      </c>
      <c r="B127" s="245" t="str">
        <f t="shared" si="80"/>
        <v>Westgate</v>
      </c>
      <c r="C127" s="245" t="str">
        <f t="shared" si="80"/>
        <v>SUL ongoing</v>
      </c>
      <c r="D127" s="245">
        <f t="shared" si="80"/>
        <v>0</v>
      </c>
      <c r="E127" s="245">
        <f t="shared" si="80"/>
        <v>0</v>
      </c>
      <c r="F127" s="245">
        <f t="shared" si="80"/>
        <v>2024</v>
      </c>
      <c r="G127" s="245" t="str">
        <f t="shared" si="81"/>
        <v>Westgate does not contain bulk infrastructure constraints and development has been progressing across the area for many years. Consider in SUL stage ongoing.</v>
      </c>
      <c r="H127" s="245" t="str">
        <f t="shared" si="82"/>
        <v>Redhills</v>
      </c>
      <c r="I127" s="279">
        <f t="shared" ref="I127:AU127" si="91">I67*I$114</f>
        <v>1425</v>
      </c>
      <c r="J127" s="279">
        <f t="shared" si="91"/>
        <v>1464.9</v>
      </c>
      <c r="K127" s="279">
        <f t="shared" si="91"/>
        <v>1567.443</v>
      </c>
      <c r="L127" s="279">
        <f t="shared" si="91"/>
        <v>1634.8430489999998</v>
      </c>
      <c r="M127" s="279">
        <f t="shared" si="91"/>
        <v>1750.916905479</v>
      </c>
      <c r="N127" s="279">
        <f t="shared" si="91"/>
        <v>1875.232005768009</v>
      </c>
      <c r="O127" s="279">
        <f t="shared" si="91"/>
        <v>2008.3734781775377</v>
      </c>
      <c r="P127" s="279">
        <f t="shared" si="91"/>
        <v>2150.9679951281428</v>
      </c>
      <c r="Q127" s="279">
        <f t="shared" si="91"/>
        <v>2303.6867227822408</v>
      </c>
      <c r="R127" s="279">
        <f t="shared" si="91"/>
        <v>2467.24848009978</v>
      </c>
      <c r="S127" s="279">
        <f t="shared" si="91"/>
        <v>2642.4231221868645</v>
      </c>
      <c r="T127" s="279">
        <f t="shared" si="91"/>
        <v>2830.0351638621319</v>
      </c>
      <c r="U127" s="279">
        <f t="shared" si="91"/>
        <v>3030.9676604963429</v>
      </c>
      <c r="V127" s="279">
        <f t="shared" si="91"/>
        <v>3246.1663643915826</v>
      </c>
      <c r="W127" s="279">
        <f t="shared" si="91"/>
        <v>3476.6441762633849</v>
      </c>
      <c r="X127" s="279">
        <f t="shared" si="91"/>
        <v>3723.4859127780851</v>
      </c>
      <c r="Y127" s="279">
        <f t="shared" si="91"/>
        <v>3987.8534125853284</v>
      </c>
      <c r="Z127" s="279">
        <f t="shared" si="91"/>
        <v>4270.991004878887</v>
      </c>
      <c r="AA127" s="279">
        <f t="shared" si="91"/>
        <v>4574.2313662252873</v>
      </c>
      <c r="AB127" s="279">
        <f t="shared" si="91"/>
        <v>4899.0017932272831</v>
      </c>
      <c r="AC127" s="279">
        <f t="shared" si="91"/>
        <v>5246.8309205464193</v>
      </c>
      <c r="AD127" s="279">
        <f t="shared" si="91"/>
        <v>5619.3559159052147</v>
      </c>
      <c r="AE127" s="279">
        <f t="shared" si="91"/>
        <v>6018.3301859344847</v>
      </c>
      <c r="AF127" s="279">
        <f t="shared" si="91"/>
        <v>6445.6316291358326</v>
      </c>
      <c r="AG127" s="279">
        <f t="shared" si="91"/>
        <v>6903.2714748044764</v>
      </c>
      <c r="AH127" s="279">
        <f t="shared" si="91"/>
        <v>7393.4037495155935</v>
      </c>
      <c r="AI127" s="279">
        <f t="shared" si="91"/>
        <v>7918.3354157312006</v>
      </c>
      <c r="AJ127" s="279">
        <f t="shared" si="91"/>
        <v>8480.5372302481155</v>
      </c>
      <c r="AK127" s="279">
        <f t="shared" si="91"/>
        <v>9082.6553735957314</v>
      </c>
      <c r="AL127" s="279">
        <f t="shared" si="91"/>
        <v>9727.5239051210283</v>
      </c>
      <c r="AM127" s="279">
        <f t="shared" si="91"/>
        <v>10418.17810238462</v>
      </c>
      <c r="AN127" s="279">
        <f t="shared" si="91"/>
        <v>11157.868747653927</v>
      </c>
      <c r="AO127" s="279">
        <f t="shared" si="91"/>
        <v>11950.077428737355</v>
      </c>
      <c r="AP127" s="279">
        <f t="shared" si="91"/>
        <v>12798.532926177708</v>
      </c>
      <c r="AQ127" s="279">
        <f t="shared" si="91"/>
        <v>13707.228763936324</v>
      </c>
      <c r="AR127" s="279">
        <f t="shared" si="91"/>
        <v>14680.442006175803</v>
      </c>
      <c r="AS127" s="279">
        <f t="shared" si="91"/>
        <v>15722.753388614283</v>
      </c>
      <c r="AT127" s="279">
        <f t="shared" si="91"/>
        <v>16839.068879205897</v>
      </c>
      <c r="AU127" s="279">
        <f t="shared" si="91"/>
        <v>18034.642769629514</v>
      </c>
      <c r="AX127" s="280"/>
      <c r="AY127" s="280"/>
      <c r="AZ127" s="280"/>
      <c r="BA127" s="280"/>
      <c r="BB127" s="280"/>
      <c r="BC127" s="280"/>
      <c r="BD127" s="280"/>
      <c r="BE127" s="280"/>
      <c r="BF127" s="280"/>
      <c r="BG127" s="280"/>
      <c r="BH127" s="280"/>
      <c r="BI127" s="280"/>
      <c r="BJ127" s="280"/>
      <c r="BK127" s="280"/>
      <c r="BL127" s="280"/>
      <c r="BM127" s="280"/>
      <c r="BN127" s="280"/>
      <c r="BO127" s="280"/>
      <c r="BP127" s="280"/>
      <c r="BQ127" s="280"/>
      <c r="BR127" s="280"/>
      <c r="BS127" s="280"/>
      <c r="BT127" s="280"/>
      <c r="BU127" s="280"/>
      <c r="BV127" s="280"/>
      <c r="BW127" s="280"/>
      <c r="BX127" s="280"/>
      <c r="BY127" s="280"/>
      <c r="BZ127" s="280"/>
      <c r="CA127" s="280"/>
      <c r="CB127" s="280"/>
      <c r="CC127" s="280"/>
      <c r="CD127" s="280"/>
      <c r="CE127" s="280"/>
      <c r="CF127" s="280"/>
      <c r="CG127" s="280"/>
      <c r="CH127" s="280"/>
      <c r="CI127" s="280"/>
      <c r="CJ127" s="280"/>
      <c r="CL127" s="281"/>
      <c r="CM127" s="281"/>
      <c r="CN127" s="281"/>
      <c r="CO127" s="281"/>
      <c r="CP127" s="281"/>
      <c r="CQ127" s="281"/>
      <c r="CR127" s="281"/>
      <c r="CS127" s="281"/>
      <c r="CT127" s="281"/>
      <c r="CU127" s="281"/>
      <c r="CV127" s="281"/>
      <c r="CW127" s="281"/>
      <c r="CX127" s="281"/>
      <c r="CY127" s="281"/>
      <c r="CZ127" s="281"/>
      <c r="DA127" s="281"/>
      <c r="DB127" s="281"/>
      <c r="DC127" s="281"/>
      <c r="DD127" s="281"/>
      <c r="DE127" s="281"/>
      <c r="DF127" s="281"/>
      <c r="DG127" s="281"/>
      <c r="DH127" s="281"/>
      <c r="DI127" s="281"/>
      <c r="DJ127" s="281"/>
      <c r="DK127" s="281"/>
      <c r="DL127" s="281"/>
      <c r="DM127" s="281"/>
      <c r="DN127" s="281"/>
      <c r="DO127" s="281"/>
      <c r="DP127" s="281"/>
      <c r="DQ127" s="281"/>
      <c r="DR127" s="281"/>
      <c r="DS127" s="281"/>
      <c r="DT127" s="281"/>
      <c r="DU127" s="281"/>
      <c r="DV127" s="281"/>
      <c r="DW127" s="281"/>
      <c r="DX127" s="281"/>
    </row>
    <row r="128" spans="1:128" x14ac:dyDescent="0.3">
      <c r="A128" s="245" t="str">
        <f t="shared" si="80"/>
        <v>Northwest</v>
      </c>
      <c r="B128" s="245" t="str">
        <f t="shared" si="80"/>
        <v>Kumeu-Huapai</v>
      </c>
      <c r="C128" s="245">
        <f t="shared" si="80"/>
        <v>2050</v>
      </c>
      <c r="D128" s="245">
        <f t="shared" si="80"/>
        <v>2046</v>
      </c>
      <c r="E128" s="245">
        <f t="shared" si="80"/>
        <v>2050</v>
      </c>
      <c r="F128" s="245">
        <f t="shared" si="80"/>
        <v>2054</v>
      </c>
      <c r="G128" s="245" t="str">
        <f t="shared" si="81"/>
        <v/>
      </c>
      <c r="H128" s="245" t="str">
        <f t="shared" si="82"/>
        <v>Riverhead-Huapai-Kumeu</v>
      </c>
      <c r="I128" s="279">
        <f t="shared" ref="I128:AU128" si="92">I68*I$114</f>
        <v>140</v>
      </c>
      <c r="J128" s="279">
        <f t="shared" si="92"/>
        <v>143.92000000000002</v>
      </c>
      <c r="K128" s="279">
        <f t="shared" si="92"/>
        <v>153.99440000000001</v>
      </c>
      <c r="L128" s="279">
        <f t="shared" si="92"/>
        <v>160.6161592</v>
      </c>
      <c r="M128" s="279">
        <f t="shared" si="92"/>
        <v>172.01990650319999</v>
      </c>
      <c r="N128" s="279">
        <f t="shared" si="92"/>
        <v>184.23331986492721</v>
      </c>
      <c r="O128" s="279">
        <f t="shared" si="92"/>
        <v>197.31388557533703</v>
      </c>
      <c r="P128" s="279">
        <f t="shared" si="92"/>
        <v>211.32317145118597</v>
      </c>
      <c r="Q128" s="279">
        <f t="shared" si="92"/>
        <v>226.32711662422017</v>
      </c>
      <c r="R128" s="279">
        <f t="shared" si="92"/>
        <v>242.39634190453981</v>
      </c>
      <c r="S128" s="279">
        <f t="shared" si="92"/>
        <v>259.60648217976211</v>
      </c>
      <c r="T128" s="279">
        <f t="shared" si="92"/>
        <v>278.03854241452524</v>
      </c>
      <c r="U128" s="279">
        <f t="shared" si="92"/>
        <v>297.77927892595648</v>
      </c>
      <c r="V128" s="279">
        <f t="shared" si="92"/>
        <v>318.92160772969936</v>
      </c>
      <c r="W128" s="279">
        <f t="shared" si="92"/>
        <v>341.565041878508</v>
      </c>
      <c r="X128" s="279">
        <f t="shared" si="92"/>
        <v>365.81615985188205</v>
      </c>
      <c r="Y128" s="279">
        <f t="shared" si="92"/>
        <v>391.7891072013656</v>
      </c>
      <c r="Z128" s="279">
        <f t="shared" si="92"/>
        <v>419.60613381266256</v>
      </c>
      <c r="AA128" s="279">
        <f t="shared" si="92"/>
        <v>449.39816931336162</v>
      </c>
      <c r="AB128" s="279">
        <f t="shared" si="92"/>
        <v>481.30543933461024</v>
      </c>
      <c r="AC128" s="279">
        <f t="shared" si="92"/>
        <v>515.47812552736752</v>
      </c>
      <c r="AD128" s="279">
        <f t="shared" si="92"/>
        <v>552.07707243981054</v>
      </c>
      <c r="AE128" s="279">
        <f t="shared" si="92"/>
        <v>1161.4321411452513</v>
      </c>
      <c r="AF128" s="279">
        <f t="shared" si="92"/>
        <v>1243.8938231665643</v>
      </c>
      <c r="AG128" s="279">
        <f t="shared" si="92"/>
        <v>1332.2102846113901</v>
      </c>
      <c r="AH128" s="279">
        <f t="shared" si="92"/>
        <v>1426.7972148187987</v>
      </c>
      <c r="AI128" s="279">
        <f t="shared" si="92"/>
        <v>2278.2579090875734</v>
      </c>
      <c r="AJ128" s="279">
        <f t="shared" si="92"/>
        <v>2440.014220632791</v>
      </c>
      <c r="AK128" s="279">
        <f t="shared" si="92"/>
        <v>2613.2552302977192</v>
      </c>
      <c r="AL128" s="279">
        <f t="shared" si="92"/>
        <v>2798.7963516488571</v>
      </c>
      <c r="AM128" s="279">
        <f t="shared" si="92"/>
        <v>9687.0778846734192</v>
      </c>
      <c r="AN128" s="279">
        <f t="shared" si="92"/>
        <v>10374.860414485231</v>
      </c>
      <c r="AO128" s="279">
        <f t="shared" si="92"/>
        <v>11111.475503913682</v>
      </c>
      <c r="AP128" s="279">
        <f t="shared" si="92"/>
        <v>11900.390264691552</v>
      </c>
      <c r="AQ128" s="279">
        <f t="shared" si="92"/>
        <v>12745.317973484653</v>
      </c>
      <c r="AR128" s="279">
        <f t="shared" si="92"/>
        <v>13650.235549602061</v>
      </c>
      <c r="AS128" s="279">
        <f t="shared" si="92"/>
        <v>14619.402273623806</v>
      </c>
      <c r="AT128" s="279">
        <f t="shared" si="92"/>
        <v>15657.379835051097</v>
      </c>
      <c r="AU128" s="279">
        <f t="shared" si="92"/>
        <v>16769.053803339724</v>
      </c>
      <c r="AX128" s="280"/>
      <c r="AY128" s="280"/>
      <c r="AZ128" s="280"/>
      <c r="BA128" s="280"/>
      <c r="BB128" s="280"/>
      <c r="BC128" s="280"/>
      <c r="BD128" s="280"/>
      <c r="BE128" s="280"/>
      <c r="BF128" s="280"/>
      <c r="BG128" s="280"/>
      <c r="BH128" s="280"/>
      <c r="BI128" s="280"/>
      <c r="BJ128" s="280"/>
      <c r="BK128" s="280"/>
      <c r="BL128" s="280"/>
      <c r="BM128" s="280"/>
      <c r="BN128" s="280"/>
      <c r="BO128" s="280"/>
      <c r="BP128" s="280"/>
      <c r="BQ128" s="280"/>
      <c r="BR128" s="280"/>
      <c r="BS128" s="280"/>
      <c r="BT128" s="280"/>
      <c r="BU128" s="280"/>
      <c r="BV128" s="280"/>
      <c r="BW128" s="280"/>
      <c r="BX128" s="280"/>
      <c r="BY128" s="280"/>
      <c r="BZ128" s="280"/>
      <c r="CA128" s="280"/>
      <c r="CB128" s="280"/>
      <c r="CC128" s="280"/>
      <c r="CD128" s="280"/>
      <c r="CE128" s="280"/>
      <c r="CF128" s="280"/>
      <c r="CG128" s="280"/>
      <c r="CH128" s="280"/>
      <c r="CI128" s="280"/>
      <c r="CJ128" s="280"/>
      <c r="CL128" s="281"/>
      <c r="CM128" s="281"/>
      <c r="CN128" s="281"/>
      <c r="CO128" s="281"/>
      <c r="CP128" s="281"/>
      <c r="CQ128" s="281"/>
      <c r="CR128" s="281"/>
      <c r="CS128" s="281"/>
      <c r="CT128" s="281"/>
      <c r="CU128" s="281"/>
      <c r="CV128" s="281"/>
      <c r="CW128" s="281"/>
      <c r="CX128" s="281"/>
      <c r="CY128" s="281"/>
      <c r="CZ128" s="281"/>
      <c r="DA128" s="281"/>
      <c r="DB128" s="281"/>
      <c r="DC128" s="281"/>
      <c r="DD128" s="281"/>
      <c r="DE128" s="281"/>
      <c r="DF128" s="281"/>
      <c r="DG128" s="281"/>
      <c r="DH128" s="281"/>
      <c r="DI128" s="281"/>
      <c r="DJ128" s="281"/>
      <c r="DK128" s="281"/>
      <c r="DL128" s="281"/>
      <c r="DM128" s="281"/>
      <c r="DN128" s="281"/>
      <c r="DO128" s="281"/>
      <c r="DP128" s="281"/>
      <c r="DQ128" s="281"/>
      <c r="DR128" s="281"/>
      <c r="DS128" s="281"/>
      <c r="DT128" s="281"/>
      <c r="DU128" s="281"/>
      <c r="DV128" s="281"/>
      <c r="DW128" s="281"/>
      <c r="DX128" s="281"/>
    </row>
    <row r="129" spans="1:128" x14ac:dyDescent="0.3">
      <c r="A129" s="245" t="str">
        <f t="shared" ref="A129:F134" si="93">A69</f>
        <v>Northwest</v>
      </c>
      <c r="B129" s="245" t="str">
        <f t="shared" si="93"/>
        <v>Riverhead</v>
      </c>
      <c r="C129" s="245">
        <f t="shared" si="93"/>
        <v>2050</v>
      </c>
      <c r="D129" s="245">
        <f t="shared" si="93"/>
        <v>2046</v>
      </c>
      <c r="E129" s="245">
        <f t="shared" si="93"/>
        <v>2050</v>
      </c>
      <c r="F129" s="245">
        <f t="shared" si="93"/>
        <v>2054</v>
      </c>
      <c r="G129" s="245" t="str">
        <f t="shared" si="81"/>
        <v/>
      </c>
      <c r="H129" s="245" t="str">
        <f t="shared" si="82"/>
        <v>Riverhead-Huapai-Kumeu</v>
      </c>
      <c r="I129" s="279">
        <f t="shared" ref="I129:AU129" si="94">I69*I$114</f>
        <v>140</v>
      </c>
      <c r="J129" s="279">
        <f t="shared" si="94"/>
        <v>143.92000000000002</v>
      </c>
      <c r="K129" s="279">
        <f t="shared" si="94"/>
        <v>153.99440000000001</v>
      </c>
      <c r="L129" s="279">
        <f t="shared" si="94"/>
        <v>160.6161592</v>
      </c>
      <c r="M129" s="279">
        <f t="shared" si="94"/>
        <v>172.01990650319999</v>
      </c>
      <c r="N129" s="279">
        <f t="shared" si="94"/>
        <v>184.23331986492721</v>
      </c>
      <c r="O129" s="279">
        <f t="shared" si="94"/>
        <v>197.31388557533703</v>
      </c>
      <c r="P129" s="279">
        <f t="shared" si="94"/>
        <v>211.32317145118597</v>
      </c>
      <c r="Q129" s="279">
        <f t="shared" si="94"/>
        <v>226.32711662422017</v>
      </c>
      <c r="R129" s="279">
        <f t="shared" si="94"/>
        <v>242.39634190453981</v>
      </c>
      <c r="S129" s="279">
        <f t="shared" si="94"/>
        <v>259.60648217976211</v>
      </c>
      <c r="T129" s="279">
        <f t="shared" si="94"/>
        <v>278.03854241452524</v>
      </c>
      <c r="U129" s="279">
        <f t="shared" si="94"/>
        <v>297.77927892595648</v>
      </c>
      <c r="V129" s="279">
        <f t="shared" si="94"/>
        <v>318.92160772969936</v>
      </c>
      <c r="W129" s="279">
        <f t="shared" si="94"/>
        <v>341.565041878508</v>
      </c>
      <c r="X129" s="279">
        <f t="shared" si="94"/>
        <v>365.81615985188205</v>
      </c>
      <c r="Y129" s="279">
        <f t="shared" si="94"/>
        <v>391.7891072013656</v>
      </c>
      <c r="Z129" s="279">
        <f t="shared" si="94"/>
        <v>419.60613381266256</v>
      </c>
      <c r="AA129" s="279">
        <f t="shared" si="94"/>
        <v>449.39816931336162</v>
      </c>
      <c r="AB129" s="279">
        <f t="shared" si="94"/>
        <v>481.30543933461024</v>
      </c>
      <c r="AC129" s="279">
        <f t="shared" si="94"/>
        <v>515.47812552736752</v>
      </c>
      <c r="AD129" s="279">
        <f t="shared" si="94"/>
        <v>552.07707243981054</v>
      </c>
      <c r="AE129" s="279">
        <f t="shared" si="94"/>
        <v>1161.4321411452513</v>
      </c>
      <c r="AF129" s="279">
        <f t="shared" si="94"/>
        <v>1243.8938231665643</v>
      </c>
      <c r="AG129" s="279">
        <f t="shared" si="94"/>
        <v>1332.2102846113901</v>
      </c>
      <c r="AH129" s="279">
        <f t="shared" si="94"/>
        <v>1426.7972148187987</v>
      </c>
      <c r="AI129" s="279">
        <f t="shared" si="94"/>
        <v>2278.2579090875734</v>
      </c>
      <c r="AJ129" s="279">
        <f t="shared" si="94"/>
        <v>2440.014220632791</v>
      </c>
      <c r="AK129" s="279">
        <f t="shared" si="94"/>
        <v>2613.2552302977192</v>
      </c>
      <c r="AL129" s="279">
        <f t="shared" si="94"/>
        <v>2798.7963516488571</v>
      </c>
      <c r="AM129" s="279">
        <f t="shared" si="94"/>
        <v>9687.0778846734192</v>
      </c>
      <c r="AN129" s="279">
        <f t="shared" si="94"/>
        <v>10374.860414485231</v>
      </c>
      <c r="AO129" s="279">
        <f t="shared" si="94"/>
        <v>11111.475503913682</v>
      </c>
      <c r="AP129" s="279">
        <f t="shared" si="94"/>
        <v>11900.390264691552</v>
      </c>
      <c r="AQ129" s="279">
        <f t="shared" si="94"/>
        <v>12745.317973484653</v>
      </c>
      <c r="AR129" s="279">
        <f t="shared" si="94"/>
        <v>13650.235549602061</v>
      </c>
      <c r="AS129" s="279">
        <f t="shared" si="94"/>
        <v>14619.402273623806</v>
      </c>
      <c r="AT129" s="279">
        <f t="shared" si="94"/>
        <v>15657.379835051097</v>
      </c>
      <c r="AU129" s="279">
        <f t="shared" si="94"/>
        <v>16769.053803339724</v>
      </c>
      <c r="AX129" s="280"/>
      <c r="AY129" s="280"/>
      <c r="AZ129" s="280"/>
      <c r="BA129" s="280"/>
      <c r="BB129" s="280"/>
      <c r="BC129" s="280"/>
      <c r="BD129" s="280"/>
      <c r="BE129" s="280"/>
      <c r="BF129" s="280"/>
      <c r="BG129" s="280"/>
      <c r="BH129" s="280"/>
      <c r="BI129" s="280"/>
      <c r="BJ129" s="280"/>
      <c r="BK129" s="280"/>
      <c r="BL129" s="280"/>
      <c r="BM129" s="280"/>
      <c r="BN129" s="280"/>
      <c r="BO129" s="280"/>
      <c r="BP129" s="280"/>
      <c r="BQ129" s="280"/>
      <c r="BR129" s="280"/>
      <c r="BS129" s="280"/>
      <c r="BT129" s="280"/>
      <c r="BU129" s="280"/>
      <c r="BV129" s="280"/>
      <c r="BW129" s="280"/>
      <c r="BX129" s="280"/>
      <c r="BY129" s="280"/>
      <c r="BZ129" s="280"/>
      <c r="CA129" s="280"/>
      <c r="CB129" s="280"/>
      <c r="CC129" s="280"/>
      <c r="CD129" s="280"/>
      <c r="CE129" s="280"/>
      <c r="CF129" s="280"/>
      <c r="CG129" s="280"/>
      <c r="CH129" s="280"/>
      <c r="CI129" s="280"/>
      <c r="CJ129" s="280"/>
      <c r="CL129" s="281"/>
      <c r="CM129" s="281"/>
      <c r="CN129" s="281"/>
      <c r="CO129" s="281"/>
      <c r="CP129" s="281"/>
      <c r="CQ129" s="281"/>
      <c r="CR129" s="281"/>
      <c r="CS129" s="281"/>
      <c r="CT129" s="281"/>
      <c r="CU129" s="281"/>
      <c r="CV129" s="281"/>
      <c r="CW129" s="281"/>
      <c r="CX129" s="281"/>
      <c r="CY129" s="281"/>
      <c r="CZ129" s="281"/>
      <c r="DA129" s="281"/>
      <c r="DB129" s="281"/>
      <c r="DC129" s="281"/>
      <c r="DD129" s="281"/>
      <c r="DE129" s="281"/>
      <c r="DF129" s="281"/>
      <c r="DG129" s="281"/>
      <c r="DH129" s="281"/>
      <c r="DI129" s="281"/>
      <c r="DJ129" s="281"/>
      <c r="DK129" s="281"/>
      <c r="DL129" s="281"/>
      <c r="DM129" s="281"/>
      <c r="DN129" s="281"/>
      <c r="DO129" s="281"/>
      <c r="DP129" s="281"/>
      <c r="DQ129" s="281"/>
      <c r="DR129" s="281"/>
      <c r="DS129" s="281"/>
      <c r="DT129" s="281"/>
      <c r="DU129" s="281"/>
      <c r="DV129" s="281"/>
      <c r="DW129" s="281"/>
      <c r="DX129" s="281"/>
    </row>
    <row r="130" spans="1:128" x14ac:dyDescent="0.3">
      <c r="A130" s="245" t="str">
        <f t="shared" si="93"/>
        <v>Warkworth</v>
      </c>
      <c r="B130" s="245" t="str">
        <f t="shared" si="93"/>
        <v>Warkworth North (remainder)</v>
      </c>
      <c r="C130" s="245">
        <f t="shared" si="93"/>
        <v>2035</v>
      </c>
      <c r="D130" s="245">
        <f t="shared" si="93"/>
        <v>2031</v>
      </c>
      <c r="E130" s="245">
        <f t="shared" si="93"/>
        <v>2035</v>
      </c>
      <c r="F130" s="245">
        <f t="shared" si="93"/>
        <v>2039</v>
      </c>
      <c r="G130" s="245" t="str">
        <f t="shared" si="81"/>
        <v/>
      </c>
      <c r="H130" s="245" t="str">
        <f t="shared" si="82"/>
        <v>Warkworth</v>
      </c>
      <c r="I130" s="279">
        <f t="shared" ref="I130:AU130" si="95">I70*I$114</f>
        <v>75</v>
      </c>
      <c r="J130" s="279">
        <f t="shared" si="95"/>
        <v>77.100000000000009</v>
      </c>
      <c r="K130" s="279">
        <f t="shared" si="95"/>
        <v>82.497</v>
      </c>
      <c r="L130" s="279">
        <f t="shared" si="95"/>
        <v>86.044370999999998</v>
      </c>
      <c r="M130" s="279">
        <f t="shared" si="95"/>
        <v>92.153521341000001</v>
      </c>
      <c r="N130" s="279">
        <f t="shared" si="95"/>
        <v>98.696421356211005</v>
      </c>
      <c r="O130" s="279">
        <f t="shared" si="95"/>
        <v>105.70386727250198</v>
      </c>
      <c r="P130" s="279">
        <f t="shared" si="95"/>
        <v>196.22865920467268</v>
      </c>
      <c r="Q130" s="279">
        <f t="shared" si="95"/>
        <v>210.16089400820445</v>
      </c>
      <c r="R130" s="279">
        <f t="shared" si="95"/>
        <v>225.08231748278695</v>
      </c>
      <c r="S130" s="279">
        <f t="shared" si="95"/>
        <v>241.06316202406481</v>
      </c>
      <c r="T130" s="279">
        <f t="shared" si="95"/>
        <v>456.77760539529146</v>
      </c>
      <c r="U130" s="279">
        <f t="shared" si="95"/>
        <v>489.20881537835709</v>
      </c>
      <c r="V130" s="279">
        <f t="shared" si="95"/>
        <v>523.94264127022041</v>
      </c>
      <c r="W130" s="279">
        <f t="shared" si="95"/>
        <v>561.14256880040602</v>
      </c>
      <c r="X130" s="279">
        <f t="shared" si="95"/>
        <v>1959.7294277779395</v>
      </c>
      <c r="Y130" s="279">
        <f t="shared" si="95"/>
        <v>2098.8702171501732</v>
      </c>
      <c r="Z130" s="279">
        <f t="shared" si="95"/>
        <v>2247.8900025678349</v>
      </c>
      <c r="AA130" s="279">
        <f t="shared" si="95"/>
        <v>2407.4901927501514</v>
      </c>
      <c r="AB130" s="279">
        <f t="shared" si="95"/>
        <v>2578.421996435412</v>
      </c>
      <c r="AC130" s="279">
        <f t="shared" si="95"/>
        <v>2761.4899581823261</v>
      </c>
      <c r="AD130" s="279">
        <f t="shared" si="95"/>
        <v>2957.5557452132707</v>
      </c>
      <c r="AE130" s="279">
        <f t="shared" si="95"/>
        <v>3167.5422031234129</v>
      </c>
      <c r="AF130" s="279">
        <f t="shared" si="95"/>
        <v>3392.4376995451748</v>
      </c>
      <c r="AG130" s="279">
        <f t="shared" si="95"/>
        <v>3633.3007762128823</v>
      </c>
      <c r="AH130" s="279">
        <f t="shared" si="95"/>
        <v>3891.2651313239967</v>
      </c>
      <c r="AI130" s="279">
        <f t="shared" si="95"/>
        <v>4167.5449556479998</v>
      </c>
      <c r="AJ130" s="279">
        <f t="shared" si="95"/>
        <v>4463.4406474990083</v>
      </c>
      <c r="AK130" s="279">
        <f t="shared" si="95"/>
        <v>4780.3449334714378</v>
      </c>
      <c r="AL130" s="279">
        <f t="shared" si="95"/>
        <v>5119.7494237479095</v>
      </c>
      <c r="AM130" s="279">
        <f t="shared" si="95"/>
        <v>5483.2516328340107</v>
      </c>
      <c r="AN130" s="279">
        <f t="shared" si="95"/>
        <v>5872.5624987652254</v>
      </c>
      <c r="AO130" s="279">
        <f t="shared" si="95"/>
        <v>6289.5144361775556</v>
      </c>
      <c r="AP130" s="279">
        <f t="shared" si="95"/>
        <v>6736.0699611461614</v>
      </c>
      <c r="AQ130" s="279">
        <f t="shared" si="95"/>
        <v>7214.3309283875396</v>
      </c>
      <c r="AR130" s="279">
        <f t="shared" si="95"/>
        <v>7726.5484243030542</v>
      </c>
      <c r="AS130" s="279">
        <f t="shared" si="95"/>
        <v>8275.1333624285689</v>
      </c>
      <c r="AT130" s="279">
        <f t="shared" si="95"/>
        <v>8862.6678311609976</v>
      </c>
      <c r="AU130" s="279">
        <f t="shared" si="95"/>
        <v>9491.9172471734273</v>
      </c>
      <c r="AX130" s="280"/>
      <c r="AY130" s="280"/>
      <c r="AZ130" s="280"/>
      <c r="BA130" s="280"/>
      <c r="BB130" s="280"/>
      <c r="BC130" s="280"/>
      <c r="BD130" s="280"/>
      <c r="BE130" s="280"/>
      <c r="BF130" s="280"/>
      <c r="BG130" s="280"/>
      <c r="BH130" s="280"/>
      <c r="BI130" s="280"/>
      <c r="BJ130" s="280"/>
      <c r="BK130" s="280"/>
      <c r="BL130" s="280"/>
      <c r="BM130" s="280"/>
      <c r="BN130" s="280"/>
      <c r="BO130" s="280"/>
      <c r="BP130" s="280"/>
      <c r="BQ130" s="280"/>
      <c r="BR130" s="280"/>
      <c r="BS130" s="280"/>
      <c r="BT130" s="280"/>
      <c r="BU130" s="280"/>
      <c r="BV130" s="280"/>
      <c r="BW130" s="280"/>
      <c r="BX130" s="280"/>
      <c r="BY130" s="280"/>
      <c r="BZ130" s="280"/>
      <c r="CA130" s="280"/>
      <c r="CB130" s="280"/>
      <c r="CC130" s="280"/>
      <c r="CD130" s="280"/>
      <c r="CE130" s="280"/>
      <c r="CF130" s="280"/>
      <c r="CG130" s="280"/>
      <c r="CH130" s="280"/>
      <c r="CI130" s="280"/>
      <c r="CJ130" s="280"/>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81"/>
      <c r="DQ130" s="281"/>
      <c r="DR130" s="281"/>
      <c r="DS130" s="281"/>
      <c r="DT130" s="281"/>
      <c r="DU130" s="281"/>
      <c r="DV130" s="281"/>
      <c r="DW130" s="281"/>
      <c r="DX130" s="281"/>
    </row>
    <row r="131" spans="1:128" x14ac:dyDescent="0.3">
      <c r="A131" s="245" t="str">
        <f t="shared" si="93"/>
        <v>Warkworth</v>
      </c>
      <c r="B131" s="245" t="str">
        <f t="shared" si="93"/>
        <v>Warkworth West (remainder)</v>
      </c>
      <c r="C131" s="245">
        <f t="shared" si="93"/>
        <v>2040</v>
      </c>
      <c r="D131" s="245">
        <f t="shared" si="93"/>
        <v>2036</v>
      </c>
      <c r="E131" s="245">
        <f t="shared" si="93"/>
        <v>2040</v>
      </c>
      <c r="F131" s="245">
        <f t="shared" si="93"/>
        <v>2044</v>
      </c>
      <c r="G131" s="245" t="str">
        <f t="shared" si="81"/>
        <v/>
      </c>
      <c r="H131" s="245" t="str">
        <f t="shared" si="82"/>
        <v>Warkworth</v>
      </c>
      <c r="I131" s="279">
        <f t="shared" ref="I131:AU131" si="96">I71*I$114</f>
        <v>75</v>
      </c>
      <c r="J131" s="279">
        <f t="shared" si="96"/>
        <v>77.100000000000009</v>
      </c>
      <c r="K131" s="279">
        <f t="shared" si="96"/>
        <v>82.497</v>
      </c>
      <c r="L131" s="279">
        <f t="shared" si="96"/>
        <v>86.044370999999998</v>
      </c>
      <c r="M131" s="279">
        <f t="shared" si="96"/>
        <v>92.153521341000001</v>
      </c>
      <c r="N131" s="279">
        <f t="shared" si="96"/>
        <v>98.696421356211005</v>
      </c>
      <c r="O131" s="279">
        <f t="shared" si="96"/>
        <v>105.70386727250198</v>
      </c>
      <c r="P131" s="279">
        <f t="shared" si="96"/>
        <v>113.20884184884962</v>
      </c>
      <c r="Q131" s="279">
        <f t="shared" si="96"/>
        <v>121.24666962011794</v>
      </c>
      <c r="R131" s="279">
        <f t="shared" si="96"/>
        <v>129.85518316314631</v>
      </c>
      <c r="S131" s="279">
        <f t="shared" si="96"/>
        <v>139.07490116772971</v>
      </c>
      <c r="T131" s="279">
        <f t="shared" si="96"/>
        <v>148.9492191506385</v>
      </c>
      <c r="U131" s="279">
        <f t="shared" si="96"/>
        <v>276.5093304312453</v>
      </c>
      <c r="V131" s="279">
        <f t="shared" si="96"/>
        <v>296.14149289186366</v>
      </c>
      <c r="W131" s="279">
        <f t="shared" si="96"/>
        <v>317.16753888718597</v>
      </c>
      <c r="X131" s="279">
        <f t="shared" si="96"/>
        <v>339.68643414817615</v>
      </c>
      <c r="Y131" s="279">
        <f t="shared" si="96"/>
        <v>643.65353325938634</v>
      </c>
      <c r="Z131" s="279">
        <f t="shared" si="96"/>
        <v>689.35293412080273</v>
      </c>
      <c r="AA131" s="279">
        <f t="shared" si="96"/>
        <v>738.29699244337974</v>
      </c>
      <c r="AB131" s="279">
        <f t="shared" si="96"/>
        <v>790.71607890685971</v>
      </c>
      <c r="AC131" s="279">
        <f t="shared" si="96"/>
        <v>2761.4899581823261</v>
      </c>
      <c r="AD131" s="279">
        <f t="shared" si="96"/>
        <v>2957.5557452132707</v>
      </c>
      <c r="AE131" s="279">
        <f t="shared" si="96"/>
        <v>3167.5422031234129</v>
      </c>
      <c r="AF131" s="279">
        <f t="shared" si="96"/>
        <v>3392.4376995451748</v>
      </c>
      <c r="AG131" s="279">
        <f t="shared" si="96"/>
        <v>3633.3007762128823</v>
      </c>
      <c r="AH131" s="279">
        <f t="shared" si="96"/>
        <v>3891.2651313239967</v>
      </c>
      <c r="AI131" s="279">
        <f t="shared" si="96"/>
        <v>4167.5449556479998</v>
      </c>
      <c r="AJ131" s="279">
        <f t="shared" si="96"/>
        <v>4463.4406474990083</v>
      </c>
      <c r="AK131" s="279">
        <f t="shared" si="96"/>
        <v>4780.3449334714378</v>
      </c>
      <c r="AL131" s="279">
        <f t="shared" si="96"/>
        <v>5119.7494237479095</v>
      </c>
      <c r="AM131" s="279">
        <f t="shared" si="96"/>
        <v>5483.2516328340107</v>
      </c>
      <c r="AN131" s="279">
        <f t="shared" si="96"/>
        <v>5872.5624987652254</v>
      </c>
      <c r="AO131" s="279">
        <f t="shared" si="96"/>
        <v>6289.5144361775556</v>
      </c>
      <c r="AP131" s="279">
        <f t="shared" si="96"/>
        <v>6736.0699611461614</v>
      </c>
      <c r="AQ131" s="279">
        <f t="shared" si="96"/>
        <v>7214.3309283875396</v>
      </c>
      <c r="AR131" s="279">
        <f t="shared" si="96"/>
        <v>7726.5484243030542</v>
      </c>
      <c r="AS131" s="279">
        <f t="shared" si="96"/>
        <v>8275.1333624285689</v>
      </c>
      <c r="AT131" s="279">
        <f t="shared" si="96"/>
        <v>8862.6678311609976</v>
      </c>
      <c r="AU131" s="279">
        <f t="shared" si="96"/>
        <v>9491.9172471734273</v>
      </c>
      <c r="AX131" s="280"/>
      <c r="AY131" s="280"/>
      <c r="AZ131" s="280"/>
      <c r="BA131" s="280"/>
      <c r="BB131" s="280"/>
      <c r="BC131" s="280"/>
      <c r="BD131" s="280"/>
      <c r="BE131" s="280"/>
      <c r="BF131" s="280"/>
      <c r="BG131" s="280"/>
      <c r="BH131" s="280"/>
      <c r="BI131" s="280"/>
      <c r="BJ131" s="280"/>
      <c r="BK131" s="280"/>
      <c r="BL131" s="280"/>
      <c r="BM131" s="280"/>
      <c r="BN131" s="280"/>
      <c r="BO131" s="280"/>
      <c r="BP131" s="280"/>
      <c r="BQ131" s="280"/>
      <c r="BR131" s="280"/>
      <c r="BS131" s="280"/>
      <c r="BT131" s="280"/>
      <c r="BU131" s="280"/>
      <c r="BV131" s="280"/>
      <c r="BW131" s="280"/>
      <c r="BX131" s="280"/>
      <c r="BY131" s="280"/>
      <c r="BZ131" s="280"/>
      <c r="CA131" s="280"/>
      <c r="CB131" s="280"/>
      <c r="CC131" s="280"/>
      <c r="CD131" s="280"/>
      <c r="CE131" s="280"/>
      <c r="CF131" s="280"/>
      <c r="CG131" s="280"/>
      <c r="CH131" s="280"/>
      <c r="CI131" s="280"/>
      <c r="CJ131" s="280"/>
      <c r="CL131" s="281"/>
      <c r="CM131" s="281"/>
      <c r="CN131" s="281"/>
      <c r="CO131" s="281"/>
      <c r="CP131" s="281"/>
      <c r="CQ131" s="281"/>
      <c r="CR131" s="281"/>
      <c r="CS131" s="281"/>
      <c r="CT131" s="281"/>
      <c r="CU131" s="281"/>
      <c r="CV131" s="281"/>
      <c r="CW131" s="281"/>
      <c r="CX131" s="281"/>
      <c r="CY131" s="281"/>
      <c r="CZ131" s="281"/>
      <c r="DA131" s="281"/>
      <c r="DB131" s="281"/>
      <c r="DC131" s="281"/>
      <c r="DD131" s="281"/>
      <c r="DE131" s="281"/>
      <c r="DF131" s="281"/>
      <c r="DG131" s="281"/>
      <c r="DH131" s="281"/>
      <c r="DI131" s="281"/>
      <c r="DJ131" s="281"/>
      <c r="DK131" s="281"/>
      <c r="DL131" s="281"/>
      <c r="DM131" s="281"/>
      <c r="DN131" s="281"/>
      <c r="DO131" s="281"/>
      <c r="DP131" s="281"/>
      <c r="DQ131" s="281"/>
      <c r="DR131" s="281"/>
      <c r="DS131" s="281"/>
      <c r="DT131" s="281"/>
      <c r="DU131" s="281"/>
      <c r="DV131" s="281"/>
      <c r="DW131" s="281"/>
      <c r="DX131" s="281"/>
    </row>
    <row r="132" spans="1:128" x14ac:dyDescent="0.3">
      <c r="A132" s="245" t="str">
        <f t="shared" si="93"/>
        <v>Warkworth</v>
      </c>
      <c r="B132" s="245" t="str">
        <f t="shared" si="93"/>
        <v>Warkworth North-East</v>
      </c>
      <c r="C132" s="245">
        <f t="shared" si="93"/>
        <v>2045</v>
      </c>
      <c r="D132" s="245">
        <f t="shared" si="93"/>
        <v>2041</v>
      </c>
      <c r="E132" s="245">
        <f t="shared" si="93"/>
        <v>2045</v>
      </c>
      <c r="F132" s="245">
        <f t="shared" si="93"/>
        <v>2049</v>
      </c>
      <c r="G132" s="245" t="str">
        <f t="shared" si="81"/>
        <v/>
      </c>
      <c r="H132" s="245" t="str">
        <f t="shared" si="82"/>
        <v>Warkworth</v>
      </c>
      <c r="I132" s="279">
        <f t="shared" ref="I132:AU132" si="97">I72*I$114</f>
        <v>75</v>
      </c>
      <c r="J132" s="279">
        <f t="shared" si="97"/>
        <v>77.100000000000009</v>
      </c>
      <c r="K132" s="279">
        <f t="shared" si="97"/>
        <v>82.497</v>
      </c>
      <c r="L132" s="279">
        <f t="shared" si="97"/>
        <v>86.044370999999998</v>
      </c>
      <c r="M132" s="279">
        <f t="shared" si="97"/>
        <v>92.153521341000001</v>
      </c>
      <c r="N132" s="279">
        <f t="shared" si="97"/>
        <v>98.696421356211005</v>
      </c>
      <c r="O132" s="279">
        <f t="shared" si="97"/>
        <v>105.70386727250198</v>
      </c>
      <c r="P132" s="279">
        <f t="shared" si="97"/>
        <v>113.20884184884962</v>
      </c>
      <c r="Q132" s="279">
        <f t="shared" si="97"/>
        <v>121.24666962011794</v>
      </c>
      <c r="R132" s="279">
        <f t="shared" si="97"/>
        <v>129.85518316314631</v>
      </c>
      <c r="S132" s="279">
        <f t="shared" si="97"/>
        <v>139.07490116772971</v>
      </c>
      <c r="T132" s="279">
        <f t="shared" si="97"/>
        <v>148.9492191506385</v>
      </c>
      <c r="U132" s="279">
        <f t="shared" si="97"/>
        <v>159.52461371033382</v>
      </c>
      <c r="V132" s="279">
        <f t="shared" si="97"/>
        <v>170.8508612837675</v>
      </c>
      <c r="W132" s="279">
        <f t="shared" si="97"/>
        <v>182.98127243491501</v>
      </c>
      <c r="X132" s="279">
        <f t="shared" si="97"/>
        <v>195.97294277779395</v>
      </c>
      <c r="Y132" s="279">
        <f t="shared" si="97"/>
        <v>209.88702171501728</v>
      </c>
      <c r="Z132" s="279">
        <f t="shared" si="97"/>
        <v>389.63426711175811</v>
      </c>
      <c r="AA132" s="279">
        <f t="shared" si="97"/>
        <v>417.2983000766929</v>
      </c>
      <c r="AB132" s="279">
        <f t="shared" si="97"/>
        <v>446.92647938213804</v>
      </c>
      <c r="AC132" s="279">
        <f t="shared" si="97"/>
        <v>478.65825941826984</v>
      </c>
      <c r="AD132" s="279">
        <f t="shared" si="97"/>
        <v>906.98376186540304</v>
      </c>
      <c r="AE132" s="279">
        <f t="shared" si="97"/>
        <v>971.37960895784659</v>
      </c>
      <c r="AF132" s="279">
        <f t="shared" si="97"/>
        <v>1040.3475611938536</v>
      </c>
      <c r="AG132" s="279">
        <f t="shared" si="97"/>
        <v>1114.2122380386172</v>
      </c>
      <c r="AH132" s="279">
        <f t="shared" si="97"/>
        <v>3891.2651313239967</v>
      </c>
      <c r="AI132" s="279">
        <f t="shared" si="97"/>
        <v>4167.5449556479998</v>
      </c>
      <c r="AJ132" s="279">
        <f t="shared" si="97"/>
        <v>4463.4406474990083</v>
      </c>
      <c r="AK132" s="279">
        <f t="shared" si="97"/>
        <v>4780.3449334714378</v>
      </c>
      <c r="AL132" s="279">
        <f t="shared" si="97"/>
        <v>5119.7494237479095</v>
      </c>
      <c r="AM132" s="279">
        <f t="shared" si="97"/>
        <v>5483.2516328340107</v>
      </c>
      <c r="AN132" s="279">
        <f t="shared" si="97"/>
        <v>5872.5624987652254</v>
      </c>
      <c r="AO132" s="279">
        <f t="shared" si="97"/>
        <v>6289.5144361775556</v>
      </c>
      <c r="AP132" s="279">
        <f t="shared" si="97"/>
        <v>6736.0699611461614</v>
      </c>
      <c r="AQ132" s="279">
        <f t="shared" si="97"/>
        <v>7214.3309283875396</v>
      </c>
      <c r="AR132" s="279">
        <f t="shared" si="97"/>
        <v>7726.5484243030542</v>
      </c>
      <c r="AS132" s="279">
        <f t="shared" si="97"/>
        <v>8275.1333624285689</v>
      </c>
      <c r="AT132" s="279">
        <f t="shared" si="97"/>
        <v>8862.6678311609976</v>
      </c>
      <c r="AU132" s="279">
        <f t="shared" si="97"/>
        <v>9491.9172471734273</v>
      </c>
      <c r="AX132" s="280"/>
      <c r="AY132" s="280"/>
      <c r="AZ132" s="280"/>
      <c r="BA132" s="280"/>
      <c r="BB132" s="280"/>
      <c r="BC132" s="280"/>
      <c r="BD132" s="280"/>
      <c r="BE132" s="280"/>
      <c r="BF132" s="280"/>
      <c r="BG132" s="280"/>
      <c r="BH132" s="280"/>
      <c r="BI132" s="280"/>
      <c r="BJ132" s="280"/>
      <c r="BK132" s="280"/>
      <c r="BL132" s="280"/>
      <c r="BM132" s="280"/>
      <c r="BN132" s="280"/>
      <c r="BO132" s="280"/>
      <c r="BP132" s="280"/>
      <c r="BQ132" s="280"/>
      <c r="BR132" s="280"/>
      <c r="BS132" s="280"/>
      <c r="BT132" s="280"/>
      <c r="BU132" s="280"/>
      <c r="BV132" s="280"/>
      <c r="BW132" s="280"/>
      <c r="BX132" s="280"/>
      <c r="BY132" s="280"/>
      <c r="BZ132" s="280"/>
      <c r="CA132" s="280"/>
      <c r="CB132" s="280"/>
      <c r="CC132" s="280"/>
      <c r="CD132" s="280"/>
      <c r="CE132" s="280"/>
      <c r="CF132" s="280"/>
      <c r="CG132" s="280"/>
      <c r="CH132" s="280"/>
      <c r="CI132" s="280"/>
      <c r="CJ132" s="280"/>
      <c r="CL132" s="281"/>
      <c r="CM132" s="281"/>
      <c r="CN132" s="281"/>
      <c r="CO132" s="281"/>
      <c r="CP132" s="281"/>
      <c r="CQ132" s="281"/>
      <c r="CR132" s="281"/>
      <c r="CS132" s="281"/>
      <c r="CT132" s="281"/>
      <c r="CU132" s="281"/>
      <c r="CV132" s="281"/>
      <c r="CW132" s="281"/>
      <c r="CX132" s="281"/>
      <c r="CY132" s="281"/>
      <c r="CZ132" s="281"/>
      <c r="DA132" s="281"/>
      <c r="DB132" s="281"/>
      <c r="DC132" s="281"/>
      <c r="DD132" s="281"/>
      <c r="DE132" s="281"/>
      <c r="DF132" s="281"/>
      <c r="DG132" s="281"/>
      <c r="DH132" s="281"/>
      <c r="DI132" s="281"/>
      <c r="DJ132" s="281"/>
      <c r="DK132" s="281"/>
      <c r="DL132" s="281"/>
      <c r="DM132" s="281"/>
      <c r="DN132" s="281"/>
      <c r="DO132" s="281"/>
      <c r="DP132" s="281"/>
      <c r="DQ132" s="281"/>
      <c r="DR132" s="281"/>
      <c r="DS132" s="281"/>
      <c r="DT132" s="281"/>
      <c r="DU132" s="281"/>
      <c r="DV132" s="281"/>
      <c r="DW132" s="281"/>
      <c r="DX132" s="281"/>
    </row>
    <row r="133" spans="1:128" x14ac:dyDescent="0.3">
      <c r="A133" s="245" t="str">
        <f t="shared" si="93"/>
        <v>Warkworth</v>
      </c>
      <c r="B133" s="245" t="str">
        <f t="shared" si="93"/>
        <v>Warkworth South-Central</v>
      </c>
      <c r="C133" s="245">
        <f t="shared" si="93"/>
        <v>2040</v>
      </c>
      <c r="D133" s="245">
        <f t="shared" si="93"/>
        <v>2036</v>
      </c>
      <c r="E133" s="245">
        <f t="shared" si="93"/>
        <v>2040</v>
      </c>
      <c r="F133" s="245">
        <f t="shared" si="93"/>
        <v>2044</v>
      </c>
      <c r="G133" s="245" t="str">
        <f t="shared" si="81"/>
        <v/>
      </c>
      <c r="H133" s="245" t="str">
        <f t="shared" si="82"/>
        <v>Warkworth</v>
      </c>
      <c r="I133" s="279">
        <f t="shared" ref="I133:AU133" si="98">I73*I$114</f>
        <v>75</v>
      </c>
      <c r="J133" s="279">
        <f t="shared" si="98"/>
        <v>77.100000000000009</v>
      </c>
      <c r="K133" s="279">
        <f t="shared" si="98"/>
        <v>82.497</v>
      </c>
      <c r="L133" s="279">
        <f t="shared" si="98"/>
        <v>86.044370999999998</v>
      </c>
      <c r="M133" s="279">
        <f t="shared" si="98"/>
        <v>92.153521341000001</v>
      </c>
      <c r="N133" s="279">
        <f t="shared" si="98"/>
        <v>98.696421356211005</v>
      </c>
      <c r="O133" s="279">
        <f t="shared" si="98"/>
        <v>105.70386727250198</v>
      </c>
      <c r="P133" s="279">
        <f t="shared" si="98"/>
        <v>113.20884184884962</v>
      </c>
      <c r="Q133" s="279">
        <f t="shared" si="98"/>
        <v>121.24666962011794</v>
      </c>
      <c r="R133" s="279">
        <f t="shared" si="98"/>
        <v>129.85518316314631</v>
      </c>
      <c r="S133" s="279">
        <f t="shared" si="98"/>
        <v>139.07490116772971</v>
      </c>
      <c r="T133" s="279">
        <f t="shared" si="98"/>
        <v>148.9492191506385</v>
      </c>
      <c r="U133" s="279">
        <f t="shared" si="98"/>
        <v>276.5093304312453</v>
      </c>
      <c r="V133" s="279">
        <f t="shared" si="98"/>
        <v>296.14149289186366</v>
      </c>
      <c r="W133" s="279">
        <f t="shared" si="98"/>
        <v>317.16753888718597</v>
      </c>
      <c r="X133" s="279">
        <f t="shared" si="98"/>
        <v>339.68643414817615</v>
      </c>
      <c r="Y133" s="279">
        <f t="shared" si="98"/>
        <v>643.65353325938634</v>
      </c>
      <c r="Z133" s="279">
        <f t="shared" si="98"/>
        <v>689.35293412080273</v>
      </c>
      <c r="AA133" s="279">
        <f t="shared" si="98"/>
        <v>738.29699244337974</v>
      </c>
      <c r="AB133" s="279">
        <f t="shared" si="98"/>
        <v>790.71607890685971</v>
      </c>
      <c r="AC133" s="279">
        <f t="shared" si="98"/>
        <v>2761.4899581823261</v>
      </c>
      <c r="AD133" s="279">
        <f t="shared" si="98"/>
        <v>2957.5557452132707</v>
      </c>
      <c r="AE133" s="279">
        <f t="shared" si="98"/>
        <v>3167.5422031234129</v>
      </c>
      <c r="AF133" s="279">
        <f t="shared" si="98"/>
        <v>3392.4376995451748</v>
      </c>
      <c r="AG133" s="279">
        <f t="shared" si="98"/>
        <v>3633.3007762128823</v>
      </c>
      <c r="AH133" s="279">
        <f t="shared" si="98"/>
        <v>3891.2651313239967</v>
      </c>
      <c r="AI133" s="279">
        <f t="shared" si="98"/>
        <v>4167.5449556479998</v>
      </c>
      <c r="AJ133" s="279">
        <f t="shared" si="98"/>
        <v>4463.4406474990083</v>
      </c>
      <c r="AK133" s="279">
        <f t="shared" si="98"/>
        <v>4780.3449334714378</v>
      </c>
      <c r="AL133" s="279">
        <f t="shared" si="98"/>
        <v>5119.7494237479095</v>
      </c>
      <c r="AM133" s="279">
        <f t="shared" si="98"/>
        <v>5483.2516328340107</v>
      </c>
      <c r="AN133" s="279">
        <f t="shared" si="98"/>
        <v>5872.5624987652254</v>
      </c>
      <c r="AO133" s="279">
        <f t="shared" si="98"/>
        <v>6289.5144361775556</v>
      </c>
      <c r="AP133" s="279">
        <f t="shared" si="98"/>
        <v>6736.0699611461614</v>
      </c>
      <c r="AQ133" s="279">
        <f t="shared" si="98"/>
        <v>7214.3309283875396</v>
      </c>
      <c r="AR133" s="279">
        <f t="shared" si="98"/>
        <v>7726.5484243030542</v>
      </c>
      <c r="AS133" s="279">
        <f t="shared" si="98"/>
        <v>8275.1333624285689</v>
      </c>
      <c r="AT133" s="279">
        <f t="shared" si="98"/>
        <v>8862.6678311609976</v>
      </c>
      <c r="AU133" s="279">
        <f t="shared" si="98"/>
        <v>9491.9172471734273</v>
      </c>
      <c r="AX133" s="280"/>
      <c r="AY133" s="280"/>
      <c r="AZ133" s="280"/>
      <c r="BA133" s="280"/>
      <c r="BB133" s="280"/>
      <c r="BC133" s="280"/>
      <c r="BD133" s="280"/>
      <c r="BE133" s="280"/>
      <c r="BF133" s="280"/>
      <c r="BG133" s="280"/>
      <c r="BH133" s="280"/>
      <c r="BI133" s="280"/>
      <c r="BJ133" s="280"/>
      <c r="BK133" s="280"/>
      <c r="BL133" s="280"/>
      <c r="BM133" s="280"/>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L133" s="281"/>
      <c r="CM133" s="281"/>
      <c r="CN133" s="281"/>
      <c r="CO133" s="281"/>
      <c r="CP133" s="281"/>
      <c r="CQ133" s="281"/>
      <c r="CR133" s="281"/>
      <c r="CS133" s="281"/>
      <c r="CT133" s="281"/>
      <c r="CU133" s="281"/>
      <c r="CV133" s="281"/>
      <c r="CW133" s="281"/>
      <c r="CX133" s="281"/>
      <c r="CY133" s="281"/>
      <c r="CZ133" s="281"/>
      <c r="DA133" s="281"/>
      <c r="DB133" s="281"/>
      <c r="DC133" s="281"/>
      <c r="DD133" s="281"/>
      <c r="DE133" s="281"/>
      <c r="DF133" s="281"/>
      <c r="DG133" s="281"/>
      <c r="DH133" s="281"/>
      <c r="DI133" s="281"/>
      <c r="DJ133" s="281"/>
      <c r="DK133" s="281"/>
      <c r="DL133" s="281"/>
      <c r="DM133" s="281"/>
      <c r="DN133" s="281"/>
      <c r="DO133" s="281"/>
      <c r="DP133" s="281"/>
      <c r="DQ133" s="281"/>
      <c r="DR133" s="281"/>
      <c r="DS133" s="281"/>
      <c r="DT133" s="281"/>
      <c r="DU133" s="281"/>
      <c r="DV133" s="281"/>
      <c r="DW133" s="281"/>
      <c r="DX133" s="281"/>
    </row>
    <row r="134" spans="1:128" x14ac:dyDescent="0.3">
      <c r="A134" s="245" t="str">
        <f t="shared" si="93"/>
        <v>Warkworth</v>
      </c>
      <c r="B134" s="245" t="str">
        <f t="shared" si="93"/>
        <v>Warkworth South-East, South-west</v>
      </c>
      <c r="C134" s="245">
        <f t="shared" si="93"/>
        <v>2045</v>
      </c>
      <c r="D134" s="245">
        <f t="shared" si="93"/>
        <v>2041</v>
      </c>
      <c r="E134" s="245">
        <f t="shared" si="93"/>
        <v>2045</v>
      </c>
      <c r="F134" s="245">
        <f t="shared" si="93"/>
        <v>2049</v>
      </c>
      <c r="G134" s="245" t="str">
        <f t="shared" si="81"/>
        <v/>
      </c>
      <c r="H134" s="245" t="str">
        <f t="shared" si="82"/>
        <v>Warkworth</v>
      </c>
      <c r="I134" s="279">
        <f t="shared" ref="I134:AU134" si="99">I74*I$114</f>
        <v>75</v>
      </c>
      <c r="J134" s="279">
        <f t="shared" si="99"/>
        <v>77.100000000000009</v>
      </c>
      <c r="K134" s="279">
        <f t="shared" si="99"/>
        <v>82.497</v>
      </c>
      <c r="L134" s="279">
        <f t="shared" si="99"/>
        <v>86.044370999999998</v>
      </c>
      <c r="M134" s="279">
        <f t="shared" si="99"/>
        <v>92.153521341000001</v>
      </c>
      <c r="N134" s="279">
        <f t="shared" si="99"/>
        <v>98.696421356211005</v>
      </c>
      <c r="O134" s="279">
        <f t="shared" si="99"/>
        <v>105.70386727250198</v>
      </c>
      <c r="P134" s="279">
        <f t="shared" si="99"/>
        <v>113.20884184884962</v>
      </c>
      <c r="Q134" s="279">
        <f t="shared" si="99"/>
        <v>121.24666962011794</v>
      </c>
      <c r="R134" s="279">
        <f t="shared" si="99"/>
        <v>129.85518316314631</v>
      </c>
      <c r="S134" s="279">
        <f t="shared" si="99"/>
        <v>139.07490116772971</v>
      </c>
      <c r="T134" s="279">
        <f t="shared" si="99"/>
        <v>148.9492191506385</v>
      </c>
      <c r="U134" s="279">
        <f t="shared" si="99"/>
        <v>159.52461371033382</v>
      </c>
      <c r="V134" s="279">
        <f t="shared" si="99"/>
        <v>170.8508612837675</v>
      </c>
      <c r="W134" s="279">
        <f t="shared" si="99"/>
        <v>182.98127243491501</v>
      </c>
      <c r="X134" s="279">
        <f t="shared" si="99"/>
        <v>195.97294277779395</v>
      </c>
      <c r="Y134" s="279">
        <f t="shared" si="99"/>
        <v>209.88702171501728</v>
      </c>
      <c r="Z134" s="279">
        <f t="shared" si="99"/>
        <v>389.63426711175811</v>
      </c>
      <c r="AA134" s="279">
        <f t="shared" si="99"/>
        <v>417.2983000766929</v>
      </c>
      <c r="AB134" s="279">
        <f t="shared" si="99"/>
        <v>446.92647938213804</v>
      </c>
      <c r="AC134" s="279">
        <f t="shared" si="99"/>
        <v>478.65825941826984</v>
      </c>
      <c r="AD134" s="279">
        <f t="shared" si="99"/>
        <v>906.98376186540304</v>
      </c>
      <c r="AE134" s="279">
        <f t="shared" si="99"/>
        <v>971.37960895784659</v>
      </c>
      <c r="AF134" s="279">
        <f t="shared" si="99"/>
        <v>1040.3475611938536</v>
      </c>
      <c r="AG134" s="279">
        <f t="shared" si="99"/>
        <v>1114.2122380386172</v>
      </c>
      <c r="AH134" s="279">
        <f t="shared" si="99"/>
        <v>3891.2651313239967</v>
      </c>
      <c r="AI134" s="279">
        <f t="shared" si="99"/>
        <v>4167.5449556479998</v>
      </c>
      <c r="AJ134" s="279">
        <f t="shared" si="99"/>
        <v>4463.4406474990083</v>
      </c>
      <c r="AK134" s="279">
        <f t="shared" si="99"/>
        <v>4780.3449334714378</v>
      </c>
      <c r="AL134" s="279">
        <f t="shared" si="99"/>
        <v>5119.7494237479095</v>
      </c>
      <c r="AM134" s="279">
        <f t="shared" si="99"/>
        <v>5483.2516328340107</v>
      </c>
      <c r="AN134" s="279">
        <f t="shared" si="99"/>
        <v>5872.5624987652254</v>
      </c>
      <c r="AO134" s="279">
        <f t="shared" si="99"/>
        <v>6289.5144361775556</v>
      </c>
      <c r="AP134" s="279">
        <f t="shared" si="99"/>
        <v>6736.0699611461614</v>
      </c>
      <c r="AQ134" s="279">
        <f t="shared" si="99"/>
        <v>7214.3309283875396</v>
      </c>
      <c r="AR134" s="279">
        <f t="shared" si="99"/>
        <v>7726.5484243030542</v>
      </c>
      <c r="AS134" s="279">
        <f t="shared" si="99"/>
        <v>8275.1333624285689</v>
      </c>
      <c r="AT134" s="279">
        <f t="shared" si="99"/>
        <v>8862.6678311609976</v>
      </c>
      <c r="AU134" s="279">
        <f t="shared" si="99"/>
        <v>9491.9172471734273</v>
      </c>
      <c r="AX134" s="280"/>
      <c r="AY134" s="280"/>
      <c r="AZ134" s="280"/>
      <c r="BA134" s="280"/>
      <c r="BB134" s="280"/>
      <c r="BC134" s="280"/>
      <c r="BD134" s="280"/>
      <c r="BE134" s="280"/>
      <c r="BF134" s="280"/>
      <c r="BG134" s="280"/>
      <c r="BH134" s="280"/>
      <c r="BI134" s="280"/>
      <c r="BJ134" s="280"/>
      <c r="BK134" s="280"/>
      <c r="BL134" s="280"/>
      <c r="BM134" s="280"/>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L134" s="281"/>
      <c r="CM134" s="281"/>
      <c r="CN134" s="281"/>
      <c r="CO134" s="281"/>
      <c r="CP134" s="281"/>
      <c r="CQ134" s="281"/>
      <c r="CR134" s="281"/>
      <c r="CS134" s="281"/>
      <c r="CT134" s="281"/>
      <c r="CU134" s="281"/>
      <c r="CV134" s="281"/>
      <c r="CW134" s="281"/>
      <c r="CX134" s="281"/>
      <c r="CY134" s="281"/>
      <c r="CZ134" s="281"/>
      <c r="DA134" s="281"/>
      <c r="DB134" s="281"/>
      <c r="DC134" s="281"/>
      <c r="DD134" s="281"/>
      <c r="DE134" s="281"/>
      <c r="DF134" s="281"/>
      <c r="DG134" s="281"/>
      <c r="DH134" s="281"/>
      <c r="DI134" s="281"/>
      <c r="DJ134" s="281"/>
      <c r="DK134" s="281"/>
      <c r="DL134" s="281"/>
      <c r="DM134" s="281"/>
      <c r="DN134" s="281"/>
      <c r="DO134" s="281"/>
      <c r="DP134" s="281"/>
      <c r="DQ134" s="281"/>
      <c r="DR134" s="281"/>
      <c r="DS134" s="281"/>
      <c r="DT134" s="281"/>
      <c r="DU134" s="281"/>
      <c r="DV134" s="281"/>
      <c r="DW134" s="281"/>
      <c r="DX134" s="281"/>
    </row>
    <row r="135" spans="1:128" x14ac:dyDescent="0.3">
      <c r="A135" s="245" t="str">
        <f t="shared" ref="A135:F135" si="100">A75</f>
        <v>Warkworth</v>
      </c>
      <c r="B135" s="245" t="str">
        <f t="shared" si="100"/>
        <v>Warkworth N LZ</v>
      </c>
      <c r="C135" s="245">
        <f t="shared" si="100"/>
        <v>0</v>
      </c>
      <c r="D135" s="245">
        <f t="shared" si="100"/>
        <v>2022</v>
      </c>
      <c r="E135" s="245">
        <f t="shared" si="100"/>
        <v>2026</v>
      </c>
      <c r="F135" s="245">
        <f t="shared" si="100"/>
        <v>2030</v>
      </c>
      <c r="G135" s="245" t="str">
        <f t="shared" ref="G135:G136" si="101">IF(G75="","",G75)</f>
        <v/>
      </c>
      <c r="H135" s="245" t="str">
        <f t="shared" ref="H135:H136" si="102">H75</f>
        <v>Warkworth</v>
      </c>
      <c r="I135" s="279">
        <f t="shared" ref="I135:AU135" si="103">I75*I$114</f>
        <v>130</v>
      </c>
      <c r="J135" s="279">
        <f t="shared" si="103"/>
        <v>133.64000000000001</v>
      </c>
      <c r="K135" s="279">
        <f t="shared" si="103"/>
        <v>252.99080000000001</v>
      </c>
      <c r="L135" s="279">
        <f t="shared" si="103"/>
        <v>263.86940440000001</v>
      </c>
      <c r="M135" s="279">
        <f t="shared" si="103"/>
        <v>282.60413211240001</v>
      </c>
      <c r="N135" s="279">
        <f t="shared" si="103"/>
        <v>302.6690254923804</v>
      </c>
      <c r="O135" s="279">
        <f t="shared" si="103"/>
        <v>1057.0386727250198</v>
      </c>
      <c r="P135" s="279">
        <f t="shared" si="103"/>
        <v>1132.0884184884962</v>
      </c>
      <c r="Q135" s="279">
        <f t="shared" si="103"/>
        <v>1212.4666962011795</v>
      </c>
      <c r="R135" s="279">
        <f t="shared" si="103"/>
        <v>1298.5518316314633</v>
      </c>
      <c r="S135" s="279">
        <f t="shared" si="103"/>
        <v>1390.7490116772969</v>
      </c>
      <c r="T135" s="279">
        <f t="shared" si="103"/>
        <v>1489.4921915063851</v>
      </c>
      <c r="U135" s="279">
        <f t="shared" si="103"/>
        <v>1595.2461371033382</v>
      </c>
      <c r="V135" s="279">
        <f t="shared" si="103"/>
        <v>1708.5086128376752</v>
      </c>
      <c r="W135" s="279">
        <f t="shared" si="103"/>
        <v>1829.8127243491499</v>
      </c>
      <c r="X135" s="279">
        <f t="shared" si="103"/>
        <v>1959.7294277779395</v>
      </c>
      <c r="Y135" s="279">
        <f t="shared" si="103"/>
        <v>2098.8702171501732</v>
      </c>
      <c r="Z135" s="279">
        <f t="shared" si="103"/>
        <v>2247.8900025678349</v>
      </c>
      <c r="AA135" s="279">
        <f t="shared" si="103"/>
        <v>2407.4901927501514</v>
      </c>
      <c r="AB135" s="279">
        <f t="shared" si="103"/>
        <v>2578.421996435412</v>
      </c>
      <c r="AC135" s="279">
        <f t="shared" si="103"/>
        <v>2761.4899581823261</v>
      </c>
      <c r="AD135" s="279">
        <f t="shared" si="103"/>
        <v>2957.5557452132707</v>
      </c>
      <c r="AE135" s="279">
        <f t="shared" si="103"/>
        <v>3167.5422031234129</v>
      </c>
      <c r="AF135" s="279">
        <f t="shared" si="103"/>
        <v>3392.4376995451748</v>
      </c>
      <c r="AG135" s="279">
        <f t="shared" si="103"/>
        <v>3633.3007762128823</v>
      </c>
      <c r="AH135" s="279">
        <f t="shared" si="103"/>
        <v>3891.2651313239967</v>
      </c>
      <c r="AI135" s="279">
        <f t="shared" si="103"/>
        <v>4167.5449556479998</v>
      </c>
      <c r="AJ135" s="279">
        <f t="shared" si="103"/>
        <v>4463.4406474990083</v>
      </c>
      <c r="AK135" s="279">
        <f t="shared" si="103"/>
        <v>4780.3449334714378</v>
      </c>
      <c r="AL135" s="279">
        <f t="shared" si="103"/>
        <v>5119.7494237479095</v>
      </c>
      <c r="AM135" s="279">
        <f t="shared" si="103"/>
        <v>5483.2516328340107</v>
      </c>
      <c r="AN135" s="279">
        <f t="shared" si="103"/>
        <v>5872.5624987652254</v>
      </c>
      <c r="AO135" s="279">
        <f t="shared" si="103"/>
        <v>6289.5144361775556</v>
      </c>
      <c r="AP135" s="279">
        <f t="shared" si="103"/>
        <v>6736.0699611461614</v>
      </c>
      <c r="AQ135" s="279">
        <f t="shared" si="103"/>
        <v>7214.3309283875396</v>
      </c>
      <c r="AR135" s="279">
        <f t="shared" si="103"/>
        <v>7726.5484243030542</v>
      </c>
      <c r="AS135" s="279">
        <f t="shared" si="103"/>
        <v>8275.1333624285689</v>
      </c>
      <c r="AT135" s="279">
        <f t="shared" si="103"/>
        <v>8862.6678311609976</v>
      </c>
      <c r="AU135" s="279">
        <f t="shared" si="103"/>
        <v>9491.9172471734273</v>
      </c>
      <c r="AX135" s="280"/>
      <c r="AY135" s="280"/>
      <c r="AZ135" s="280"/>
      <c r="BA135" s="280"/>
      <c r="BB135" s="280"/>
      <c r="BC135" s="280"/>
      <c r="BD135" s="280"/>
      <c r="BE135" s="280"/>
      <c r="BF135" s="280"/>
      <c r="BG135" s="280"/>
      <c r="BH135" s="280"/>
      <c r="BI135" s="280"/>
      <c r="BJ135" s="280"/>
      <c r="BK135" s="280"/>
      <c r="BL135" s="280"/>
      <c r="BM135" s="280"/>
      <c r="BN135" s="280"/>
      <c r="BO135" s="280"/>
      <c r="BP135" s="280"/>
      <c r="BQ135" s="280"/>
      <c r="BR135" s="280"/>
      <c r="BS135" s="280"/>
      <c r="BT135" s="280"/>
      <c r="BU135" s="280"/>
      <c r="BV135" s="280"/>
      <c r="BW135" s="280"/>
      <c r="BX135" s="280"/>
      <c r="BY135" s="280"/>
      <c r="BZ135" s="280"/>
      <c r="CA135" s="280"/>
      <c r="CB135" s="280"/>
      <c r="CC135" s="280"/>
      <c r="CD135" s="280"/>
      <c r="CE135" s="280"/>
      <c r="CF135" s="280"/>
      <c r="CG135" s="280"/>
      <c r="CH135" s="280"/>
      <c r="CI135" s="280"/>
      <c r="CJ135" s="280"/>
      <c r="CL135" s="281"/>
      <c r="CM135" s="281"/>
      <c r="CN135" s="281"/>
      <c r="CO135" s="281"/>
      <c r="CP135" s="281"/>
      <c r="CQ135" s="281"/>
      <c r="CR135" s="281"/>
      <c r="CS135" s="281"/>
      <c r="CT135" s="281"/>
      <c r="CU135" s="281"/>
      <c r="CV135" s="281"/>
      <c r="CW135" s="281"/>
      <c r="CX135" s="281"/>
      <c r="CY135" s="281"/>
      <c r="CZ135" s="281"/>
      <c r="DA135" s="281"/>
      <c r="DB135" s="281"/>
      <c r="DC135" s="281"/>
      <c r="DD135" s="281"/>
      <c r="DE135" s="281"/>
      <c r="DF135" s="281"/>
      <c r="DG135" s="281"/>
      <c r="DH135" s="281"/>
      <c r="DI135" s="281"/>
      <c r="DJ135" s="281"/>
      <c r="DK135" s="281"/>
      <c r="DL135" s="281"/>
      <c r="DM135" s="281"/>
      <c r="DN135" s="281"/>
      <c r="DO135" s="281"/>
      <c r="DP135" s="281"/>
      <c r="DQ135" s="281"/>
      <c r="DR135" s="281"/>
      <c r="DS135" s="281"/>
      <c r="DT135" s="281"/>
      <c r="DU135" s="281"/>
      <c r="DV135" s="281"/>
      <c r="DW135" s="281"/>
      <c r="DX135" s="281"/>
    </row>
    <row r="136" spans="1:128" x14ac:dyDescent="0.3">
      <c r="A136" s="245" t="str">
        <f t="shared" ref="A136:F136" si="104">A76</f>
        <v>Warkworth</v>
      </c>
      <c r="B136" s="245" t="str">
        <f t="shared" si="104"/>
        <v>Warkworth West LZ</v>
      </c>
      <c r="C136" s="245">
        <f t="shared" si="104"/>
        <v>0</v>
      </c>
      <c r="D136" s="245">
        <f t="shared" si="104"/>
        <v>2023</v>
      </c>
      <c r="E136" s="245">
        <f t="shared" si="104"/>
        <v>2027</v>
      </c>
      <c r="F136" s="245">
        <f t="shared" si="104"/>
        <v>2031</v>
      </c>
      <c r="G136" s="245" t="str">
        <f t="shared" si="101"/>
        <v/>
      </c>
      <c r="H136" s="245" t="str">
        <f t="shared" si="102"/>
        <v>Warkworth</v>
      </c>
      <c r="I136" s="279">
        <f t="shared" ref="I136:AU136" si="105">I76*I$114</f>
        <v>130</v>
      </c>
      <c r="J136" s="279">
        <f t="shared" si="105"/>
        <v>133.64000000000001</v>
      </c>
      <c r="K136" s="279">
        <f t="shared" si="105"/>
        <v>142.9948</v>
      </c>
      <c r="L136" s="279">
        <f t="shared" si="105"/>
        <v>263.86940440000001</v>
      </c>
      <c r="M136" s="279">
        <f t="shared" si="105"/>
        <v>282.60413211240001</v>
      </c>
      <c r="N136" s="279">
        <f t="shared" si="105"/>
        <v>302.6690254923804</v>
      </c>
      <c r="O136" s="279">
        <f t="shared" si="105"/>
        <v>324.1585263023394</v>
      </c>
      <c r="P136" s="279">
        <f t="shared" si="105"/>
        <v>1132.0884184884962</v>
      </c>
      <c r="Q136" s="279">
        <f t="shared" si="105"/>
        <v>1212.4666962011795</v>
      </c>
      <c r="R136" s="279">
        <f t="shared" si="105"/>
        <v>1298.5518316314633</v>
      </c>
      <c r="S136" s="279">
        <f t="shared" si="105"/>
        <v>1390.7490116772969</v>
      </c>
      <c r="T136" s="279">
        <f t="shared" si="105"/>
        <v>1489.4921915063851</v>
      </c>
      <c r="U136" s="279">
        <f t="shared" si="105"/>
        <v>1595.2461371033382</v>
      </c>
      <c r="V136" s="279">
        <f t="shared" si="105"/>
        <v>1708.5086128376752</v>
      </c>
      <c r="W136" s="279">
        <f t="shared" si="105"/>
        <v>1829.8127243491499</v>
      </c>
      <c r="X136" s="279">
        <f t="shared" si="105"/>
        <v>1959.7294277779395</v>
      </c>
      <c r="Y136" s="279">
        <f t="shared" si="105"/>
        <v>2098.8702171501732</v>
      </c>
      <c r="Z136" s="279">
        <f t="shared" si="105"/>
        <v>2247.8900025678349</v>
      </c>
      <c r="AA136" s="279">
        <f t="shared" si="105"/>
        <v>2407.4901927501514</v>
      </c>
      <c r="AB136" s="279">
        <f t="shared" si="105"/>
        <v>2578.421996435412</v>
      </c>
      <c r="AC136" s="279">
        <f t="shared" si="105"/>
        <v>2761.4899581823261</v>
      </c>
      <c r="AD136" s="279">
        <f t="shared" si="105"/>
        <v>2957.5557452132707</v>
      </c>
      <c r="AE136" s="279">
        <f t="shared" si="105"/>
        <v>3167.5422031234129</v>
      </c>
      <c r="AF136" s="279">
        <f t="shared" si="105"/>
        <v>3392.4376995451748</v>
      </c>
      <c r="AG136" s="279">
        <f t="shared" si="105"/>
        <v>3633.3007762128823</v>
      </c>
      <c r="AH136" s="279">
        <f t="shared" si="105"/>
        <v>3891.2651313239967</v>
      </c>
      <c r="AI136" s="279">
        <f t="shared" si="105"/>
        <v>4167.5449556479998</v>
      </c>
      <c r="AJ136" s="279">
        <f t="shared" si="105"/>
        <v>4463.4406474990083</v>
      </c>
      <c r="AK136" s="279">
        <f t="shared" si="105"/>
        <v>4780.3449334714378</v>
      </c>
      <c r="AL136" s="279">
        <f t="shared" si="105"/>
        <v>5119.7494237479095</v>
      </c>
      <c r="AM136" s="279">
        <f t="shared" si="105"/>
        <v>5483.2516328340107</v>
      </c>
      <c r="AN136" s="279">
        <f t="shared" si="105"/>
        <v>5872.5624987652254</v>
      </c>
      <c r="AO136" s="279">
        <f t="shared" si="105"/>
        <v>6289.5144361775556</v>
      </c>
      <c r="AP136" s="279">
        <f t="shared" si="105"/>
        <v>6736.0699611461614</v>
      </c>
      <c r="AQ136" s="279">
        <f t="shared" si="105"/>
        <v>7214.3309283875396</v>
      </c>
      <c r="AR136" s="279">
        <f t="shared" si="105"/>
        <v>7726.5484243030542</v>
      </c>
      <c r="AS136" s="279">
        <f t="shared" si="105"/>
        <v>8275.1333624285689</v>
      </c>
      <c r="AT136" s="279">
        <f t="shared" si="105"/>
        <v>8862.6678311609976</v>
      </c>
      <c r="AU136" s="279">
        <f t="shared" si="105"/>
        <v>9491.9172471734273</v>
      </c>
      <c r="AX136" s="280"/>
      <c r="AY136" s="280"/>
      <c r="AZ136" s="280"/>
      <c r="BA136" s="280"/>
      <c r="BB136" s="280"/>
      <c r="BC136" s="280"/>
      <c r="BD136" s="280"/>
      <c r="BE136" s="280"/>
      <c r="BF136" s="280"/>
      <c r="BG136" s="280"/>
      <c r="BH136" s="280"/>
      <c r="BI136" s="280"/>
      <c r="BJ136" s="280"/>
      <c r="BK136" s="280"/>
      <c r="BL136" s="280"/>
      <c r="BM136" s="280"/>
      <c r="BN136" s="280"/>
      <c r="BO136" s="280"/>
      <c r="BP136" s="280"/>
      <c r="BQ136" s="280"/>
      <c r="BR136" s="280"/>
      <c r="BS136" s="280"/>
      <c r="BT136" s="280"/>
      <c r="BU136" s="280"/>
      <c r="BV136" s="280"/>
      <c r="BW136" s="280"/>
      <c r="BX136" s="280"/>
      <c r="BY136" s="280"/>
      <c r="BZ136" s="280"/>
      <c r="CA136" s="280"/>
      <c r="CB136" s="280"/>
      <c r="CC136" s="280"/>
      <c r="CD136" s="280"/>
      <c r="CE136" s="280"/>
      <c r="CF136" s="280"/>
      <c r="CG136" s="280"/>
      <c r="CH136" s="280"/>
      <c r="CI136" s="280"/>
      <c r="CJ136" s="280"/>
      <c r="CL136" s="281"/>
      <c r="CM136" s="281"/>
      <c r="CN136" s="281"/>
      <c r="CO136" s="281"/>
      <c r="CP136" s="281"/>
      <c r="CQ136" s="281"/>
      <c r="CR136" s="281"/>
      <c r="CS136" s="281"/>
      <c r="CT136" s="281"/>
      <c r="CU136" s="281"/>
      <c r="CV136" s="281"/>
      <c r="CW136" s="281"/>
      <c r="CX136" s="281"/>
      <c r="CY136" s="281"/>
      <c r="CZ136" s="281"/>
      <c r="DA136" s="281"/>
      <c r="DB136" s="281"/>
      <c r="DC136" s="281"/>
      <c r="DD136" s="281"/>
      <c r="DE136" s="281"/>
      <c r="DF136" s="281"/>
      <c r="DG136" s="281"/>
      <c r="DH136" s="281"/>
      <c r="DI136" s="281"/>
      <c r="DJ136" s="281"/>
      <c r="DK136" s="281"/>
      <c r="DL136" s="281"/>
      <c r="DM136" s="281"/>
      <c r="DN136" s="281"/>
      <c r="DO136" s="281"/>
      <c r="DP136" s="281"/>
      <c r="DQ136" s="281"/>
      <c r="DR136" s="281"/>
      <c r="DS136" s="281"/>
      <c r="DT136" s="281"/>
      <c r="DU136" s="281"/>
      <c r="DV136" s="281"/>
      <c r="DW136" s="281"/>
      <c r="DX136" s="281"/>
    </row>
    <row r="137" spans="1:128" x14ac:dyDescent="0.3">
      <c r="A137" s="245" t="str">
        <f t="shared" ref="A137:F140" si="106">A77</f>
        <v>North</v>
      </c>
      <c r="B137" s="245" t="str">
        <f t="shared" si="106"/>
        <v>Silverdale West (Stage 1)</v>
      </c>
      <c r="C137" s="245">
        <f t="shared" si="106"/>
        <v>2030</v>
      </c>
      <c r="D137" s="245">
        <f t="shared" si="106"/>
        <v>2026</v>
      </c>
      <c r="E137" s="245">
        <f t="shared" si="106"/>
        <v>2030</v>
      </c>
      <c r="F137" s="245">
        <f t="shared" si="106"/>
        <v>2034</v>
      </c>
      <c r="G137" s="245" t="str">
        <f t="shared" ref="G137:G152" si="107">IF(G77="","",G77)</f>
        <v/>
      </c>
      <c r="H137" s="245" t="str">
        <f t="shared" ref="H137:H165" si="108">H77</f>
        <v>Dairy Flat</v>
      </c>
      <c r="I137" s="279">
        <f t="shared" ref="I137:AU137" si="109">I77*I$114</f>
        <v>85</v>
      </c>
      <c r="J137" s="279">
        <f t="shared" si="109"/>
        <v>87.38</v>
      </c>
      <c r="K137" s="279">
        <f t="shared" si="109"/>
        <v>247.49100000000001</v>
      </c>
      <c r="L137" s="279">
        <f t="shared" si="109"/>
        <v>258.13311299999998</v>
      </c>
      <c r="M137" s="279">
        <f t="shared" si="109"/>
        <v>276.46056402300002</v>
      </c>
      <c r="N137" s="279">
        <f t="shared" si="109"/>
        <v>296.08926406863299</v>
      </c>
      <c r="O137" s="279">
        <f t="shared" si="109"/>
        <v>563.75395878667723</v>
      </c>
      <c r="P137" s="279">
        <f t="shared" si="109"/>
        <v>603.78048986053136</v>
      </c>
      <c r="Q137" s="279">
        <f t="shared" si="109"/>
        <v>646.6489046406291</v>
      </c>
      <c r="R137" s="279">
        <f t="shared" si="109"/>
        <v>692.56097687011368</v>
      </c>
      <c r="S137" s="279">
        <f t="shared" si="109"/>
        <v>2225.1984186836753</v>
      </c>
      <c r="T137" s="279">
        <f t="shared" si="109"/>
        <v>2383.187506410216</v>
      </c>
      <c r="U137" s="279">
        <f t="shared" si="109"/>
        <v>2552.3938193653412</v>
      </c>
      <c r="V137" s="279">
        <f t="shared" si="109"/>
        <v>2733.61378054028</v>
      </c>
      <c r="W137" s="279">
        <f t="shared" si="109"/>
        <v>2927.7003589586402</v>
      </c>
      <c r="X137" s="279">
        <f t="shared" si="109"/>
        <v>3135.5670844447031</v>
      </c>
      <c r="Y137" s="279">
        <f t="shared" si="109"/>
        <v>3358.1923474402765</v>
      </c>
      <c r="Z137" s="279">
        <f t="shared" si="109"/>
        <v>3596.6240041085362</v>
      </c>
      <c r="AA137" s="279">
        <f t="shared" si="109"/>
        <v>3851.9843084002423</v>
      </c>
      <c r="AB137" s="279">
        <f t="shared" si="109"/>
        <v>4125.4751942966586</v>
      </c>
      <c r="AC137" s="279">
        <f t="shared" si="109"/>
        <v>4418.3839330917217</v>
      </c>
      <c r="AD137" s="279">
        <f t="shared" si="109"/>
        <v>4732.0891923412337</v>
      </c>
      <c r="AE137" s="279">
        <f t="shared" si="109"/>
        <v>5068.0675249974602</v>
      </c>
      <c r="AF137" s="279">
        <f t="shared" si="109"/>
        <v>5427.9003192722803</v>
      </c>
      <c r="AG137" s="279">
        <f t="shared" si="109"/>
        <v>5813.2812419406118</v>
      </c>
      <c r="AH137" s="279">
        <f t="shared" si="109"/>
        <v>6226.0242101183949</v>
      </c>
      <c r="AI137" s="279">
        <f t="shared" si="109"/>
        <v>6668.0719290368006</v>
      </c>
      <c r="AJ137" s="279">
        <f t="shared" si="109"/>
        <v>7141.5050359984125</v>
      </c>
      <c r="AK137" s="279">
        <f t="shared" si="109"/>
        <v>7648.5518935542996</v>
      </c>
      <c r="AL137" s="279">
        <f t="shared" si="109"/>
        <v>8191.5990779966551</v>
      </c>
      <c r="AM137" s="279">
        <f t="shared" si="109"/>
        <v>8773.2026125344164</v>
      </c>
      <c r="AN137" s="279">
        <f t="shared" si="109"/>
        <v>9396.0999980243596</v>
      </c>
      <c r="AO137" s="279">
        <f t="shared" si="109"/>
        <v>10063.223097884089</v>
      </c>
      <c r="AP137" s="279">
        <f t="shared" si="109"/>
        <v>10777.711937833859</v>
      </c>
      <c r="AQ137" s="279">
        <f t="shared" si="109"/>
        <v>11542.929485420063</v>
      </c>
      <c r="AR137" s="279">
        <f t="shared" si="109"/>
        <v>12362.477478884886</v>
      </c>
      <c r="AS137" s="279">
        <f t="shared" si="109"/>
        <v>13240.213379885712</v>
      </c>
      <c r="AT137" s="279">
        <f t="shared" si="109"/>
        <v>14180.268529857596</v>
      </c>
      <c r="AU137" s="279">
        <f t="shared" si="109"/>
        <v>15187.067595477485</v>
      </c>
      <c r="AX137" s="280"/>
      <c r="AY137" s="280"/>
      <c r="AZ137" s="280"/>
      <c r="BA137" s="280"/>
      <c r="BB137" s="280"/>
      <c r="BC137" s="280"/>
      <c r="BD137" s="280"/>
      <c r="BE137" s="280"/>
      <c r="BF137" s="280"/>
      <c r="BG137" s="280"/>
      <c r="BH137" s="280"/>
      <c r="BI137" s="280"/>
      <c r="BJ137" s="280"/>
      <c r="BK137" s="280"/>
      <c r="BL137" s="280"/>
      <c r="BM137" s="280"/>
      <c r="BN137" s="280"/>
      <c r="BO137" s="280"/>
      <c r="BP137" s="280"/>
      <c r="BQ137" s="280"/>
      <c r="BR137" s="280"/>
      <c r="BS137" s="280"/>
      <c r="BT137" s="280"/>
      <c r="BU137" s="280"/>
      <c r="BV137" s="280"/>
      <c r="BW137" s="280"/>
      <c r="BX137" s="280"/>
      <c r="BY137" s="280"/>
      <c r="BZ137" s="280"/>
      <c r="CA137" s="280"/>
      <c r="CB137" s="280"/>
      <c r="CC137" s="280"/>
      <c r="CD137" s="280"/>
      <c r="CE137" s="280"/>
      <c r="CF137" s="280"/>
      <c r="CG137" s="280"/>
      <c r="CH137" s="280"/>
      <c r="CI137" s="280"/>
      <c r="CJ137" s="280"/>
      <c r="CL137" s="281"/>
      <c r="CM137" s="281"/>
      <c r="CN137" s="281"/>
      <c r="CO137" s="281"/>
      <c r="CP137" s="281"/>
      <c r="CQ137" s="281"/>
      <c r="CR137" s="281"/>
      <c r="CS137" s="281"/>
      <c r="CT137" s="281"/>
      <c r="CU137" s="281"/>
      <c r="CV137" s="281"/>
      <c r="CW137" s="281"/>
      <c r="CX137" s="281"/>
      <c r="CY137" s="281"/>
      <c r="CZ137" s="281"/>
      <c r="DA137" s="281"/>
      <c r="DB137" s="281"/>
      <c r="DC137" s="281"/>
      <c r="DD137" s="281"/>
      <c r="DE137" s="281"/>
      <c r="DF137" s="281"/>
      <c r="DG137" s="281"/>
      <c r="DH137" s="281"/>
      <c r="DI137" s="281"/>
      <c r="DJ137" s="281"/>
      <c r="DK137" s="281"/>
      <c r="DL137" s="281"/>
      <c r="DM137" s="281"/>
      <c r="DN137" s="281"/>
      <c r="DO137" s="281"/>
      <c r="DP137" s="281"/>
      <c r="DQ137" s="281"/>
      <c r="DR137" s="281"/>
      <c r="DS137" s="281"/>
      <c r="DT137" s="281"/>
      <c r="DU137" s="281"/>
      <c r="DV137" s="281"/>
      <c r="DW137" s="281"/>
      <c r="DX137" s="281"/>
    </row>
    <row r="138" spans="1:128" x14ac:dyDescent="0.3">
      <c r="A138" s="245" t="str">
        <f t="shared" si="106"/>
        <v>North</v>
      </c>
      <c r="B138" s="245" t="str">
        <f t="shared" si="106"/>
        <v>Silverdale West (Stage 2)</v>
      </c>
      <c r="C138" s="245">
        <f t="shared" si="106"/>
        <v>2030</v>
      </c>
      <c r="D138" s="245">
        <f t="shared" si="106"/>
        <v>2026</v>
      </c>
      <c r="E138" s="245">
        <f t="shared" si="106"/>
        <v>2030</v>
      </c>
      <c r="F138" s="245">
        <f t="shared" si="106"/>
        <v>2034</v>
      </c>
      <c r="G138" s="245" t="str">
        <f t="shared" si="107"/>
        <v/>
      </c>
      <c r="H138" s="245" t="str">
        <f t="shared" si="108"/>
        <v>Dairy Flat</v>
      </c>
      <c r="I138" s="279">
        <f t="shared" ref="I138:AU138" si="110">I78*I$114</f>
        <v>85</v>
      </c>
      <c r="J138" s="279">
        <f t="shared" si="110"/>
        <v>87.38</v>
      </c>
      <c r="K138" s="279">
        <f t="shared" si="110"/>
        <v>247.49100000000001</v>
      </c>
      <c r="L138" s="279">
        <f t="shared" si="110"/>
        <v>258.13311299999998</v>
      </c>
      <c r="M138" s="279">
        <f t="shared" si="110"/>
        <v>276.46056402300002</v>
      </c>
      <c r="N138" s="279">
        <f t="shared" si="110"/>
        <v>296.08926406863299</v>
      </c>
      <c r="O138" s="279">
        <f t="shared" si="110"/>
        <v>563.75395878667723</v>
      </c>
      <c r="P138" s="279">
        <f t="shared" si="110"/>
        <v>603.78048986053136</v>
      </c>
      <c r="Q138" s="279">
        <f t="shared" si="110"/>
        <v>646.6489046406291</v>
      </c>
      <c r="R138" s="279">
        <f t="shared" si="110"/>
        <v>692.56097687011368</v>
      </c>
      <c r="S138" s="279">
        <f t="shared" si="110"/>
        <v>2225.1984186836753</v>
      </c>
      <c r="T138" s="279">
        <f t="shared" si="110"/>
        <v>2383.187506410216</v>
      </c>
      <c r="U138" s="279">
        <f t="shared" si="110"/>
        <v>2552.3938193653412</v>
      </c>
      <c r="V138" s="279">
        <f t="shared" si="110"/>
        <v>2733.61378054028</v>
      </c>
      <c r="W138" s="279">
        <f t="shared" si="110"/>
        <v>2927.7003589586402</v>
      </c>
      <c r="X138" s="279">
        <f t="shared" si="110"/>
        <v>3135.5670844447031</v>
      </c>
      <c r="Y138" s="279">
        <f t="shared" si="110"/>
        <v>3358.1923474402765</v>
      </c>
      <c r="Z138" s="279">
        <f t="shared" si="110"/>
        <v>3596.6240041085362</v>
      </c>
      <c r="AA138" s="279">
        <f t="shared" si="110"/>
        <v>3851.9843084002423</v>
      </c>
      <c r="AB138" s="279">
        <f t="shared" si="110"/>
        <v>4125.4751942966586</v>
      </c>
      <c r="AC138" s="279">
        <f t="shared" si="110"/>
        <v>4418.3839330917217</v>
      </c>
      <c r="AD138" s="279">
        <f t="shared" si="110"/>
        <v>4732.0891923412337</v>
      </c>
      <c r="AE138" s="279">
        <f t="shared" si="110"/>
        <v>5068.0675249974602</v>
      </c>
      <c r="AF138" s="279">
        <f t="shared" si="110"/>
        <v>5427.9003192722803</v>
      </c>
      <c r="AG138" s="279">
        <f t="shared" si="110"/>
        <v>5813.2812419406118</v>
      </c>
      <c r="AH138" s="279">
        <f t="shared" si="110"/>
        <v>6226.0242101183949</v>
      </c>
      <c r="AI138" s="279">
        <f t="shared" si="110"/>
        <v>6668.0719290368006</v>
      </c>
      <c r="AJ138" s="279">
        <f t="shared" si="110"/>
        <v>7141.5050359984125</v>
      </c>
      <c r="AK138" s="279">
        <f t="shared" si="110"/>
        <v>7648.5518935542996</v>
      </c>
      <c r="AL138" s="279">
        <f t="shared" si="110"/>
        <v>8191.5990779966551</v>
      </c>
      <c r="AM138" s="279">
        <f t="shared" si="110"/>
        <v>8773.2026125344164</v>
      </c>
      <c r="AN138" s="279">
        <f t="shared" si="110"/>
        <v>9396.0999980243596</v>
      </c>
      <c r="AO138" s="279">
        <f t="shared" si="110"/>
        <v>10063.223097884089</v>
      </c>
      <c r="AP138" s="279">
        <f t="shared" si="110"/>
        <v>10777.711937833859</v>
      </c>
      <c r="AQ138" s="279">
        <f t="shared" si="110"/>
        <v>11542.929485420063</v>
      </c>
      <c r="AR138" s="279">
        <f t="shared" si="110"/>
        <v>12362.477478884886</v>
      </c>
      <c r="AS138" s="279">
        <f t="shared" si="110"/>
        <v>13240.213379885712</v>
      </c>
      <c r="AT138" s="279">
        <f t="shared" si="110"/>
        <v>14180.268529857596</v>
      </c>
      <c r="AU138" s="279">
        <f t="shared" si="110"/>
        <v>15187.067595477485</v>
      </c>
      <c r="AX138" s="280"/>
      <c r="AY138" s="280"/>
      <c r="AZ138" s="280"/>
      <c r="BA138" s="280"/>
      <c r="BB138" s="280"/>
      <c r="BC138" s="280"/>
      <c r="BD138" s="280"/>
      <c r="BE138" s="280"/>
      <c r="BF138" s="280"/>
      <c r="BG138" s="280"/>
      <c r="BH138" s="280"/>
      <c r="BI138" s="280"/>
      <c r="BJ138" s="280"/>
      <c r="BK138" s="280"/>
      <c r="BL138" s="280"/>
      <c r="BM138" s="280"/>
      <c r="BN138" s="280"/>
      <c r="BO138" s="280"/>
      <c r="BP138" s="280"/>
      <c r="BQ138" s="280"/>
      <c r="BR138" s="280"/>
      <c r="BS138" s="280"/>
      <c r="BT138" s="280"/>
      <c r="BU138" s="280"/>
      <c r="BV138" s="280"/>
      <c r="BW138" s="280"/>
      <c r="BX138" s="280"/>
      <c r="BY138" s="280"/>
      <c r="BZ138" s="280"/>
      <c r="CA138" s="280"/>
      <c r="CB138" s="280"/>
      <c r="CC138" s="280"/>
      <c r="CD138" s="280"/>
      <c r="CE138" s="280"/>
      <c r="CF138" s="280"/>
      <c r="CG138" s="280"/>
      <c r="CH138" s="280"/>
      <c r="CI138" s="280"/>
      <c r="CJ138" s="280"/>
      <c r="CL138" s="281"/>
      <c r="CM138" s="281"/>
      <c r="CN138" s="281"/>
      <c r="CO138" s="281"/>
      <c r="CP138" s="281"/>
      <c r="CQ138" s="281"/>
      <c r="CR138" s="281"/>
      <c r="CS138" s="281"/>
      <c r="CT138" s="281"/>
      <c r="CU138" s="281"/>
      <c r="CV138" s="281"/>
      <c r="CW138" s="281"/>
      <c r="CX138" s="281"/>
      <c r="CY138" s="281"/>
      <c r="CZ138" s="281"/>
      <c r="DA138" s="281"/>
      <c r="DB138" s="281"/>
      <c r="DC138" s="281"/>
      <c r="DD138" s="281"/>
      <c r="DE138" s="281"/>
      <c r="DF138" s="281"/>
      <c r="DG138" s="281"/>
      <c r="DH138" s="281"/>
      <c r="DI138" s="281"/>
      <c r="DJ138" s="281"/>
      <c r="DK138" s="281"/>
      <c r="DL138" s="281"/>
      <c r="DM138" s="281"/>
      <c r="DN138" s="281"/>
      <c r="DO138" s="281"/>
      <c r="DP138" s="281"/>
      <c r="DQ138" s="281"/>
      <c r="DR138" s="281"/>
      <c r="DS138" s="281"/>
      <c r="DT138" s="281"/>
      <c r="DU138" s="281"/>
      <c r="DV138" s="281"/>
      <c r="DW138" s="281"/>
      <c r="DX138" s="281"/>
    </row>
    <row r="139" spans="1:128" x14ac:dyDescent="0.3">
      <c r="A139" s="245" t="str">
        <f t="shared" si="106"/>
        <v>North</v>
      </c>
      <c r="B139" s="245" t="str">
        <f t="shared" si="106"/>
        <v>Silverdale West (Stage 3)</v>
      </c>
      <c r="C139" s="245">
        <f t="shared" si="106"/>
        <v>2035</v>
      </c>
      <c r="D139" s="245">
        <f t="shared" si="106"/>
        <v>2031</v>
      </c>
      <c r="E139" s="245">
        <f t="shared" si="106"/>
        <v>2035</v>
      </c>
      <c r="F139" s="245">
        <f t="shared" si="106"/>
        <v>2039</v>
      </c>
      <c r="G139" s="245" t="str">
        <f t="shared" si="107"/>
        <v/>
      </c>
      <c r="H139" s="245" t="str">
        <f t="shared" si="108"/>
        <v>Dairy Flat</v>
      </c>
      <c r="I139" s="279">
        <f t="shared" ref="I139:AU139" si="111">I79*I$114</f>
        <v>85</v>
      </c>
      <c r="J139" s="279">
        <f t="shared" si="111"/>
        <v>87.38</v>
      </c>
      <c r="K139" s="279">
        <f t="shared" si="111"/>
        <v>93.496600000000001</v>
      </c>
      <c r="L139" s="279">
        <f t="shared" si="111"/>
        <v>97.516953799999996</v>
      </c>
      <c r="M139" s="279">
        <f t="shared" si="111"/>
        <v>104.4406575198</v>
      </c>
      <c r="N139" s="279">
        <f t="shared" si="111"/>
        <v>111.8559442037058</v>
      </c>
      <c r="O139" s="279">
        <f t="shared" si="111"/>
        <v>119.79771624216892</v>
      </c>
      <c r="P139" s="279">
        <f t="shared" si="111"/>
        <v>339.62652554654886</v>
      </c>
      <c r="Q139" s="279">
        <f t="shared" si="111"/>
        <v>363.74000886035384</v>
      </c>
      <c r="R139" s="279">
        <f t="shared" si="111"/>
        <v>389.56554948943898</v>
      </c>
      <c r="S139" s="279">
        <f t="shared" si="111"/>
        <v>417.22470350318912</v>
      </c>
      <c r="T139" s="279">
        <f t="shared" si="111"/>
        <v>794.39583547007203</v>
      </c>
      <c r="U139" s="279">
        <f t="shared" si="111"/>
        <v>850.79793978844714</v>
      </c>
      <c r="V139" s="279">
        <f t="shared" si="111"/>
        <v>911.20459351342674</v>
      </c>
      <c r="W139" s="279">
        <f t="shared" si="111"/>
        <v>975.90011965287999</v>
      </c>
      <c r="X139" s="279">
        <f t="shared" si="111"/>
        <v>3135.5670844447031</v>
      </c>
      <c r="Y139" s="279">
        <f t="shared" si="111"/>
        <v>3358.1923474402765</v>
      </c>
      <c r="Z139" s="279">
        <f t="shared" si="111"/>
        <v>3596.6240041085362</v>
      </c>
      <c r="AA139" s="279">
        <f t="shared" si="111"/>
        <v>3851.9843084002423</v>
      </c>
      <c r="AB139" s="279">
        <f t="shared" si="111"/>
        <v>4125.4751942966586</v>
      </c>
      <c r="AC139" s="279">
        <f t="shared" si="111"/>
        <v>4418.3839330917217</v>
      </c>
      <c r="AD139" s="279">
        <f t="shared" si="111"/>
        <v>4732.0891923412337</v>
      </c>
      <c r="AE139" s="279">
        <f t="shared" si="111"/>
        <v>5068.0675249974602</v>
      </c>
      <c r="AF139" s="279">
        <f t="shared" si="111"/>
        <v>5427.9003192722803</v>
      </c>
      <c r="AG139" s="279">
        <f t="shared" si="111"/>
        <v>5813.2812419406118</v>
      </c>
      <c r="AH139" s="279">
        <f t="shared" si="111"/>
        <v>6226.0242101183949</v>
      </c>
      <c r="AI139" s="279">
        <f t="shared" si="111"/>
        <v>6668.0719290368006</v>
      </c>
      <c r="AJ139" s="279">
        <f t="shared" si="111"/>
        <v>7141.5050359984125</v>
      </c>
      <c r="AK139" s="279">
        <f t="shared" si="111"/>
        <v>7648.5518935542996</v>
      </c>
      <c r="AL139" s="279">
        <f t="shared" si="111"/>
        <v>8191.5990779966551</v>
      </c>
      <c r="AM139" s="279">
        <f t="shared" si="111"/>
        <v>8773.2026125344164</v>
      </c>
      <c r="AN139" s="279">
        <f t="shared" si="111"/>
        <v>9396.0999980243596</v>
      </c>
      <c r="AO139" s="279">
        <f t="shared" si="111"/>
        <v>10063.223097884089</v>
      </c>
      <c r="AP139" s="279">
        <f t="shared" si="111"/>
        <v>10777.711937833859</v>
      </c>
      <c r="AQ139" s="279">
        <f t="shared" si="111"/>
        <v>11542.929485420063</v>
      </c>
      <c r="AR139" s="279">
        <f t="shared" si="111"/>
        <v>12362.477478884886</v>
      </c>
      <c r="AS139" s="279">
        <f t="shared" si="111"/>
        <v>13240.213379885712</v>
      </c>
      <c r="AT139" s="279">
        <f t="shared" si="111"/>
        <v>14180.268529857596</v>
      </c>
      <c r="AU139" s="279">
        <f t="shared" si="111"/>
        <v>15187.067595477485</v>
      </c>
      <c r="AX139" s="280"/>
      <c r="AY139" s="280"/>
      <c r="AZ139" s="280"/>
      <c r="BA139" s="280"/>
      <c r="BB139" s="280"/>
      <c r="BC139" s="280"/>
      <c r="BD139" s="280"/>
      <c r="BE139" s="280"/>
      <c r="BF139" s="280"/>
      <c r="BG139" s="280"/>
      <c r="BH139" s="280"/>
      <c r="BI139" s="280"/>
      <c r="BJ139" s="280"/>
      <c r="BK139" s="280"/>
      <c r="BL139" s="280"/>
      <c r="BM139" s="280"/>
      <c r="BN139" s="280"/>
      <c r="BO139" s="280"/>
      <c r="BP139" s="280"/>
      <c r="BQ139" s="280"/>
      <c r="BR139" s="280"/>
      <c r="BS139" s="280"/>
      <c r="BT139" s="280"/>
      <c r="BU139" s="280"/>
      <c r="BV139" s="280"/>
      <c r="BW139" s="280"/>
      <c r="BX139" s="280"/>
      <c r="BY139" s="280"/>
      <c r="BZ139" s="280"/>
      <c r="CA139" s="280"/>
      <c r="CB139" s="280"/>
      <c r="CC139" s="280"/>
      <c r="CD139" s="280"/>
      <c r="CE139" s="280"/>
      <c r="CF139" s="280"/>
      <c r="CG139" s="280"/>
      <c r="CH139" s="280"/>
      <c r="CI139" s="280"/>
      <c r="CJ139" s="280"/>
      <c r="CL139" s="281"/>
      <c r="CM139" s="281"/>
      <c r="CN139" s="281"/>
      <c r="CO139" s="281"/>
      <c r="CP139" s="281"/>
      <c r="CQ139" s="281"/>
      <c r="CR139" s="281"/>
      <c r="CS139" s="281"/>
      <c r="CT139" s="281"/>
      <c r="CU139" s="281"/>
      <c r="CV139" s="281"/>
      <c r="CW139" s="281"/>
      <c r="CX139" s="281"/>
      <c r="CY139" s="281"/>
      <c r="CZ139" s="281"/>
      <c r="DA139" s="281"/>
      <c r="DB139" s="281"/>
      <c r="DC139" s="281"/>
      <c r="DD139" s="281"/>
      <c r="DE139" s="281"/>
      <c r="DF139" s="281"/>
      <c r="DG139" s="281"/>
      <c r="DH139" s="281"/>
      <c r="DI139" s="281"/>
      <c r="DJ139" s="281"/>
      <c r="DK139" s="281"/>
      <c r="DL139" s="281"/>
      <c r="DM139" s="281"/>
      <c r="DN139" s="281"/>
      <c r="DO139" s="281"/>
      <c r="DP139" s="281"/>
      <c r="DQ139" s="281"/>
      <c r="DR139" s="281"/>
      <c r="DS139" s="281"/>
      <c r="DT139" s="281"/>
      <c r="DU139" s="281"/>
      <c r="DV139" s="281"/>
      <c r="DW139" s="281"/>
      <c r="DX139" s="281"/>
    </row>
    <row r="140" spans="1:128" x14ac:dyDescent="0.3">
      <c r="A140" s="245" t="str">
        <f t="shared" si="106"/>
        <v>North</v>
      </c>
      <c r="B140" s="245" t="str">
        <f t="shared" si="106"/>
        <v>Weiti</v>
      </c>
      <c r="C140" s="245">
        <f t="shared" si="106"/>
        <v>2035</v>
      </c>
      <c r="D140" s="245">
        <f t="shared" si="106"/>
        <v>2031</v>
      </c>
      <c r="E140" s="245">
        <f t="shared" si="106"/>
        <v>2035</v>
      </c>
      <c r="F140" s="245">
        <f t="shared" si="106"/>
        <v>2039</v>
      </c>
      <c r="G140" s="245" t="str">
        <f t="shared" si="107"/>
        <v/>
      </c>
      <c r="H140" s="245" t="str">
        <f t="shared" si="108"/>
        <v>Dairy Flat</v>
      </c>
      <c r="I140" s="279">
        <f t="shared" ref="I140:AU140" si="112">I80*I$114</f>
        <v>85</v>
      </c>
      <c r="J140" s="279">
        <f t="shared" si="112"/>
        <v>87.38</v>
      </c>
      <c r="K140" s="279">
        <f t="shared" si="112"/>
        <v>93.496600000000001</v>
      </c>
      <c r="L140" s="279">
        <f t="shared" si="112"/>
        <v>97.516953799999996</v>
      </c>
      <c r="M140" s="279">
        <f t="shared" si="112"/>
        <v>104.4406575198</v>
      </c>
      <c r="N140" s="279">
        <f t="shared" si="112"/>
        <v>111.8559442037058</v>
      </c>
      <c r="O140" s="279">
        <f t="shared" si="112"/>
        <v>119.79771624216892</v>
      </c>
      <c r="P140" s="279">
        <f t="shared" si="112"/>
        <v>339.62652554654886</v>
      </c>
      <c r="Q140" s="279">
        <f t="shared" si="112"/>
        <v>363.74000886035384</v>
      </c>
      <c r="R140" s="279">
        <f t="shared" si="112"/>
        <v>389.56554948943898</v>
      </c>
      <c r="S140" s="279">
        <f t="shared" si="112"/>
        <v>417.22470350318912</v>
      </c>
      <c r="T140" s="279">
        <f t="shared" si="112"/>
        <v>794.39583547007203</v>
      </c>
      <c r="U140" s="279">
        <f t="shared" si="112"/>
        <v>850.79793978844714</v>
      </c>
      <c r="V140" s="279">
        <f t="shared" si="112"/>
        <v>911.20459351342674</v>
      </c>
      <c r="W140" s="279">
        <f t="shared" si="112"/>
        <v>975.90011965287999</v>
      </c>
      <c r="X140" s="279">
        <f t="shared" si="112"/>
        <v>3135.5670844447031</v>
      </c>
      <c r="Y140" s="279">
        <f t="shared" si="112"/>
        <v>3358.1923474402765</v>
      </c>
      <c r="Z140" s="279">
        <f t="shared" si="112"/>
        <v>3596.6240041085362</v>
      </c>
      <c r="AA140" s="279">
        <f t="shared" si="112"/>
        <v>3851.9843084002423</v>
      </c>
      <c r="AB140" s="279">
        <f t="shared" si="112"/>
        <v>4125.4751942966586</v>
      </c>
      <c r="AC140" s="279">
        <f t="shared" si="112"/>
        <v>4418.3839330917217</v>
      </c>
      <c r="AD140" s="279">
        <f t="shared" si="112"/>
        <v>4732.0891923412337</v>
      </c>
      <c r="AE140" s="279">
        <f t="shared" si="112"/>
        <v>5068.0675249974602</v>
      </c>
      <c r="AF140" s="279">
        <f t="shared" si="112"/>
        <v>5427.9003192722803</v>
      </c>
      <c r="AG140" s="279">
        <f t="shared" si="112"/>
        <v>5813.2812419406118</v>
      </c>
      <c r="AH140" s="279">
        <f t="shared" si="112"/>
        <v>6226.0242101183949</v>
      </c>
      <c r="AI140" s="279">
        <f t="shared" si="112"/>
        <v>6668.0719290368006</v>
      </c>
      <c r="AJ140" s="279">
        <f t="shared" si="112"/>
        <v>7141.5050359984125</v>
      </c>
      <c r="AK140" s="279">
        <f t="shared" si="112"/>
        <v>7648.5518935542996</v>
      </c>
      <c r="AL140" s="279">
        <f t="shared" si="112"/>
        <v>8191.5990779966551</v>
      </c>
      <c r="AM140" s="279">
        <f t="shared" si="112"/>
        <v>8773.2026125344164</v>
      </c>
      <c r="AN140" s="279">
        <f t="shared" si="112"/>
        <v>9396.0999980243596</v>
      </c>
      <c r="AO140" s="279">
        <f t="shared" si="112"/>
        <v>10063.223097884089</v>
      </c>
      <c r="AP140" s="279">
        <f t="shared" si="112"/>
        <v>10777.711937833859</v>
      </c>
      <c r="AQ140" s="279">
        <f t="shared" si="112"/>
        <v>11542.929485420063</v>
      </c>
      <c r="AR140" s="279">
        <f t="shared" si="112"/>
        <v>12362.477478884886</v>
      </c>
      <c r="AS140" s="279">
        <f t="shared" si="112"/>
        <v>13240.213379885712</v>
      </c>
      <c r="AT140" s="279">
        <f t="shared" si="112"/>
        <v>14180.268529857596</v>
      </c>
      <c r="AU140" s="279">
        <f t="shared" si="112"/>
        <v>15187.067595477485</v>
      </c>
      <c r="AX140" s="280"/>
      <c r="AY140" s="280"/>
      <c r="AZ140" s="280"/>
      <c r="BA140" s="280"/>
      <c r="BB140" s="280"/>
      <c r="BC140" s="280"/>
      <c r="BD140" s="280"/>
      <c r="BE140" s="280"/>
      <c r="BF140" s="280"/>
      <c r="BG140" s="280"/>
      <c r="BH140" s="280"/>
      <c r="BI140" s="280"/>
      <c r="BJ140" s="280"/>
      <c r="BK140" s="280"/>
      <c r="BL140" s="280"/>
      <c r="BM140" s="280"/>
      <c r="BN140" s="280"/>
      <c r="BO140" s="280"/>
      <c r="BP140" s="280"/>
      <c r="BQ140" s="280"/>
      <c r="BR140" s="280"/>
      <c r="BS140" s="280"/>
      <c r="BT140" s="280"/>
      <c r="BU140" s="280"/>
      <c r="BV140" s="280"/>
      <c r="BW140" s="280"/>
      <c r="BX140" s="280"/>
      <c r="BY140" s="280"/>
      <c r="BZ140" s="280"/>
      <c r="CA140" s="280"/>
      <c r="CB140" s="280"/>
      <c r="CC140" s="280"/>
      <c r="CD140" s="280"/>
      <c r="CE140" s="280"/>
      <c r="CF140" s="280"/>
      <c r="CG140" s="280"/>
      <c r="CH140" s="280"/>
      <c r="CI140" s="280"/>
      <c r="CJ140" s="280"/>
      <c r="CL140" s="281"/>
      <c r="CM140" s="281"/>
      <c r="CN140" s="281"/>
      <c r="CO140" s="281"/>
      <c r="CP140" s="281"/>
      <c r="CQ140" s="281"/>
      <c r="CR140" s="281"/>
      <c r="CS140" s="281"/>
      <c r="CT140" s="281"/>
      <c r="CU140" s="281"/>
      <c r="CV140" s="281"/>
      <c r="CW140" s="281"/>
      <c r="CX140" s="281"/>
      <c r="CY140" s="281"/>
      <c r="CZ140" s="281"/>
      <c r="DA140" s="281"/>
      <c r="DB140" s="281"/>
      <c r="DC140" s="281"/>
      <c r="DD140" s="281"/>
      <c r="DE140" s="281"/>
      <c r="DF140" s="281"/>
      <c r="DG140" s="281"/>
      <c r="DH140" s="281"/>
      <c r="DI140" s="281"/>
      <c r="DJ140" s="281"/>
      <c r="DK140" s="281"/>
      <c r="DL140" s="281"/>
      <c r="DM140" s="281"/>
      <c r="DN140" s="281"/>
      <c r="DO140" s="281"/>
      <c r="DP140" s="281"/>
      <c r="DQ140" s="281"/>
      <c r="DR140" s="281"/>
      <c r="DS140" s="281"/>
      <c r="DT140" s="281"/>
      <c r="DU140" s="281"/>
      <c r="DV140" s="281"/>
      <c r="DW140" s="281"/>
      <c r="DX140" s="281"/>
    </row>
    <row r="141" spans="1:128" x14ac:dyDescent="0.3">
      <c r="A141" s="245" t="str">
        <f t="shared" ref="A141:F150" si="113">A81</f>
        <v>North</v>
      </c>
      <c r="B141" s="245" t="str">
        <f t="shared" si="113"/>
        <v>Dairy Flat</v>
      </c>
      <c r="C141" s="245">
        <f t="shared" si="113"/>
        <v>2050</v>
      </c>
      <c r="D141" s="245">
        <f t="shared" si="113"/>
        <v>2046</v>
      </c>
      <c r="E141" s="245">
        <f t="shared" si="113"/>
        <v>2050</v>
      </c>
      <c r="F141" s="245">
        <f t="shared" si="113"/>
        <v>2054</v>
      </c>
      <c r="G141" s="245" t="str">
        <f t="shared" si="107"/>
        <v/>
      </c>
      <c r="H141" s="245" t="str">
        <f t="shared" si="108"/>
        <v>Dairy Flat</v>
      </c>
      <c r="I141" s="279">
        <f t="shared" ref="I141:AU141" si="114">I81*I$114</f>
        <v>85</v>
      </c>
      <c r="J141" s="279">
        <f t="shared" si="114"/>
        <v>87.38</v>
      </c>
      <c r="K141" s="279">
        <f t="shared" si="114"/>
        <v>93.496600000000001</v>
      </c>
      <c r="L141" s="279">
        <f t="shared" si="114"/>
        <v>97.516953799999996</v>
      </c>
      <c r="M141" s="279">
        <f t="shared" si="114"/>
        <v>104.4406575198</v>
      </c>
      <c r="N141" s="279">
        <f t="shared" si="114"/>
        <v>111.8559442037058</v>
      </c>
      <c r="O141" s="279">
        <f t="shared" si="114"/>
        <v>119.79771624216892</v>
      </c>
      <c r="P141" s="279">
        <f t="shared" si="114"/>
        <v>128.30335409536292</v>
      </c>
      <c r="Q141" s="279">
        <f t="shared" si="114"/>
        <v>137.41289223613367</v>
      </c>
      <c r="R141" s="279">
        <f t="shared" si="114"/>
        <v>147.16920758489917</v>
      </c>
      <c r="S141" s="279">
        <f t="shared" si="114"/>
        <v>157.61822132342701</v>
      </c>
      <c r="T141" s="279">
        <f t="shared" si="114"/>
        <v>168.80911503739031</v>
      </c>
      <c r="U141" s="279">
        <f t="shared" si="114"/>
        <v>180.794562205045</v>
      </c>
      <c r="V141" s="279">
        <f t="shared" si="114"/>
        <v>193.63097612160317</v>
      </c>
      <c r="W141" s="279">
        <f t="shared" si="114"/>
        <v>207.37877542623698</v>
      </c>
      <c r="X141" s="279">
        <f t="shared" si="114"/>
        <v>222.10266848149982</v>
      </c>
      <c r="Y141" s="279">
        <f t="shared" si="114"/>
        <v>237.87195794368628</v>
      </c>
      <c r="Z141" s="279">
        <f t="shared" si="114"/>
        <v>254.76086695768797</v>
      </c>
      <c r="AA141" s="279">
        <f t="shared" si="114"/>
        <v>272.84888851168381</v>
      </c>
      <c r="AB141" s="279">
        <f t="shared" si="114"/>
        <v>292.22115959601336</v>
      </c>
      <c r="AC141" s="279">
        <f t="shared" si="114"/>
        <v>312.96886192733029</v>
      </c>
      <c r="AD141" s="279">
        <f t="shared" si="114"/>
        <v>335.18965112417067</v>
      </c>
      <c r="AE141" s="279">
        <f t="shared" si="114"/>
        <v>950.26266093702384</v>
      </c>
      <c r="AF141" s="279">
        <f t="shared" si="114"/>
        <v>1017.7313098635525</v>
      </c>
      <c r="AG141" s="279">
        <f t="shared" si="114"/>
        <v>1089.9902328638645</v>
      </c>
      <c r="AH141" s="279">
        <f t="shared" si="114"/>
        <v>1167.3795393971989</v>
      </c>
      <c r="AI141" s="279">
        <f t="shared" si="114"/>
        <v>2222.6906430122667</v>
      </c>
      <c r="AJ141" s="279">
        <f t="shared" si="114"/>
        <v>2380.5016786661376</v>
      </c>
      <c r="AK141" s="279">
        <f t="shared" si="114"/>
        <v>2549.5172978514333</v>
      </c>
      <c r="AL141" s="279">
        <f t="shared" si="114"/>
        <v>2730.533025998885</v>
      </c>
      <c r="AM141" s="279">
        <f t="shared" si="114"/>
        <v>8773.2026125344164</v>
      </c>
      <c r="AN141" s="279">
        <f t="shared" si="114"/>
        <v>9396.0999980243596</v>
      </c>
      <c r="AO141" s="279">
        <f t="shared" si="114"/>
        <v>10063.223097884089</v>
      </c>
      <c r="AP141" s="279">
        <f t="shared" si="114"/>
        <v>10777.711937833859</v>
      </c>
      <c r="AQ141" s="279">
        <f t="shared" si="114"/>
        <v>11542.929485420063</v>
      </c>
      <c r="AR141" s="279">
        <f t="shared" si="114"/>
        <v>12362.477478884886</v>
      </c>
      <c r="AS141" s="279">
        <f t="shared" si="114"/>
        <v>13240.213379885712</v>
      </c>
      <c r="AT141" s="279">
        <f t="shared" si="114"/>
        <v>14180.268529857596</v>
      </c>
      <c r="AU141" s="279">
        <f t="shared" si="114"/>
        <v>15187.067595477485</v>
      </c>
      <c r="AX141" s="280"/>
      <c r="AY141" s="280"/>
      <c r="AZ141" s="280"/>
      <c r="BA141" s="280"/>
      <c r="BB141" s="280"/>
      <c r="BC141" s="280"/>
      <c r="BD141" s="280"/>
      <c r="BE141" s="280"/>
      <c r="BF141" s="280"/>
      <c r="BG141" s="280"/>
      <c r="BH141" s="280"/>
      <c r="BI141" s="280"/>
      <c r="BJ141" s="280"/>
      <c r="BK141" s="280"/>
      <c r="BL141" s="280"/>
      <c r="BM141" s="280"/>
      <c r="BN141" s="280"/>
      <c r="BO141" s="280"/>
      <c r="BP141" s="280"/>
      <c r="BQ141" s="280"/>
      <c r="BR141" s="280"/>
      <c r="BS141" s="280"/>
      <c r="BT141" s="280"/>
      <c r="BU141" s="280"/>
      <c r="BV141" s="280"/>
      <c r="BW141" s="280"/>
      <c r="BX141" s="280"/>
      <c r="BY141" s="280"/>
      <c r="BZ141" s="280"/>
      <c r="CA141" s="280"/>
      <c r="CB141" s="280"/>
      <c r="CC141" s="280"/>
      <c r="CD141" s="280"/>
      <c r="CE141" s="280"/>
      <c r="CF141" s="280"/>
      <c r="CG141" s="280"/>
      <c r="CH141" s="280"/>
      <c r="CI141" s="280"/>
      <c r="CJ141" s="280"/>
      <c r="CL141" s="281"/>
      <c r="CM141" s="281"/>
      <c r="CN141" s="281"/>
      <c r="CO141" s="281"/>
      <c r="CP141" s="281"/>
      <c r="CQ141" s="281"/>
      <c r="CR141" s="281"/>
      <c r="CS141" s="281"/>
      <c r="CT141" s="281"/>
      <c r="CU141" s="281"/>
      <c r="CV141" s="281"/>
      <c r="CW141" s="281"/>
      <c r="CX141" s="281"/>
      <c r="CY141" s="281"/>
      <c r="CZ141" s="281"/>
      <c r="DA141" s="281"/>
      <c r="DB141" s="281"/>
      <c r="DC141" s="281"/>
      <c r="DD141" s="281"/>
      <c r="DE141" s="281"/>
      <c r="DF141" s="281"/>
      <c r="DG141" s="281"/>
      <c r="DH141" s="281"/>
      <c r="DI141" s="281"/>
      <c r="DJ141" s="281"/>
      <c r="DK141" s="281"/>
      <c r="DL141" s="281"/>
      <c r="DM141" s="281"/>
      <c r="DN141" s="281"/>
      <c r="DO141" s="281"/>
      <c r="DP141" s="281"/>
      <c r="DQ141" s="281"/>
      <c r="DR141" s="281"/>
      <c r="DS141" s="281"/>
      <c r="DT141" s="281"/>
      <c r="DU141" s="281"/>
      <c r="DV141" s="281"/>
      <c r="DW141" s="281"/>
      <c r="DX141" s="281"/>
    </row>
    <row r="142" spans="1:128" x14ac:dyDescent="0.3">
      <c r="A142" s="245" t="str">
        <f t="shared" si="113"/>
        <v>North</v>
      </c>
      <c r="B142" s="245" t="str">
        <f t="shared" si="113"/>
        <v>Wainui East</v>
      </c>
      <c r="C142" s="245">
        <f t="shared" si="113"/>
        <v>2050</v>
      </c>
      <c r="D142" s="245">
        <f t="shared" si="113"/>
        <v>2046</v>
      </c>
      <c r="E142" s="245">
        <f t="shared" si="113"/>
        <v>2050</v>
      </c>
      <c r="F142" s="245">
        <f t="shared" si="113"/>
        <v>2054</v>
      </c>
      <c r="G142" s="245" t="str">
        <f t="shared" si="107"/>
        <v/>
      </c>
      <c r="H142" s="245" t="str">
        <f t="shared" si="108"/>
        <v>Orewa-Hibiscus</v>
      </c>
      <c r="I142" s="279">
        <f t="shared" ref="I142:AU142" si="115">I82*I$114</f>
        <v>85</v>
      </c>
      <c r="J142" s="279">
        <f t="shared" si="115"/>
        <v>87.38</v>
      </c>
      <c r="K142" s="279">
        <f t="shared" si="115"/>
        <v>93.496600000000001</v>
      </c>
      <c r="L142" s="279">
        <f t="shared" si="115"/>
        <v>97.516953799999996</v>
      </c>
      <c r="M142" s="279">
        <f t="shared" si="115"/>
        <v>104.4406575198</v>
      </c>
      <c r="N142" s="279">
        <f t="shared" si="115"/>
        <v>111.8559442037058</v>
      </c>
      <c r="O142" s="279">
        <f t="shared" si="115"/>
        <v>119.79771624216892</v>
      </c>
      <c r="P142" s="279">
        <f t="shared" si="115"/>
        <v>128.30335409536292</v>
      </c>
      <c r="Q142" s="279">
        <f t="shared" si="115"/>
        <v>137.41289223613367</v>
      </c>
      <c r="R142" s="279">
        <f t="shared" si="115"/>
        <v>147.16920758489917</v>
      </c>
      <c r="S142" s="279">
        <f t="shared" si="115"/>
        <v>157.61822132342701</v>
      </c>
      <c r="T142" s="279">
        <f t="shared" si="115"/>
        <v>168.80911503739031</v>
      </c>
      <c r="U142" s="279">
        <f t="shared" si="115"/>
        <v>180.794562205045</v>
      </c>
      <c r="V142" s="279">
        <f t="shared" si="115"/>
        <v>193.63097612160317</v>
      </c>
      <c r="W142" s="279">
        <f t="shared" si="115"/>
        <v>207.37877542623698</v>
      </c>
      <c r="X142" s="279">
        <f t="shared" si="115"/>
        <v>222.10266848149982</v>
      </c>
      <c r="Y142" s="279">
        <f t="shared" si="115"/>
        <v>237.87195794368628</v>
      </c>
      <c r="Z142" s="279">
        <f t="shared" si="115"/>
        <v>254.76086695768797</v>
      </c>
      <c r="AA142" s="279">
        <f t="shared" si="115"/>
        <v>272.84888851168381</v>
      </c>
      <c r="AB142" s="279">
        <f t="shared" si="115"/>
        <v>292.22115959601336</v>
      </c>
      <c r="AC142" s="279">
        <f t="shared" si="115"/>
        <v>312.96886192733029</v>
      </c>
      <c r="AD142" s="279">
        <f t="shared" si="115"/>
        <v>335.18965112417067</v>
      </c>
      <c r="AE142" s="279">
        <f t="shared" si="115"/>
        <v>950.26266093702384</v>
      </c>
      <c r="AF142" s="279">
        <f t="shared" si="115"/>
        <v>1017.7313098635525</v>
      </c>
      <c r="AG142" s="279">
        <f t="shared" si="115"/>
        <v>1089.9902328638645</v>
      </c>
      <c r="AH142" s="279">
        <f t="shared" si="115"/>
        <v>1167.3795393971989</v>
      </c>
      <c r="AI142" s="279">
        <f t="shared" si="115"/>
        <v>2222.6906430122667</v>
      </c>
      <c r="AJ142" s="279">
        <f t="shared" si="115"/>
        <v>2380.5016786661376</v>
      </c>
      <c r="AK142" s="279">
        <f t="shared" si="115"/>
        <v>2549.5172978514333</v>
      </c>
      <c r="AL142" s="279">
        <f t="shared" si="115"/>
        <v>2730.533025998885</v>
      </c>
      <c r="AM142" s="279">
        <f t="shared" si="115"/>
        <v>8773.2026125344164</v>
      </c>
      <c r="AN142" s="279">
        <f t="shared" si="115"/>
        <v>9396.0999980243596</v>
      </c>
      <c r="AO142" s="279">
        <f t="shared" si="115"/>
        <v>10063.223097884089</v>
      </c>
      <c r="AP142" s="279">
        <f t="shared" si="115"/>
        <v>10777.711937833859</v>
      </c>
      <c r="AQ142" s="279">
        <f t="shared" si="115"/>
        <v>11542.929485420063</v>
      </c>
      <c r="AR142" s="279">
        <f t="shared" si="115"/>
        <v>12362.477478884886</v>
      </c>
      <c r="AS142" s="279">
        <f t="shared" si="115"/>
        <v>13240.213379885712</v>
      </c>
      <c r="AT142" s="279">
        <f t="shared" si="115"/>
        <v>14180.268529857596</v>
      </c>
      <c r="AU142" s="279">
        <f t="shared" si="115"/>
        <v>15187.067595477485</v>
      </c>
      <c r="AX142" s="280"/>
      <c r="AY142" s="280"/>
      <c r="AZ142" s="280"/>
      <c r="BA142" s="280"/>
      <c r="BB142" s="280"/>
      <c r="BC142" s="280"/>
      <c r="BD142" s="280"/>
      <c r="BE142" s="280"/>
      <c r="BF142" s="280"/>
      <c r="BG142" s="280"/>
      <c r="BH142" s="280"/>
      <c r="BI142" s="280"/>
      <c r="BJ142" s="280"/>
      <c r="BK142" s="280"/>
      <c r="BL142" s="280"/>
      <c r="BM142" s="280"/>
      <c r="BN142" s="280"/>
      <c r="BO142" s="280"/>
      <c r="BP142" s="280"/>
      <c r="BQ142" s="280"/>
      <c r="BR142" s="280"/>
      <c r="BS142" s="280"/>
      <c r="BT142" s="280"/>
      <c r="BU142" s="280"/>
      <c r="BV142" s="280"/>
      <c r="BW142" s="280"/>
      <c r="BX142" s="280"/>
      <c r="BY142" s="280"/>
      <c r="BZ142" s="280"/>
      <c r="CA142" s="280"/>
      <c r="CB142" s="280"/>
      <c r="CC142" s="280"/>
      <c r="CD142" s="280"/>
      <c r="CE142" s="280"/>
      <c r="CF142" s="280"/>
      <c r="CG142" s="280"/>
      <c r="CH142" s="280"/>
      <c r="CI142" s="280"/>
      <c r="CJ142" s="280"/>
      <c r="CL142" s="281"/>
      <c r="CM142" s="281"/>
      <c r="CN142" s="281"/>
      <c r="CO142" s="281"/>
      <c r="CP142" s="281"/>
      <c r="CQ142" s="281"/>
      <c r="CR142" s="281"/>
      <c r="CS142" s="281"/>
      <c r="CT142" s="281"/>
      <c r="CU142" s="281"/>
      <c r="CV142" s="281"/>
      <c r="CW142" s="281"/>
      <c r="CX142" s="281"/>
      <c r="CY142" s="281"/>
      <c r="CZ142" s="281"/>
      <c r="DA142" s="281"/>
      <c r="DB142" s="281"/>
      <c r="DC142" s="281"/>
      <c r="DD142" s="281"/>
      <c r="DE142" s="281"/>
      <c r="DF142" s="281"/>
      <c r="DG142" s="281"/>
      <c r="DH142" s="281"/>
      <c r="DI142" s="281"/>
      <c r="DJ142" s="281"/>
      <c r="DK142" s="281"/>
      <c r="DL142" s="281"/>
      <c r="DM142" s="281"/>
      <c r="DN142" s="281"/>
      <c r="DO142" s="281"/>
      <c r="DP142" s="281"/>
      <c r="DQ142" s="281"/>
      <c r="DR142" s="281"/>
      <c r="DS142" s="281"/>
      <c r="DT142" s="281"/>
      <c r="DU142" s="281"/>
      <c r="DV142" s="281"/>
      <c r="DW142" s="281"/>
      <c r="DX142" s="281"/>
    </row>
    <row r="143" spans="1:128" x14ac:dyDescent="0.3">
      <c r="A143" s="245" t="str">
        <f t="shared" si="113"/>
        <v>North</v>
      </c>
      <c r="B143" s="245" t="str">
        <f t="shared" si="113"/>
        <v>Upper Orewa</v>
      </c>
      <c r="C143" s="245">
        <f t="shared" si="113"/>
        <v>2050</v>
      </c>
      <c r="D143" s="245">
        <f t="shared" si="113"/>
        <v>2046</v>
      </c>
      <c r="E143" s="245">
        <f t="shared" si="113"/>
        <v>2050</v>
      </c>
      <c r="F143" s="245">
        <f t="shared" si="113"/>
        <v>2054</v>
      </c>
      <c r="G143" s="245" t="str">
        <f t="shared" si="107"/>
        <v/>
      </c>
      <c r="H143" s="245" t="str">
        <f t="shared" si="108"/>
        <v>Orewa-Hibiscus</v>
      </c>
      <c r="I143" s="279">
        <f t="shared" ref="I143:AU143" si="116">I83*I$114</f>
        <v>85</v>
      </c>
      <c r="J143" s="279">
        <f t="shared" si="116"/>
        <v>87.38</v>
      </c>
      <c r="K143" s="279">
        <f t="shared" si="116"/>
        <v>93.496600000000001</v>
      </c>
      <c r="L143" s="279">
        <f t="shared" si="116"/>
        <v>97.516953799999996</v>
      </c>
      <c r="M143" s="279">
        <f t="shared" si="116"/>
        <v>104.4406575198</v>
      </c>
      <c r="N143" s="279">
        <f t="shared" si="116"/>
        <v>111.8559442037058</v>
      </c>
      <c r="O143" s="279">
        <f t="shared" si="116"/>
        <v>119.79771624216892</v>
      </c>
      <c r="P143" s="279">
        <f t="shared" si="116"/>
        <v>128.30335409536292</v>
      </c>
      <c r="Q143" s="279">
        <f t="shared" si="116"/>
        <v>137.41289223613367</v>
      </c>
      <c r="R143" s="279">
        <f t="shared" si="116"/>
        <v>147.16920758489917</v>
      </c>
      <c r="S143" s="279">
        <f t="shared" si="116"/>
        <v>157.61822132342701</v>
      </c>
      <c r="T143" s="279">
        <f t="shared" si="116"/>
        <v>168.80911503739031</v>
      </c>
      <c r="U143" s="279">
        <f t="shared" si="116"/>
        <v>180.794562205045</v>
      </c>
      <c r="V143" s="279">
        <f t="shared" si="116"/>
        <v>193.63097612160317</v>
      </c>
      <c r="W143" s="279">
        <f t="shared" si="116"/>
        <v>207.37877542623698</v>
      </c>
      <c r="X143" s="279">
        <f t="shared" si="116"/>
        <v>222.10266848149982</v>
      </c>
      <c r="Y143" s="279">
        <f t="shared" si="116"/>
        <v>237.87195794368628</v>
      </c>
      <c r="Z143" s="279">
        <f t="shared" si="116"/>
        <v>254.76086695768797</v>
      </c>
      <c r="AA143" s="279">
        <f t="shared" si="116"/>
        <v>272.84888851168381</v>
      </c>
      <c r="AB143" s="279">
        <f t="shared" si="116"/>
        <v>292.22115959601336</v>
      </c>
      <c r="AC143" s="279">
        <f t="shared" si="116"/>
        <v>312.96886192733029</v>
      </c>
      <c r="AD143" s="279">
        <f t="shared" si="116"/>
        <v>335.18965112417067</v>
      </c>
      <c r="AE143" s="279">
        <f t="shared" si="116"/>
        <v>950.26266093702384</v>
      </c>
      <c r="AF143" s="279">
        <f t="shared" si="116"/>
        <v>1017.7313098635525</v>
      </c>
      <c r="AG143" s="279">
        <f t="shared" si="116"/>
        <v>1089.9902328638645</v>
      </c>
      <c r="AH143" s="279">
        <f t="shared" si="116"/>
        <v>1167.3795393971989</v>
      </c>
      <c r="AI143" s="279">
        <f t="shared" si="116"/>
        <v>2222.6906430122667</v>
      </c>
      <c r="AJ143" s="279">
        <f t="shared" si="116"/>
        <v>2380.5016786661376</v>
      </c>
      <c r="AK143" s="279">
        <f t="shared" si="116"/>
        <v>2549.5172978514333</v>
      </c>
      <c r="AL143" s="279">
        <f t="shared" si="116"/>
        <v>2730.533025998885</v>
      </c>
      <c r="AM143" s="279">
        <f t="shared" si="116"/>
        <v>8773.2026125344164</v>
      </c>
      <c r="AN143" s="279">
        <f t="shared" si="116"/>
        <v>9396.0999980243596</v>
      </c>
      <c r="AO143" s="279">
        <f t="shared" si="116"/>
        <v>10063.223097884089</v>
      </c>
      <c r="AP143" s="279">
        <f t="shared" si="116"/>
        <v>10777.711937833859</v>
      </c>
      <c r="AQ143" s="279">
        <f t="shared" si="116"/>
        <v>11542.929485420063</v>
      </c>
      <c r="AR143" s="279">
        <f t="shared" si="116"/>
        <v>12362.477478884886</v>
      </c>
      <c r="AS143" s="279">
        <f t="shared" si="116"/>
        <v>13240.213379885712</v>
      </c>
      <c r="AT143" s="279">
        <f t="shared" si="116"/>
        <v>14180.268529857596</v>
      </c>
      <c r="AU143" s="279">
        <f t="shared" si="116"/>
        <v>15187.067595477485</v>
      </c>
      <c r="AX143" s="280"/>
      <c r="AY143" s="280"/>
      <c r="AZ143" s="280"/>
      <c r="BA143" s="280"/>
      <c r="BB143" s="280"/>
      <c r="BC143" s="280"/>
      <c r="BD143" s="280"/>
      <c r="BE143" s="280"/>
      <c r="BF143" s="280"/>
      <c r="BG143" s="280"/>
      <c r="BH143" s="280"/>
      <c r="BI143" s="280"/>
      <c r="BJ143" s="280"/>
      <c r="BK143" s="280"/>
      <c r="BL143" s="280"/>
      <c r="BM143" s="280"/>
      <c r="BN143" s="280"/>
      <c r="BO143" s="280"/>
      <c r="BP143" s="280"/>
      <c r="BQ143" s="280"/>
      <c r="BR143" s="280"/>
      <c r="BS143" s="280"/>
      <c r="BT143" s="280"/>
      <c r="BU143" s="280"/>
      <c r="BV143" s="280"/>
      <c r="BW143" s="280"/>
      <c r="BX143" s="280"/>
      <c r="BY143" s="280"/>
      <c r="BZ143" s="280"/>
      <c r="CA143" s="280"/>
      <c r="CB143" s="280"/>
      <c r="CC143" s="280"/>
      <c r="CD143" s="280"/>
      <c r="CE143" s="280"/>
      <c r="CF143" s="280"/>
      <c r="CG143" s="280"/>
      <c r="CH143" s="280"/>
      <c r="CI143" s="280"/>
      <c r="CJ143" s="280"/>
      <c r="CL143" s="281"/>
      <c r="CM143" s="281"/>
      <c r="CN143" s="281"/>
      <c r="CO143" s="281"/>
      <c r="CP143" s="281"/>
      <c r="CQ143" s="281"/>
      <c r="CR143" s="281"/>
      <c r="CS143" s="281"/>
      <c r="CT143" s="281"/>
      <c r="CU143" s="281"/>
      <c r="CV143" s="281"/>
      <c r="CW143" s="281"/>
      <c r="CX143" s="281"/>
      <c r="CY143" s="281"/>
      <c r="CZ143" s="281"/>
      <c r="DA143" s="281"/>
      <c r="DB143" s="281"/>
      <c r="DC143" s="281"/>
      <c r="DD143" s="281"/>
      <c r="DE143" s="281"/>
      <c r="DF143" s="281"/>
      <c r="DG143" s="281"/>
      <c r="DH143" s="281"/>
      <c r="DI143" s="281"/>
      <c r="DJ143" s="281"/>
      <c r="DK143" s="281"/>
      <c r="DL143" s="281"/>
      <c r="DM143" s="281"/>
      <c r="DN143" s="281"/>
      <c r="DO143" s="281"/>
      <c r="DP143" s="281"/>
      <c r="DQ143" s="281"/>
      <c r="DR143" s="281"/>
      <c r="DS143" s="281"/>
      <c r="DT143" s="281"/>
      <c r="DU143" s="281"/>
      <c r="DV143" s="281"/>
      <c r="DW143" s="281"/>
      <c r="DX143" s="281"/>
    </row>
    <row r="144" spans="1:128" x14ac:dyDescent="0.3">
      <c r="A144" s="245" t="str">
        <f t="shared" si="113"/>
        <v>Puhinui</v>
      </c>
      <c r="B144" s="245" t="str">
        <f t="shared" si="113"/>
        <v>Puhinui</v>
      </c>
      <c r="C144" s="245">
        <f t="shared" si="113"/>
        <v>2030</v>
      </c>
      <c r="D144" s="245">
        <f t="shared" si="113"/>
        <v>2026</v>
      </c>
      <c r="E144" s="245">
        <f t="shared" si="113"/>
        <v>2030</v>
      </c>
      <c r="F144" s="245">
        <f t="shared" si="113"/>
        <v>2034</v>
      </c>
      <c r="G144" s="245" t="str">
        <f t="shared" si="107"/>
        <v/>
      </c>
      <c r="H144" s="245" t="str">
        <f t="shared" si="108"/>
        <v>Puhinui</v>
      </c>
      <c r="I144" s="279" t="e">
        <f t="shared" ref="I144:AU144" si="117">I84*I$114</f>
        <v>#VALUE!</v>
      </c>
      <c r="J144" s="279" t="e">
        <f t="shared" si="117"/>
        <v>#VALUE!</v>
      </c>
      <c r="K144" s="279" t="e">
        <f t="shared" si="117"/>
        <v>#VALUE!</v>
      </c>
      <c r="L144" s="279" t="e">
        <f t="shared" si="117"/>
        <v>#VALUE!</v>
      </c>
      <c r="M144" s="279" t="e">
        <f t="shared" si="117"/>
        <v>#VALUE!</v>
      </c>
      <c r="N144" s="279" t="e">
        <f t="shared" si="117"/>
        <v>#VALUE!</v>
      </c>
      <c r="O144" s="279" t="e">
        <f t="shared" si="117"/>
        <v>#VALUE!</v>
      </c>
      <c r="P144" s="279" t="e">
        <f t="shared" si="117"/>
        <v>#VALUE!</v>
      </c>
      <c r="Q144" s="279" t="e">
        <f t="shared" si="117"/>
        <v>#VALUE!</v>
      </c>
      <c r="R144" s="279" t="e">
        <f t="shared" si="117"/>
        <v>#VALUE!</v>
      </c>
      <c r="S144" s="279" t="e">
        <f t="shared" si="117"/>
        <v>#VALUE!</v>
      </c>
      <c r="T144" s="279" t="e">
        <f t="shared" si="117"/>
        <v>#VALUE!</v>
      </c>
      <c r="U144" s="279" t="e">
        <f t="shared" si="117"/>
        <v>#VALUE!</v>
      </c>
      <c r="V144" s="279" t="e">
        <f t="shared" si="117"/>
        <v>#VALUE!</v>
      </c>
      <c r="W144" s="279" t="e">
        <f t="shared" si="117"/>
        <v>#VALUE!</v>
      </c>
      <c r="X144" s="279" t="e">
        <f t="shared" si="117"/>
        <v>#VALUE!</v>
      </c>
      <c r="Y144" s="279" t="e">
        <f t="shared" si="117"/>
        <v>#VALUE!</v>
      </c>
      <c r="Z144" s="279" t="e">
        <f t="shared" si="117"/>
        <v>#VALUE!</v>
      </c>
      <c r="AA144" s="279" t="e">
        <f t="shared" si="117"/>
        <v>#VALUE!</v>
      </c>
      <c r="AB144" s="279" t="e">
        <f t="shared" si="117"/>
        <v>#VALUE!</v>
      </c>
      <c r="AC144" s="279" t="e">
        <f t="shared" si="117"/>
        <v>#VALUE!</v>
      </c>
      <c r="AD144" s="279" t="e">
        <f t="shared" si="117"/>
        <v>#VALUE!</v>
      </c>
      <c r="AE144" s="279" t="e">
        <f t="shared" si="117"/>
        <v>#VALUE!</v>
      </c>
      <c r="AF144" s="279" t="e">
        <f t="shared" si="117"/>
        <v>#VALUE!</v>
      </c>
      <c r="AG144" s="279" t="e">
        <f t="shared" si="117"/>
        <v>#VALUE!</v>
      </c>
      <c r="AH144" s="279" t="e">
        <f t="shared" si="117"/>
        <v>#VALUE!</v>
      </c>
      <c r="AI144" s="279" t="e">
        <f t="shared" si="117"/>
        <v>#VALUE!</v>
      </c>
      <c r="AJ144" s="279" t="e">
        <f t="shared" si="117"/>
        <v>#VALUE!</v>
      </c>
      <c r="AK144" s="279" t="e">
        <f t="shared" si="117"/>
        <v>#VALUE!</v>
      </c>
      <c r="AL144" s="279" t="e">
        <f t="shared" si="117"/>
        <v>#VALUE!</v>
      </c>
      <c r="AM144" s="279" t="e">
        <f t="shared" si="117"/>
        <v>#VALUE!</v>
      </c>
      <c r="AN144" s="279" t="e">
        <f t="shared" si="117"/>
        <v>#VALUE!</v>
      </c>
      <c r="AO144" s="279" t="e">
        <f t="shared" si="117"/>
        <v>#VALUE!</v>
      </c>
      <c r="AP144" s="279" t="e">
        <f t="shared" si="117"/>
        <v>#VALUE!</v>
      </c>
      <c r="AQ144" s="279" t="e">
        <f t="shared" si="117"/>
        <v>#VALUE!</v>
      </c>
      <c r="AR144" s="279" t="e">
        <f t="shared" si="117"/>
        <v>#VALUE!</v>
      </c>
      <c r="AS144" s="279" t="e">
        <f t="shared" si="117"/>
        <v>#VALUE!</v>
      </c>
      <c r="AT144" s="279" t="e">
        <f t="shared" si="117"/>
        <v>#VALUE!</v>
      </c>
      <c r="AU144" s="279" t="e">
        <f t="shared" si="117"/>
        <v>#VALUE!</v>
      </c>
      <c r="AX144" s="280"/>
      <c r="AY144" s="280"/>
      <c r="AZ144" s="280"/>
      <c r="BA144" s="280"/>
      <c r="BB144" s="280"/>
      <c r="BC144" s="280"/>
      <c r="BD144" s="280"/>
      <c r="BE144" s="280"/>
      <c r="BF144" s="280"/>
      <c r="BG144" s="280"/>
      <c r="BH144" s="280"/>
      <c r="BI144" s="280"/>
      <c r="BJ144" s="280"/>
      <c r="BK144" s="280"/>
      <c r="BL144" s="280"/>
      <c r="BM144" s="280"/>
      <c r="BN144" s="280"/>
      <c r="BO144" s="280"/>
      <c r="BP144" s="280"/>
      <c r="BQ144" s="280"/>
      <c r="BR144" s="280"/>
      <c r="BS144" s="280"/>
      <c r="BT144" s="280"/>
      <c r="BU144" s="280"/>
      <c r="BV144" s="280"/>
      <c r="BW144" s="280"/>
      <c r="BX144" s="280"/>
      <c r="BY144" s="280"/>
      <c r="BZ144" s="280"/>
      <c r="CA144" s="280"/>
      <c r="CB144" s="280"/>
      <c r="CC144" s="280"/>
      <c r="CD144" s="280"/>
      <c r="CE144" s="280"/>
      <c r="CF144" s="280"/>
      <c r="CG144" s="280"/>
      <c r="CH144" s="280"/>
      <c r="CI144" s="280"/>
      <c r="CJ144" s="280"/>
      <c r="CL144" s="281"/>
      <c r="CM144" s="281"/>
      <c r="CN144" s="281"/>
      <c r="CO144" s="281"/>
      <c r="CP144" s="281"/>
      <c r="CQ144" s="281"/>
      <c r="CR144" s="281"/>
      <c r="CS144" s="281"/>
      <c r="CT144" s="281"/>
      <c r="CU144" s="281"/>
      <c r="CV144" s="281"/>
      <c r="CW144" s="281"/>
      <c r="CX144" s="281"/>
      <c r="CY144" s="281"/>
      <c r="CZ144" s="281"/>
      <c r="DA144" s="281"/>
      <c r="DB144" s="281"/>
      <c r="DC144" s="281"/>
      <c r="DD144" s="281"/>
      <c r="DE144" s="281"/>
      <c r="DF144" s="281"/>
      <c r="DG144" s="281"/>
      <c r="DH144" s="281"/>
      <c r="DI144" s="281"/>
      <c r="DJ144" s="281"/>
      <c r="DK144" s="281"/>
      <c r="DL144" s="281"/>
      <c r="DM144" s="281"/>
      <c r="DN144" s="281"/>
      <c r="DO144" s="281"/>
      <c r="DP144" s="281"/>
      <c r="DQ144" s="281"/>
      <c r="DR144" s="281"/>
      <c r="DS144" s="281"/>
      <c r="DT144" s="281"/>
      <c r="DU144" s="281"/>
      <c r="DV144" s="281"/>
      <c r="DW144" s="281"/>
      <c r="DX144" s="281"/>
    </row>
    <row r="145" spans="1:128" x14ac:dyDescent="0.3">
      <c r="A145" s="245" t="str">
        <f t="shared" si="113"/>
        <v>Takaanini &amp; Cosgrave Road</v>
      </c>
      <c r="B145" s="245" t="str">
        <f t="shared" si="113"/>
        <v>Takaanini &amp; Cosgrave Road</v>
      </c>
      <c r="C145" s="245">
        <f t="shared" si="113"/>
        <v>2050</v>
      </c>
      <c r="D145" s="245">
        <f t="shared" si="113"/>
        <v>2046</v>
      </c>
      <c r="E145" s="245">
        <f t="shared" si="113"/>
        <v>2050</v>
      </c>
      <c r="F145" s="245">
        <f t="shared" si="113"/>
        <v>2054</v>
      </c>
      <c r="G145" s="245" t="str">
        <f t="shared" si="107"/>
        <v/>
      </c>
      <c r="H145" s="245" t="str">
        <f t="shared" si="108"/>
        <v>Takanini</v>
      </c>
      <c r="I145" s="279">
        <f t="shared" ref="I145:AU145" si="118">I85*I$114</f>
        <v>126.11940298507461</v>
      </c>
      <c r="J145" s="279">
        <f t="shared" si="118"/>
        <v>129.65074626865672</v>
      </c>
      <c r="K145" s="279">
        <f t="shared" si="118"/>
        <v>138.72629850746267</v>
      </c>
      <c r="L145" s="279">
        <f t="shared" si="118"/>
        <v>144.69152934328358</v>
      </c>
      <c r="M145" s="279">
        <f t="shared" si="118"/>
        <v>154.9646279266567</v>
      </c>
      <c r="N145" s="279">
        <f t="shared" si="118"/>
        <v>165.96711650944934</v>
      </c>
      <c r="O145" s="279">
        <f t="shared" si="118"/>
        <v>177.75078178162025</v>
      </c>
      <c r="P145" s="279">
        <f t="shared" si="118"/>
        <v>190.37108728811526</v>
      </c>
      <c r="Q145" s="279">
        <f t="shared" si="118"/>
        <v>203.88743448557145</v>
      </c>
      <c r="R145" s="279">
        <f t="shared" si="118"/>
        <v>218.36344233404702</v>
      </c>
      <c r="S145" s="279">
        <f t="shared" si="118"/>
        <v>233.86724673976434</v>
      </c>
      <c r="T145" s="279">
        <f t="shared" si="118"/>
        <v>250.47182125828763</v>
      </c>
      <c r="U145" s="279">
        <f t="shared" si="118"/>
        <v>268.25532056762603</v>
      </c>
      <c r="V145" s="279">
        <f t="shared" si="118"/>
        <v>287.3014483279274</v>
      </c>
      <c r="W145" s="279">
        <f t="shared" si="118"/>
        <v>307.69985115921025</v>
      </c>
      <c r="X145" s="279">
        <f t="shared" si="118"/>
        <v>329.54654059151414</v>
      </c>
      <c r="Y145" s="279">
        <f t="shared" si="118"/>
        <v>352.94434497351165</v>
      </c>
      <c r="Z145" s="279">
        <f t="shared" si="118"/>
        <v>378.00339346663094</v>
      </c>
      <c r="AA145" s="279">
        <f t="shared" si="118"/>
        <v>404.84163440276177</v>
      </c>
      <c r="AB145" s="279">
        <f t="shared" si="118"/>
        <v>433.5853904453578</v>
      </c>
      <c r="AC145" s="279">
        <f t="shared" si="118"/>
        <v>464.36995316697812</v>
      </c>
      <c r="AD145" s="279">
        <f t="shared" si="118"/>
        <v>497.34021984183357</v>
      </c>
      <c r="AE145" s="279">
        <f t="shared" si="118"/>
        <v>983.35638544726839</v>
      </c>
      <c r="AF145" s="279">
        <f t="shared" si="118"/>
        <v>1053.1746888140244</v>
      </c>
      <c r="AG145" s="279">
        <f t="shared" si="118"/>
        <v>1127.95009171982</v>
      </c>
      <c r="AH145" s="279">
        <f t="shared" si="118"/>
        <v>1208.0345482319271</v>
      </c>
      <c r="AI145" s="279">
        <f t="shared" si="118"/>
        <v>1805.9361474474667</v>
      </c>
      <c r="AJ145" s="279">
        <f t="shared" si="118"/>
        <v>1934.1576139162369</v>
      </c>
      <c r="AK145" s="279">
        <f t="shared" si="118"/>
        <v>2071.4828045042896</v>
      </c>
      <c r="AL145" s="279">
        <f t="shared" si="118"/>
        <v>2218.5580836240943</v>
      </c>
      <c r="AM145" s="279">
        <f t="shared" si="118"/>
        <v>7859.3273403954154</v>
      </c>
      <c r="AN145" s="279">
        <f t="shared" si="118"/>
        <v>8417.3395815634885</v>
      </c>
      <c r="AO145" s="279">
        <f t="shared" si="118"/>
        <v>9014.9706918544962</v>
      </c>
      <c r="AP145" s="279">
        <f t="shared" si="118"/>
        <v>9655.0336109761647</v>
      </c>
      <c r="AQ145" s="279">
        <f t="shared" si="118"/>
        <v>10340.540997355472</v>
      </c>
      <c r="AR145" s="279">
        <f t="shared" si="118"/>
        <v>11074.71940816771</v>
      </c>
      <c r="AS145" s="279">
        <f t="shared" si="118"/>
        <v>11861.024486147617</v>
      </c>
      <c r="AT145" s="279">
        <f t="shared" si="118"/>
        <v>12703.157224664097</v>
      </c>
      <c r="AU145" s="279">
        <f t="shared" si="118"/>
        <v>13605.081387615246</v>
      </c>
      <c r="AX145" s="280"/>
      <c r="AY145" s="280"/>
      <c r="AZ145" s="280"/>
      <c r="BA145" s="280"/>
      <c r="BB145" s="280"/>
      <c r="BC145" s="280"/>
      <c r="BD145" s="280"/>
      <c r="BE145" s="280"/>
      <c r="BF145" s="280"/>
      <c r="BG145" s="280"/>
      <c r="BH145" s="280"/>
      <c r="BI145" s="280"/>
      <c r="BJ145" s="280"/>
      <c r="BK145" s="280"/>
      <c r="BL145" s="280"/>
      <c r="BM145" s="280"/>
      <c r="BN145" s="280"/>
      <c r="BO145" s="280"/>
      <c r="BP145" s="280"/>
      <c r="BQ145" s="280"/>
      <c r="BR145" s="280"/>
      <c r="BS145" s="280"/>
      <c r="BT145" s="280"/>
      <c r="BU145" s="280"/>
      <c r="BV145" s="280"/>
      <c r="BW145" s="280"/>
      <c r="BX145" s="280"/>
      <c r="BY145" s="280"/>
      <c r="BZ145" s="280"/>
      <c r="CA145" s="280"/>
      <c r="CB145" s="280"/>
      <c r="CC145" s="280"/>
      <c r="CD145" s="280"/>
      <c r="CE145" s="280"/>
      <c r="CF145" s="280"/>
      <c r="CG145" s="280"/>
      <c r="CH145" s="280"/>
      <c r="CI145" s="280"/>
      <c r="CJ145" s="280"/>
      <c r="CL145" s="281"/>
      <c r="CM145" s="281"/>
      <c r="CN145" s="281"/>
      <c r="CO145" s="281"/>
      <c r="CP145" s="281"/>
      <c r="CQ145" s="281"/>
      <c r="CR145" s="281"/>
      <c r="CS145" s="281"/>
      <c r="CT145" s="281"/>
      <c r="CU145" s="281"/>
      <c r="CV145" s="281"/>
      <c r="CW145" s="281"/>
      <c r="CX145" s="281"/>
      <c r="CY145" s="281"/>
      <c r="CZ145" s="281"/>
      <c r="DA145" s="281"/>
      <c r="DB145" s="281"/>
      <c r="DC145" s="281"/>
      <c r="DD145" s="281"/>
      <c r="DE145" s="281"/>
      <c r="DF145" s="281"/>
      <c r="DG145" s="281"/>
      <c r="DH145" s="281"/>
      <c r="DI145" s="281"/>
      <c r="DJ145" s="281"/>
      <c r="DK145" s="281"/>
      <c r="DL145" s="281"/>
      <c r="DM145" s="281"/>
      <c r="DN145" s="281"/>
      <c r="DO145" s="281"/>
      <c r="DP145" s="281"/>
      <c r="DQ145" s="281"/>
      <c r="DR145" s="281"/>
      <c r="DS145" s="281"/>
      <c r="DT145" s="281"/>
      <c r="DU145" s="281"/>
      <c r="DV145" s="281"/>
      <c r="DW145" s="281"/>
      <c r="DX145" s="281"/>
    </row>
    <row r="146" spans="1:128" x14ac:dyDescent="0.3">
      <c r="A146" s="245" t="str">
        <f t="shared" si="113"/>
        <v>Drury-Opaheke 2024</v>
      </c>
      <c r="B146" s="245" t="str">
        <f t="shared" si="113"/>
        <v>Opaheke</v>
      </c>
      <c r="C146" s="245">
        <f t="shared" si="113"/>
        <v>2050</v>
      </c>
      <c r="D146" s="245">
        <f t="shared" si="113"/>
        <v>2046</v>
      </c>
      <c r="E146" s="245">
        <f t="shared" si="113"/>
        <v>2050</v>
      </c>
      <c r="F146" s="245">
        <f t="shared" si="113"/>
        <v>2054</v>
      </c>
      <c r="G146" s="245" t="str">
        <f t="shared" si="107"/>
        <v/>
      </c>
      <c r="H146" s="245" t="str">
        <f t="shared" si="108"/>
        <v>Opaheke / Drury</v>
      </c>
      <c r="I146" s="279">
        <f t="shared" ref="I146:AU146" si="119">I86*I$114</f>
        <v>130</v>
      </c>
      <c r="J146" s="279">
        <f t="shared" si="119"/>
        <v>133.64000000000001</v>
      </c>
      <c r="K146" s="279">
        <f t="shared" si="119"/>
        <v>142.9948</v>
      </c>
      <c r="L146" s="279">
        <f t="shared" si="119"/>
        <v>149.1435764</v>
      </c>
      <c r="M146" s="279">
        <f t="shared" si="119"/>
        <v>159.73277032440001</v>
      </c>
      <c r="N146" s="279">
        <f t="shared" si="119"/>
        <v>171.07379701743241</v>
      </c>
      <c r="O146" s="279">
        <f t="shared" si="119"/>
        <v>183.22003660567012</v>
      </c>
      <c r="P146" s="279">
        <f t="shared" si="119"/>
        <v>196.22865920467268</v>
      </c>
      <c r="Q146" s="279">
        <f t="shared" si="119"/>
        <v>210.16089400820445</v>
      </c>
      <c r="R146" s="279">
        <f t="shared" si="119"/>
        <v>225.08231748278695</v>
      </c>
      <c r="S146" s="279">
        <f t="shared" si="119"/>
        <v>241.06316202406481</v>
      </c>
      <c r="T146" s="279">
        <f t="shared" si="119"/>
        <v>258.17864652777342</v>
      </c>
      <c r="U146" s="279">
        <f t="shared" si="119"/>
        <v>276.5093304312453</v>
      </c>
      <c r="V146" s="279">
        <f t="shared" si="119"/>
        <v>296.14149289186366</v>
      </c>
      <c r="W146" s="279">
        <f t="shared" si="119"/>
        <v>317.16753888718597</v>
      </c>
      <c r="X146" s="279">
        <f t="shared" si="119"/>
        <v>339.68643414817615</v>
      </c>
      <c r="Y146" s="279">
        <f t="shared" si="119"/>
        <v>363.80417097269662</v>
      </c>
      <c r="Z146" s="279">
        <f t="shared" si="119"/>
        <v>389.63426711175811</v>
      </c>
      <c r="AA146" s="279">
        <f t="shared" si="119"/>
        <v>417.2983000766929</v>
      </c>
      <c r="AB146" s="279">
        <f t="shared" si="119"/>
        <v>446.92647938213804</v>
      </c>
      <c r="AC146" s="279">
        <f t="shared" si="119"/>
        <v>478.65825941826984</v>
      </c>
      <c r="AD146" s="279">
        <f t="shared" si="119"/>
        <v>512.64299583696697</v>
      </c>
      <c r="AE146" s="279">
        <f t="shared" si="119"/>
        <v>1013.6135049994921</v>
      </c>
      <c r="AF146" s="279">
        <f t="shared" si="119"/>
        <v>1085.5800638544561</v>
      </c>
      <c r="AG146" s="279">
        <f t="shared" si="119"/>
        <v>1162.6562483881223</v>
      </c>
      <c r="AH146" s="279">
        <f t="shared" si="119"/>
        <v>1245.2048420236788</v>
      </c>
      <c r="AI146" s="279">
        <f t="shared" si="119"/>
        <v>1861.5034135227734</v>
      </c>
      <c r="AJ146" s="279">
        <f t="shared" si="119"/>
        <v>1993.6701558828902</v>
      </c>
      <c r="AK146" s="279">
        <f t="shared" si="119"/>
        <v>2135.2207369505754</v>
      </c>
      <c r="AL146" s="279">
        <f t="shared" si="119"/>
        <v>2286.8214092740664</v>
      </c>
      <c r="AM146" s="279">
        <f t="shared" si="119"/>
        <v>7311.0021771120146</v>
      </c>
      <c r="AN146" s="279">
        <f t="shared" si="119"/>
        <v>7830.0833316869666</v>
      </c>
      <c r="AO146" s="279">
        <f t="shared" si="119"/>
        <v>8386.0192482367402</v>
      </c>
      <c r="AP146" s="279">
        <f t="shared" si="119"/>
        <v>8981.4266148615498</v>
      </c>
      <c r="AQ146" s="279">
        <f t="shared" si="119"/>
        <v>9619.1079045167189</v>
      </c>
      <c r="AR146" s="279">
        <f t="shared" si="119"/>
        <v>10302.064565737404</v>
      </c>
      <c r="AS146" s="279">
        <f t="shared" si="119"/>
        <v>11033.51114990476</v>
      </c>
      <c r="AT146" s="279">
        <f t="shared" si="119"/>
        <v>11816.890441547997</v>
      </c>
      <c r="AU146" s="279">
        <f t="shared" si="119"/>
        <v>12655.889662897904</v>
      </c>
      <c r="AX146" s="280"/>
      <c r="AY146" s="280"/>
      <c r="AZ146" s="280"/>
      <c r="BA146" s="280"/>
      <c r="BB146" s="280"/>
      <c r="BC146" s="280"/>
      <c r="BD146" s="280"/>
      <c r="BE146" s="280"/>
      <c r="BF146" s="280"/>
      <c r="BG146" s="280"/>
      <c r="BH146" s="280"/>
      <c r="BI146" s="280"/>
      <c r="BJ146" s="280"/>
      <c r="BK146" s="280"/>
      <c r="BL146" s="280"/>
      <c r="BM146" s="280"/>
      <c r="BN146" s="280"/>
      <c r="BO146" s="280"/>
      <c r="BP146" s="280"/>
      <c r="BQ146" s="280"/>
      <c r="BR146" s="280"/>
      <c r="BS146" s="280"/>
      <c r="BT146" s="280"/>
      <c r="BU146" s="280"/>
      <c r="BV146" s="280"/>
      <c r="BW146" s="280"/>
      <c r="BX146" s="280"/>
      <c r="BY146" s="280"/>
      <c r="BZ146" s="280"/>
      <c r="CA146" s="280"/>
      <c r="CB146" s="280"/>
      <c r="CC146" s="280"/>
      <c r="CD146" s="280"/>
      <c r="CE146" s="280"/>
      <c r="CF146" s="280"/>
      <c r="CG146" s="280"/>
      <c r="CH146" s="280"/>
      <c r="CI146" s="280"/>
      <c r="CJ146" s="280"/>
      <c r="CL146" s="281"/>
      <c r="CM146" s="281"/>
      <c r="CN146" s="281"/>
      <c r="CO146" s="281"/>
      <c r="CP146" s="281"/>
      <c r="CQ146" s="281"/>
      <c r="CR146" s="281"/>
      <c r="CS146" s="281"/>
      <c r="CT146" s="281"/>
      <c r="CU146" s="281"/>
      <c r="CV146" s="281"/>
      <c r="CW146" s="281"/>
      <c r="CX146" s="281"/>
      <c r="CY146" s="281"/>
      <c r="CZ146" s="281"/>
      <c r="DA146" s="281"/>
      <c r="DB146" s="281"/>
      <c r="DC146" s="281"/>
      <c r="DD146" s="281"/>
      <c r="DE146" s="281"/>
      <c r="DF146" s="281"/>
      <c r="DG146" s="281"/>
      <c r="DH146" s="281"/>
      <c r="DI146" s="281"/>
      <c r="DJ146" s="281"/>
      <c r="DK146" s="281"/>
      <c r="DL146" s="281"/>
      <c r="DM146" s="281"/>
      <c r="DN146" s="281"/>
      <c r="DO146" s="281"/>
      <c r="DP146" s="281"/>
      <c r="DQ146" s="281"/>
      <c r="DR146" s="281"/>
      <c r="DS146" s="281"/>
      <c r="DT146" s="281"/>
      <c r="DU146" s="281"/>
      <c r="DV146" s="281"/>
      <c r="DW146" s="281"/>
      <c r="DX146" s="281"/>
    </row>
    <row r="147" spans="1:128" x14ac:dyDescent="0.3">
      <c r="A147" s="245" t="str">
        <f t="shared" si="113"/>
        <v>Drury-Opaheke 2024</v>
      </c>
      <c r="B147" s="245" t="str">
        <f t="shared" si="113"/>
        <v>Drury East</v>
      </c>
      <c r="C147" s="245">
        <f t="shared" si="113"/>
        <v>2035</v>
      </c>
      <c r="D147" s="245">
        <f t="shared" si="113"/>
        <v>2031</v>
      </c>
      <c r="E147" s="245">
        <f t="shared" si="113"/>
        <v>2035</v>
      </c>
      <c r="F147" s="245">
        <f t="shared" si="113"/>
        <v>2039</v>
      </c>
      <c r="G147" s="245" t="str">
        <f t="shared" si="107"/>
        <v/>
      </c>
      <c r="H147" s="245" t="str">
        <f t="shared" si="108"/>
        <v>Opaheke / Drury</v>
      </c>
      <c r="I147" s="279">
        <f t="shared" ref="I147:AU147" si="120">I87*I$114</f>
        <v>130</v>
      </c>
      <c r="J147" s="279">
        <f t="shared" si="120"/>
        <v>133.64000000000001</v>
      </c>
      <c r="K147" s="279">
        <f t="shared" si="120"/>
        <v>142.9948</v>
      </c>
      <c r="L147" s="279">
        <f t="shared" si="120"/>
        <v>149.1435764</v>
      </c>
      <c r="M147" s="279">
        <f t="shared" si="120"/>
        <v>159.73277032440001</v>
      </c>
      <c r="N147" s="279">
        <f t="shared" si="120"/>
        <v>171.07379701743241</v>
      </c>
      <c r="O147" s="279">
        <f t="shared" si="120"/>
        <v>183.22003660567012</v>
      </c>
      <c r="P147" s="279">
        <f t="shared" si="120"/>
        <v>362.26829391631878</v>
      </c>
      <c r="Q147" s="279">
        <f t="shared" si="120"/>
        <v>387.98934278437741</v>
      </c>
      <c r="R147" s="279">
        <f t="shared" si="120"/>
        <v>415.53658612206823</v>
      </c>
      <c r="S147" s="279">
        <f t="shared" si="120"/>
        <v>445.03968373673507</v>
      </c>
      <c r="T147" s="279">
        <f t="shared" si="120"/>
        <v>665.3065122061854</v>
      </c>
      <c r="U147" s="279">
        <f t="shared" si="120"/>
        <v>712.54327457282443</v>
      </c>
      <c r="V147" s="279">
        <f t="shared" si="120"/>
        <v>763.13384706749491</v>
      </c>
      <c r="W147" s="279">
        <f t="shared" si="120"/>
        <v>817.31635020928695</v>
      </c>
      <c r="X147" s="279">
        <f t="shared" si="120"/>
        <v>2612.9725703705858</v>
      </c>
      <c r="Y147" s="279">
        <f t="shared" si="120"/>
        <v>2798.4936228668971</v>
      </c>
      <c r="Z147" s="279">
        <f t="shared" si="120"/>
        <v>2997.186670090447</v>
      </c>
      <c r="AA147" s="279">
        <f t="shared" si="120"/>
        <v>3209.9869236668687</v>
      </c>
      <c r="AB147" s="279">
        <f t="shared" si="120"/>
        <v>3437.895995247216</v>
      </c>
      <c r="AC147" s="279">
        <f t="shared" si="120"/>
        <v>3681.9866109097679</v>
      </c>
      <c r="AD147" s="279">
        <f t="shared" si="120"/>
        <v>3943.4076602843611</v>
      </c>
      <c r="AE147" s="279">
        <f t="shared" si="120"/>
        <v>4223.3896041645503</v>
      </c>
      <c r="AF147" s="279">
        <f t="shared" si="120"/>
        <v>4523.2502660602331</v>
      </c>
      <c r="AG147" s="279">
        <f t="shared" si="120"/>
        <v>4844.4010349505097</v>
      </c>
      <c r="AH147" s="279">
        <f t="shared" si="120"/>
        <v>5188.3535084319956</v>
      </c>
      <c r="AI147" s="279">
        <f t="shared" si="120"/>
        <v>5556.726607530667</v>
      </c>
      <c r="AJ147" s="279">
        <f t="shared" si="120"/>
        <v>5951.2541966653444</v>
      </c>
      <c r="AK147" s="279">
        <f t="shared" si="120"/>
        <v>6373.7932446285831</v>
      </c>
      <c r="AL147" s="279">
        <f t="shared" si="120"/>
        <v>6826.3325649972121</v>
      </c>
      <c r="AM147" s="279">
        <f t="shared" si="120"/>
        <v>7311.0021771120146</v>
      </c>
      <c r="AN147" s="279">
        <f t="shared" si="120"/>
        <v>7830.0833316869666</v>
      </c>
      <c r="AO147" s="279">
        <f t="shared" si="120"/>
        <v>8386.0192482367402</v>
      </c>
      <c r="AP147" s="279">
        <f t="shared" si="120"/>
        <v>8981.4266148615498</v>
      </c>
      <c r="AQ147" s="279">
        <f t="shared" si="120"/>
        <v>9619.1079045167189</v>
      </c>
      <c r="AR147" s="279">
        <f t="shared" si="120"/>
        <v>10302.064565737404</v>
      </c>
      <c r="AS147" s="279">
        <f t="shared" si="120"/>
        <v>11033.51114990476</v>
      </c>
      <c r="AT147" s="279">
        <f t="shared" si="120"/>
        <v>11816.890441547997</v>
      </c>
      <c r="AU147" s="279">
        <f t="shared" si="120"/>
        <v>12655.889662897904</v>
      </c>
      <c r="AX147" s="280"/>
      <c r="AY147" s="280"/>
      <c r="AZ147" s="280"/>
      <c r="BA147" s="280"/>
      <c r="BB147" s="280"/>
      <c r="BC147" s="280"/>
      <c r="BD147" s="280"/>
      <c r="BE147" s="280"/>
      <c r="BF147" s="280"/>
      <c r="BG147" s="280"/>
      <c r="BH147" s="280"/>
      <c r="BI147" s="280"/>
      <c r="BJ147" s="280"/>
      <c r="BK147" s="280"/>
      <c r="BL147" s="280"/>
      <c r="BM147" s="280"/>
      <c r="BN147" s="280"/>
      <c r="BO147" s="280"/>
      <c r="BP147" s="280"/>
      <c r="BQ147" s="280"/>
      <c r="BR147" s="280"/>
      <c r="BS147" s="280"/>
      <c r="BT147" s="280"/>
      <c r="BU147" s="280"/>
      <c r="BV147" s="280"/>
      <c r="BW147" s="280"/>
      <c r="BX147" s="280"/>
      <c r="BY147" s="280"/>
      <c r="BZ147" s="280"/>
      <c r="CA147" s="280"/>
      <c r="CB147" s="280"/>
      <c r="CC147" s="280"/>
      <c r="CD147" s="280"/>
      <c r="CE147" s="280"/>
      <c r="CF147" s="280"/>
      <c r="CG147" s="280"/>
      <c r="CH147" s="280"/>
      <c r="CI147" s="280"/>
      <c r="CJ147" s="280"/>
      <c r="CL147" s="281"/>
      <c r="CM147" s="281"/>
      <c r="CN147" s="281"/>
      <c r="CO147" s="281"/>
      <c r="CP147" s="281"/>
      <c r="CQ147" s="281"/>
      <c r="CR147" s="281"/>
      <c r="CS147" s="281"/>
      <c r="CT147" s="281"/>
      <c r="CU147" s="281"/>
      <c r="CV147" s="281"/>
      <c r="CW147" s="281"/>
      <c r="CX147" s="281"/>
      <c r="CY147" s="281"/>
      <c r="CZ147" s="281"/>
      <c r="DA147" s="281"/>
      <c r="DB147" s="281"/>
      <c r="DC147" s="281"/>
      <c r="DD147" s="281"/>
      <c r="DE147" s="281"/>
      <c r="DF147" s="281"/>
      <c r="DG147" s="281"/>
      <c r="DH147" s="281"/>
      <c r="DI147" s="281"/>
      <c r="DJ147" s="281"/>
      <c r="DK147" s="281"/>
      <c r="DL147" s="281"/>
      <c r="DM147" s="281"/>
      <c r="DN147" s="281"/>
      <c r="DO147" s="281"/>
      <c r="DP147" s="281"/>
      <c r="DQ147" s="281"/>
      <c r="DR147" s="281"/>
      <c r="DS147" s="281"/>
      <c r="DT147" s="281"/>
      <c r="DU147" s="281"/>
      <c r="DV147" s="281"/>
      <c r="DW147" s="281"/>
      <c r="DX147" s="281"/>
    </row>
    <row r="148" spans="1:128" x14ac:dyDescent="0.3">
      <c r="A148" s="245" t="str">
        <f t="shared" si="113"/>
        <v>Drury-Opaheke 2024</v>
      </c>
      <c r="B148" s="245" t="str">
        <f t="shared" si="113"/>
        <v>Drury West (Stage 1) (remainder)</v>
      </c>
      <c r="C148" s="245">
        <f t="shared" si="113"/>
        <v>2035</v>
      </c>
      <c r="D148" s="245">
        <f t="shared" si="113"/>
        <v>2031</v>
      </c>
      <c r="E148" s="245">
        <f t="shared" si="113"/>
        <v>2035</v>
      </c>
      <c r="F148" s="245">
        <f t="shared" si="113"/>
        <v>2039</v>
      </c>
      <c r="G148" s="245" t="str">
        <f t="shared" si="107"/>
        <v/>
      </c>
      <c r="H148" s="245" t="str">
        <f t="shared" si="108"/>
        <v>Opaheke / Drury</v>
      </c>
      <c r="I148" s="279">
        <f t="shared" ref="I148:AU148" si="121">I88*I$114</f>
        <v>130</v>
      </c>
      <c r="J148" s="279">
        <f t="shared" si="121"/>
        <v>133.64000000000001</v>
      </c>
      <c r="K148" s="279">
        <f t="shared" si="121"/>
        <v>142.9948</v>
      </c>
      <c r="L148" s="279">
        <f t="shared" si="121"/>
        <v>149.1435764</v>
      </c>
      <c r="M148" s="279">
        <f t="shared" si="121"/>
        <v>159.73277032440001</v>
      </c>
      <c r="N148" s="279">
        <f t="shared" si="121"/>
        <v>171.07379701743241</v>
      </c>
      <c r="O148" s="279">
        <f t="shared" si="121"/>
        <v>183.22003660567012</v>
      </c>
      <c r="P148" s="279">
        <f t="shared" si="121"/>
        <v>362.26829391631878</v>
      </c>
      <c r="Q148" s="279">
        <f t="shared" si="121"/>
        <v>387.98934278437741</v>
      </c>
      <c r="R148" s="279">
        <f t="shared" si="121"/>
        <v>415.53658612206823</v>
      </c>
      <c r="S148" s="279">
        <f t="shared" si="121"/>
        <v>445.03968373673507</v>
      </c>
      <c r="T148" s="279">
        <f t="shared" si="121"/>
        <v>665.3065122061854</v>
      </c>
      <c r="U148" s="279">
        <f t="shared" si="121"/>
        <v>712.54327457282443</v>
      </c>
      <c r="V148" s="279">
        <f t="shared" si="121"/>
        <v>763.13384706749491</v>
      </c>
      <c r="W148" s="279">
        <f t="shared" si="121"/>
        <v>817.31635020928695</v>
      </c>
      <c r="X148" s="279">
        <f t="shared" si="121"/>
        <v>2612.9725703705858</v>
      </c>
      <c r="Y148" s="279">
        <f t="shared" si="121"/>
        <v>2798.4936228668971</v>
      </c>
      <c r="Z148" s="279">
        <f t="shared" si="121"/>
        <v>2997.186670090447</v>
      </c>
      <c r="AA148" s="279">
        <f t="shared" si="121"/>
        <v>3209.9869236668687</v>
      </c>
      <c r="AB148" s="279">
        <f t="shared" si="121"/>
        <v>3437.895995247216</v>
      </c>
      <c r="AC148" s="279">
        <f t="shared" si="121"/>
        <v>3681.9866109097679</v>
      </c>
      <c r="AD148" s="279">
        <f t="shared" si="121"/>
        <v>3943.4076602843611</v>
      </c>
      <c r="AE148" s="279">
        <f t="shared" si="121"/>
        <v>4223.3896041645503</v>
      </c>
      <c r="AF148" s="279">
        <f t="shared" si="121"/>
        <v>4523.2502660602331</v>
      </c>
      <c r="AG148" s="279">
        <f t="shared" si="121"/>
        <v>4844.4010349505097</v>
      </c>
      <c r="AH148" s="279">
        <f t="shared" si="121"/>
        <v>5188.3535084319956</v>
      </c>
      <c r="AI148" s="279">
        <f t="shared" si="121"/>
        <v>5556.726607530667</v>
      </c>
      <c r="AJ148" s="279">
        <f t="shared" si="121"/>
        <v>5951.2541966653444</v>
      </c>
      <c r="AK148" s="279">
        <f t="shared" si="121"/>
        <v>6373.7932446285831</v>
      </c>
      <c r="AL148" s="279">
        <f t="shared" si="121"/>
        <v>6826.3325649972121</v>
      </c>
      <c r="AM148" s="279">
        <f t="shared" si="121"/>
        <v>7311.0021771120146</v>
      </c>
      <c r="AN148" s="279">
        <f t="shared" si="121"/>
        <v>7830.0833316869666</v>
      </c>
      <c r="AO148" s="279">
        <f t="shared" si="121"/>
        <v>8386.0192482367402</v>
      </c>
      <c r="AP148" s="279">
        <f t="shared" si="121"/>
        <v>8981.4266148615498</v>
      </c>
      <c r="AQ148" s="279">
        <f t="shared" si="121"/>
        <v>9619.1079045167189</v>
      </c>
      <c r="AR148" s="279">
        <f t="shared" si="121"/>
        <v>10302.064565737404</v>
      </c>
      <c r="AS148" s="279">
        <f t="shared" si="121"/>
        <v>11033.51114990476</v>
      </c>
      <c r="AT148" s="279">
        <f t="shared" si="121"/>
        <v>11816.890441547997</v>
      </c>
      <c r="AU148" s="279">
        <f t="shared" si="121"/>
        <v>12655.889662897904</v>
      </c>
      <c r="AX148" s="280"/>
      <c r="AY148" s="280"/>
      <c r="AZ148" s="280"/>
      <c r="BA148" s="280"/>
      <c r="BB148" s="280"/>
      <c r="BC148" s="280"/>
      <c r="BD148" s="280"/>
      <c r="BE148" s="280"/>
      <c r="BF148" s="280"/>
      <c r="BG148" s="280"/>
      <c r="BH148" s="280"/>
      <c r="BI148" s="280"/>
      <c r="BJ148" s="280"/>
      <c r="BK148" s="280"/>
      <c r="BL148" s="280"/>
      <c r="BM148" s="280"/>
      <c r="BN148" s="280"/>
      <c r="BO148" s="280"/>
      <c r="BP148" s="280"/>
      <c r="BQ148" s="280"/>
      <c r="BR148" s="280"/>
      <c r="BS148" s="280"/>
      <c r="BT148" s="280"/>
      <c r="BU148" s="280"/>
      <c r="BV148" s="280"/>
      <c r="BW148" s="280"/>
      <c r="BX148" s="280"/>
      <c r="BY148" s="280"/>
      <c r="BZ148" s="280"/>
      <c r="CA148" s="280"/>
      <c r="CB148" s="280"/>
      <c r="CC148" s="280"/>
      <c r="CD148" s="280"/>
      <c r="CE148" s="280"/>
      <c r="CF148" s="280"/>
      <c r="CG148" s="280"/>
      <c r="CH148" s="280"/>
      <c r="CI148" s="280"/>
      <c r="CJ148" s="280"/>
      <c r="CL148" s="281"/>
      <c r="CM148" s="281"/>
      <c r="CN148" s="281"/>
      <c r="CO148" s="281"/>
      <c r="CP148" s="281"/>
      <c r="CQ148" s="281"/>
      <c r="CR148" s="281"/>
      <c r="CS148" s="281"/>
      <c r="CT148" s="281"/>
      <c r="CU148" s="281"/>
      <c r="CV148" s="281"/>
      <c r="CW148" s="281"/>
      <c r="CX148" s="281"/>
      <c r="CY148" s="281"/>
      <c r="CZ148" s="281"/>
      <c r="DA148" s="281"/>
      <c r="DB148" s="281"/>
      <c r="DC148" s="281"/>
      <c r="DD148" s="281"/>
      <c r="DE148" s="281"/>
      <c r="DF148" s="281"/>
      <c r="DG148" s="281"/>
      <c r="DH148" s="281"/>
      <c r="DI148" s="281"/>
      <c r="DJ148" s="281"/>
      <c r="DK148" s="281"/>
      <c r="DL148" s="281"/>
      <c r="DM148" s="281"/>
      <c r="DN148" s="281"/>
      <c r="DO148" s="281"/>
      <c r="DP148" s="281"/>
      <c r="DQ148" s="281"/>
      <c r="DR148" s="281"/>
      <c r="DS148" s="281"/>
      <c r="DT148" s="281"/>
      <c r="DU148" s="281"/>
      <c r="DV148" s="281"/>
      <c r="DW148" s="281"/>
      <c r="DX148" s="281"/>
    </row>
    <row r="149" spans="1:128" x14ac:dyDescent="0.3">
      <c r="A149" s="245" t="str">
        <f t="shared" si="113"/>
        <v>Drury-Opaheke 2024</v>
      </c>
      <c r="B149" s="245" t="str">
        <f t="shared" si="113"/>
        <v>Drury West (Stage 2)</v>
      </c>
      <c r="C149" s="245">
        <f t="shared" si="113"/>
        <v>2035</v>
      </c>
      <c r="D149" s="245">
        <f t="shared" si="113"/>
        <v>2031</v>
      </c>
      <c r="E149" s="245">
        <f t="shared" si="113"/>
        <v>2035</v>
      </c>
      <c r="F149" s="245">
        <f t="shared" si="113"/>
        <v>2039</v>
      </c>
      <c r="G149" s="245" t="str">
        <f t="shared" si="107"/>
        <v/>
      </c>
      <c r="H149" s="245" t="str">
        <f t="shared" si="108"/>
        <v>Opaheke / Drury</v>
      </c>
      <c r="I149" s="279">
        <f t="shared" ref="I149:AU149" si="122">I89*I$114</f>
        <v>130</v>
      </c>
      <c r="J149" s="279">
        <f t="shared" si="122"/>
        <v>133.64000000000001</v>
      </c>
      <c r="K149" s="279">
        <f t="shared" si="122"/>
        <v>142.9948</v>
      </c>
      <c r="L149" s="279">
        <f t="shared" si="122"/>
        <v>149.1435764</v>
      </c>
      <c r="M149" s="279">
        <f t="shared" si="122"/>
        <v>159.73277032440001</v>
      </c>
      <c r="N149" s="279">
        <f t="shared" si="122"/>
        <v>171.07379701743241</v>
      </c>
      <c r="O149" s="279">
        <f t="shared" si="122"/>
        <v>183.22003660567012</v>
      </c>
      <c r="P149" s="279">
        <f t="shared" si="122"/>
        <v>362.26829391631878</v>
      </c>
      <c r="Q149" s="279">
        <f t="shared" si="122"/>
        <v>387.98934278437741</v>
      </c>
      <c r="R149" s="279">
        <f t="shared" si="122"/>
        <v>415.53658612206823</v>
      </c>
      <c r="S149" s="279">
        <f t="shared" si="122"/>
        <v>445.03968373673507</v>
      </c>
      <c r="T149" s="279">
        <f t="shared" si="122"/>
        <v>665.3065122061854</v>
      </c>
      <c r="U149" s="279">
        <f t="shared" si="122"/>
        <v>712.54327457282443</v>
      </c>
      <c r="V149" s="279">
        <f t="shared" si="122"/>
        <v>763.13384706749491</v>
      </c>
      <c r="W149" s="279">
        <f t="shared" si="122"/>
        <v>817.31635020928695</v>
      </c>
      <c r="X149" s="279">
        <f t="shared" si="122"/>
        <v>2612.9725703705858</v>
      </c>
      <c r="Y149" s="279">
        <f t="shared" si="122"/>
        <v>2798.4936228668971</v>
      </c>
      <c r="Z149" s="279">
        <f t="shared" si="122"/>
        <v>2997.186670090447</v>
      </c>
      <c r="AA149" s="279">
        <f t="shared" si="122"/>
        <v>3209.9869236668687</v>
      </c>
      <c r="AB149" s="279">
        <f t="shared" si="122"/>
        <v>3437.895995247216</v>
      </c>
      <c r="AC149" s="279">
        <f t="shared" si="122"/>
        <v>3681.9866109097679</v>
      </c>
      <c r="AD149" s="279">
        <f t="shared" si="122"/>
        <v>3943.4076602843611</v>
      </c>
      <c r="AE149" s="279">
        <f t="shared" si="122"/>
        <v>4223.3896041645503</v>
      </c>
      <c r="AF149" s="279">
        <f t="shared" si="122"/>
        <v>4523.2502660602331</v>
      </c>
      <c r="AG149" s="279">
        <f t="shared" si="122"/>
        <v>4844.4010349505097</v>
      </c>
      <c r="AH149" s="279">
        <f t="shared" si="122"/>
        <v>5188.3535084319956</v>
      </c>
      <c r="AI149" s="279">
        <f t="shared" si="122"/>
        <v>5556.726607530667</v>
      </c>
      <c r="AJ149" s="279">
        <f t="shared" si="122"/>
        <v>5951.2541966653444</v>
      </c>
      <c r="AK149" s="279">
        <f t="shared" si="122"/>
        <v>6373.7932446285831</v>
      </c>
      <c r="AL149" s="279">
        <f t="shared" si="122"/>
        <v>6826.3325649972121</v>
      </c>
      <c r="AM149" s="279">
        <f t="shared" si="122"/>
        <v>7311.0021771120146</v>
      </c>
      <c r="AN149" s="279">
        <f t="shared" si="122"/>
        <v>7830.0833316869666</v>
      </c>
      <c r="AO149" s="279">
        <f t="shared" si="122"/>
        <v>8386.0192482367402</v>
      </c>
      <c r="AP149" s="279">
        <f t="shared" si="122"/>
        <v>8981.4266148615498</v>
      </c>
      <c r="AQ149" s="279">
        <f t="shared" si="122"/>
        <v>9619.1079045167189</v>
      </c>
      <c r="AR149" s="279">
        <f t="shared" si="122"/>
        <v>10302.064565737404</v>
      </c>
      <c r="AS149" s="279">
        <f t="shared" si="122"/>
        <v>11033.51114990476</v>
      </c>
      <c r="AT149" s="279">
        <f t="shared" si="122"/>
        <v>11816.890441547997</v>
      </c>
      <c r="AU149" s="279">
        <f t="shared" si="122"/>
        <v>12655.889662897904</v>
      </c>
      <c r="AX149" s="280"/>
      <c r="AY149" s="280"/>
      <c r="AZ149" s="280"/>
      <c r="BA149" s="280"/>
      <c r="BB149" s="280"/>
      <c r="BC149" s="280"/>
      <c r="BD149" s="280"/>
      <c r="BE149" s="280"/>
      <c r="BF149" s="280"/>
      <c r="BG149" s="280"/>
      <c r="BH149" s="280"/>
      <c r="BI149" s="280"/>
      <c r="BJ149" s="280"/>
      <c r="BK149" s="280"/>
      <c r="BL149" s="280"/>
      <c r="BM149" s="280"/>
      <c r="BN149" s="280"/>
      <c r="BO149" s="280"/>
      <c r="BP149" s="280"/>
      <c r="BQ149" s="280"/>
      <c r="BR149" s="280"/>
      <c r="BS149" s="280"/>
      <c r="BT149" s="280"/>
      <c r="BU149" s="280"/>
      <c r="BV149" s="280"/>
      <c r="BW149" s="280"/>
      <c r="BX149" s="280"/>
      <c r="BY149" s="280"/>
      <c r="BZ149" s="280"/>
      <c r="CA149" s="280"/>
      <c r="CB149" s="280"/>
      <c r="CC149" s="280"/>
      <c r="CD149" s="280"/>
      <c r="CE149" s="280"/>
      <c r="CF149" s="280"/>
      <c r="CG149" s="280"/>
      <c r="CH149" s="280"/>
      <c r="CI149" s="280"/>
      <c r="CJ149" s="280"/>
      <c r="CL149" s="281"/>
      <c r="CM149" s="281"/>
      <c r="CN149" s="281"/>
      <c r="CO149" s="281"/>
      <c r="CP149" s="281"/>
      <c r="CQ149" s="281"/>
      <c r="CR149" s="281"/>
      <c r="CS149" s="281"/>
      <c r="CT149" s="281"/>
      <c r="CU149" s="281"/>
      <c r="CV149" s="281"/>
      <c r="CW149" s="281"/>
      <c r="CX149" s="281"/>
      <c r="CY149" s="281"/>
      <c r="CZ149" s="281"/>
      <c r="DA149" s="281"/>
      <c r="DB149" s="281"/>
      <c r="DC149" s="281"/>
      <c r="DD149" s="281"/>
      <c r="DE149" s="281"/>
      <c r="DF149" s="281"/>
      <c r="DG149" s="281"/>
      <c r="DH149" s="281"/>
      <c r="DI149" s="281"/>
      <c r="DJ149" s="281"/>
      <c r="DK149" s="281"/>
      <c r="DL149" s="281"/>
      <c r="DM149" s="281"/>
      <c r="DN149" s="281"/>
      <c r="DO149" s="281"/>
      <c r="DP149" s="281"/>
      <c r="DQ149" s="281"/>
      <c r="DR149" s="281"/>
      <c r="DS149" s="281"/>
      <c r="DT149" s="281"/>
      <c r="DU149" s="281"/>
      <c r="DV149" s="281"/>
      <c r="DW149" s="281"/>
      <c r="DX149" s="281"/>
    </row>
    <row r="150" spans="1:128" x14ac:dyDescent="0.3">
      <c r="A150" s="245" t="str">
        <f t="shared" si="113"/>
        <v>Drury-Opaheke 2024</v>
      </c>
      <c r="B150" s="245" t="str">
        <f t="shared" si="113"/>
        <v>Drury West (Stage 3) (remainder)</v>
      </c>
      <c r="C150" s="245">
        <f t="shared" si="113"/>
        <v>2035</v>
      </c>
      <c r="D150" s="245">
        <f t="shared" si="113"/>
        <v>2031</v>
      </c>
      <c r="E150" s="245">
        <f t="shared" si="113"/>
        <v>2035</v>
      </c>
      <c r="F150" s="245">
        <f t="shared" si="113"/>
        <v>2039</v>
      </c>
      <c r="G150" s="245" t="str">
        <f t="shared" si="107"/>
        <v/>
      </c>
      <c r="H150" s="245" t="str">
        <f t="shared" si="108"/>
        <v>Opaheke / Drury</v>
      </c>
      <c r="I150" s="279">
        <f t="shared" ref="I150:AU150" si="123">I90*I$114</f>
        <v>130</v>
      </c>
      <c r="J150" s="279">
        <f t="shared" si="123"/>
        <v>133.64000000000001</v>
      </c>
      <c r="K150" s="279">
        <f t="shared" si="123"/>
        <v>142.9948</v>
      </c>
      <c r="L150" s="279">
        <f t="shared" si="123"/>
        <v>149.1435764</v>
      </c>
      <c r="M150" s="279">
        <f t="shared" si="123"/>
        <v>159.73277032440001</v>
      </c>
      <c r="N150" s="279">
        <f t="shared" si="123"/>
        <v>171.07379701743241</v>
      </c>
      <c r="O150" s="279">
        <f t="shared" si="123"/>
        <v>183.22003660567012</v>
      </c>
      <c r="P150" s="279">
        <f t="shared" si="123"/>
        <v>362.26829391631878</v>
      </c>
      <c r="Q150" s="279">
        <f t="shared" si="123"/>
        <v>387.98934278437741</v>
      </c>
      <c r="R150" s="279">
        <f t="shared" si="123"/>
        <v>415.53658612206823</v>
      </c>
      <c r="S150" s="279">
        <f t="shared" si="123"/>
        <v>445.03968373673507</v>
      </c>
      <c r="T150" s="279">
        <f t="shared" si="123"/>
        <v>665.3065122061854</v>
      </c>
      <c r="U150" s="279">
        <f t="shared" si="123"/>
        <v>712.54327457282443</v>
      </c>
      <c r="V150" s="279">
        <f t="shared" si="123"/>
        <v>763.13384706749491</v>
      </c>
      <c r="W150" s="279">
        <f t="shared" si="123"/>
        <v>817.31635020928695</v>
      </c>
      <c r="X150" s="279">
        <f t="shared" si="123"/>
        <v>2612.9725703705858</v>
      </c>
      <c r="Y150" s="279">
        <f t="shared" si="123"/>
        <v>2798.4936228668971</v>
      </c>
      <c r="Z150" s="279">
        <f t="shared" si="123"/>
        <v>2997.186670090447</v>
      </c>
      <c r="AA150" s="279">
        <f t="shared" si="123"/>
        <v>3209.9869236668687</v>
      </c>
      <c r="AB150" s="279">
        <f t="shared" si="123"/>
        <v>3437.895995247216</v>
      </c>
      <c r="AC150" s="279">
        <f t="shared" si="123"/>
        <v>3681.9866109097679</v>
      </c>
      <c r="AD150" s="279">
        <f t="shared" si="123"/>
        <v>3943.4076602843611</v>
      </c>
      <c r="AE150" s="279">
        <f t="shared" si="123"/>
        <v>4223.3896041645503</v>
      </c>
      <c r="AF150" s="279">
        <f t="shared" si="123"/>
        <v>4523.2502660602331</v>
      </c>
      <c r="AG150" s="279">
        <f t="shared" si="123"/>
        <v>4844.4010349505097</v>
      </c>
      <c r="AH150" s="279">
        <f t="shared" si="123"/>
        <v>5188.3535084319956</v>
      </c>
      <c r="AI150" s="279">
        <f t="shared" si="123"/>
        <v>5556.726607530667</v>
      </c>
      <c r="AJ150" s="279">
        <f t="shared" si="123"/>
        <v>5951.2541966653444</v>
      </c>
      <c r="AK150" s="279">
        <f t="shared" si="123"/>
        <v>6373.7932446285831</v>
      </c>
      <c r="AL150" s="279">
        <f t="shared" si="123"/>
        <v>6826.3325649972121</v>
      </c>
      <c r="AM150" s="279">
        <f t="shared" si="123"/>
        <v>7311.0021771120146</v>
      </c>
      <c r="AN150" s="279">
        <f t="shared" si="123"/>
        <v>7830.0833316869666</v>
      </c>
      <c r="AO150" s="279">
        <f t="shared" si="123"/>
        <v>8386.0192482367402</v>
      </c>
      <c r="AP150" s="279">
        <f t="shared" si="123"/>
        <v>8981.4266148615498</v>
      </c>
      <c r="AQ150" s="279">
        <f t="shared" si="123"/>
        <v>9619.1079045167189</v>
      </c>
      <c r="AR150" s="279">
        <f t="shared" si="123"/>
        <v>10302.064565737404</v>
      </c>
      <c r="AS150" s="279">
        <f t="shared" si="123"/>
        <v>11033.51114990476</v>
      </c>
      <c r="AT150" s="279">
        <f t="shared" si="123"/>
        <v>11816.890441547997</v>
      </c>
      <c r="AU150" s="279">
        <f t="shared" si="123"/>
        <v>12655.889662897904</v>
      </c>
      <c r="AX150" s="280"/>
      <c r="AY150" s="280"/>
      <c r="AZ150" s="280"/>
      <c r="BA150" s="280"/>
      <c r="BB150" s="280"/>
      <c r="BC150" s="280"/>
      <c r="BD150" s="280"/>
      <c r="BE150" s="280"/>
      <c r="BF150" s="280"/>
      <c r="BG150" s="280"/>
      <c r="BH150" s="280"/>
      <c r="BI150" s="280"/>
      <c r="BJ150" s="280"/>
      <c r="BK150" s="280"/>
      <c r="BL150" s="280"/>
      <c r="BM150" s="280"/>
      <c r="BN150" s="280"/>
      <c r="BO150" s="280"/>
      <c r="BP150" s="280"/>
      <c r="BQ150" s="280"/>
      <c r="BR150" s="280"/>
      <c r="BS150" s="280"/>
      <c r="BT150" s="280"/>
      <c r="BU150" s="280"/>
      <c r="BV150" s="280"/>
      <c r="BW150" s="280"/>
      <c r="BX150" s="280"/>
      <c r="BY150" s="280"/>
      <c r="BZ150" s="280"/>
      <c r="CA150" s="280"/>
      <c r="CB150" s="280"/>
      <c r="CC150" s="280"/>
      <c r="CD150" s="280"/>
      <c r="CE150" s="280"/>
      <c r="CF150" s="280"/>
      <c r="CG150" s="280"/>
      <c r="CH150" s="280"/>
      <c r="CI150" s="280"/>
      <c r="CJ150" s="280"/>
      <c r="CL150" s="281"/>
      <c r="CM150" s="281"/>
      <c r="CN150" s="281"/>
      <c r="CO150" s="281"/>
      <c r="CP150" s="281"/>
      <c r="CQ150" s="281"/>
      <c r="CR150" s="281"/>
      <c r="CS150" s="281"/>
      <c r="CT150" s="281"/>
      <c r="CU150" s="281"/>
      <c r="CV150" s="281"/>
      <c r="CW150" s="281"/>
      <c r="CX150" s="281"/>
      <c r="CY150" s="281"/>
      <c r="CZ150" s="281"/>
      <c r="DA150" s="281"/>
      <c r="DB150" s="281"/>
      <c r="DC150" s="281"/>
      <c r="DD150" s="281"/>
      <c r="DE150" s="281"/>
      <c r="DF150" s="281"/>
      <c r="DG150" s="281"/>
      <c r="DH150" s="281"/>
      <c r="DI150" s="281"/>
      <c r="DJ150" s="281"/>
      <c r="DK150" s="281"/>
      <c r="DL150" s="281"/>
      <c r="DM150" s="281"/>
      <c r="DN150" s="281"/>
      <c r="DO150" s="281"/>
      <c r="DP150" s="281"/>
      <c r="DQ150" s="281"/>
      <c r="DR150" s="281"/>
      <c r="DS150" s="281"/>
      <c r="DT150" s="281"/>
      <c r="DU150" s="281"/>
      <c r="DV150" s="281"/>
      <c r="DW150" s="281"/>
      <c r="DX150" s="281"/>
    </row>
    <row r="151" spans="1:128" x14ac:dyDescent="0.3">
      <c r="A151" s="245" t="str">
        <f t="shared" ref="A151:F160" si="124">A91</f>
        <v>Drury-Opaheke 2024</v>
      </c>
      <c r="B151" s="245" t="str">
        <f t="shared" si="124"/>
        <v>Drury East PC area</v>
      </c>
      <c r="C151" s="245">
        <f t="shared" si="124"/>
        <v>2026</v>
      </c>
      <c r="D151" s="245">
        <f t="shared" si="124"/>
        <v>2022</v>
      </c>
      <c r="E151" s="245">
        <f t="shared" si="124"/>
        <v>2026</v>
      </c>
      <c r="F151" s="245">
        <f t="shared" si="124"/>
        <v>2030</v>
      </c>
      <c r="G151" s="245" t="str">
        <f t="shared" si="107"/>
        <v>Transport projects required to meet AUP Precinct triggers a, b, c all assumed to be complete by developers/Crown late 2025. Area considered at II stage from 2026.</v>
      </c>
      <c r="H151" s="245" t="str">
        <f t="shared" si="108"/>
        <v>Opaheke / Drury</v>
      </c>
      <c r="I151" s="279">
        <f t="shared" ref="I151:AU151" si="125">I91*I$114</f>
        <v>240</v>
      </c>
      <c r="J151" s="279">
        <f t="shared" si="125"/>
        <v>246.72</v>
      </c>
      <c r="K151" s="279">
        <f t="shared" si="125"/>
        <v>368.48660000000001</v>
      </c>
      <c r="L151" s="279">
        <f t="shared" si="125"/>
        <v>384.33152380000001</v>
      </c>
      <c r="M151" s="279">
        <f t="shared" si="125"/>
        <v>411.6190619898</v>
      </c>
      <c r="N151" s="279">
        <f t="shared" si="125"/>
        <v>440.8440153910758</v>
      </c>
      <c r="O151" s="279">
        <f t="shared" si="125"/>
        <v>1409.3848969666931</v>
      </c>
      <c r="P151" s="279">
        <f t="shared" si="125"/>
        <v>1509.4512246513284</v>
      </c>
      <c r="Q151" s="279">
        <f t="shared" si="125"/>
        <v>1616.6222616015725</v>
      </c>
      <c r="R151" s="279">
        <f t="shared" si="125"/>
        <v>1731.4024421752842</v>
      </c>
      <c r="S151" s="279">
        <f t="shared" si="125"/>
        <v>1854.3320155697293</v>
      </c>
      <c r="T151" s="279">
        <f t="shared" si="125"/>
        <v>1985.9895886751801</v>
      </c>
      <c r="U151" s="279">
        <f t="shared" si="125"/>
        <v>2126.9948494711175</v>
      </c>
      <c r="V151" s="279">
        <f t="shared" si="125"/>
        <v>2278.0114837835667</v>
      </c>
      <c r="W151" s="279">
        <f t="shared" si="125"/>
        <v>2439.7502991321999</v>
      </c>
      <c r="X151" s="279">
        <f t="shared" si="125"/>
        <v>2612.9725703705858</v>
      </c>
      <c r="Y151" s="279">
        <f t="shared" si="125"/>
        <v>2798.4936228668971</v>
      </c>
      <c r="Z151" s="279">
        <f t="shared" si="125"/>
        <v>2997.186670090447</v>
      </c>
      <c r="AA151" s="279">
        <f t="shared" si="125"/>
        <v>3209.9869236668687</v>
      </c>
      <c r="AB151" s="279">
        <f t="shared" si="125"/>
        <v>3437.895995247216</v>
      </c>
      <c r="AC151" s="279">
        <f t="shared" si="125"/>
        <v>3681.9866109097679</v>
      </c>
      <c r="AD151" s="279">
        <f t="shared" si="125"/>
        <v>3943.4076602843611</v>
      </c>
      <c r="AE151" s="279">
        <f t="shared" si="125"/>
        <v>4223.3896041645503</v>
      </c>
      <c r="AF151" s="279">
        <f t="shared" si="125"/>
        <v>4523.2502660602331</v>
      </c>
      <c r="AG151" s="279">
        <f t="shared" si="125"/>
        <v>4844.4010349505097</v>
      </c>
      <c r="AH151" s="279">
        <f t="shared" si="125"/>
        <v>5188.3535084319956</v>
      </c>
      <c r="AI151" s="279">
        <f t="shared" si="125"/>
        <v>5556.726607530667</v>
      </c>
      <c r="AJ151" s="279">
        <f t="shared" si="125"/>
        <v>5951.2541966653444</v>
      </c>
      <c r="AK151" s="279">
        <f t="shared" si="125"/>
        <v>6373.7932446285831</v>
      </c>
      <c r="AL151" s="279">
        <f t="shared" si="125"/>
        <v>6826.3325649972121</v>
      </c>
      <c r="AM151" s="279">
        <f t="shared" si="125"/>
        <v>7311.0021771120146</v>
      </c>
      <c r="AN151" s="279">
        <f t="shared" si="125"/>
        <v>7830.0833316869666</v>
      </c>
      <c r="AO151" s="279">
        <f t="shared" si="125"/>
        <v>8386.0192482367402</v>
      </c>
      <c r="AP151" s="279">
        <f t="shared" si="125"/>
        <v>8981.4266148615498</v>
      </c>
      <c r="AQ151" s="279">
        <f t="shared" si="125"/>
        <v>9619.1079045167189</v>
      </c>
      <c r="AR151" s="279">
        <f t="shared" si="125"/>
        <v>10302.064565737404</v>
      </c>
      <c r="AS151" s="279">
        <f t="shared" si="125"/>
        <v>11033.51114990476</v>
      </c>
      <c r="AT151" s="279">
        <f t="shared" si="125"/>
        <v>11816.890441547997</v>
      </c>
      <c r="AU151" s="279">
        <f t="shared" si="125"/>
        <v>12655.889662897904</v>
      </c>
      <c r="AX151" s="280"/>
      <c r="AY151" s="280"/>
      <c r="AZ151" s="280"/>
      <c r="BA151" s="280"/>
      <c r="BB151" s="280"/>
      <c r="BC151" s="280"/>
      <c r="BD151" s="280"/>
      <c r="BE151" s="280"/>
      <c r="BF151" s="280"/>
      <c r="BG151" s="280"/>
      <c r="BH151" s="280"/>
      <c r="BI151" s="280"/>
      <c r="BJ151" s="280"/>
      <c r="BK151" s="280"/>
      <c r="BL151" s="280"/>
      <c r="BM151" s="280"/>
      <c r="BN151" s="280"/>
      <c r="BO151" s="280"/>
      <c r="BP151" s="280"/>
      <c r="BQ151" s="280"/>
      <c r="BR151" s="280"/>
      <c r="BS151" s="280"/>
      <c r="BT151" s="280"/>
      <c r="BU151" s="280"/>
      <c r="BV151" s="280"/>
      <c r="BW151" s="280"/>
      <c r="BX151" s="280"/>
      <c r="BY151" s="280"/>
      <c r="BZ151" s="280"/>
      <c r="CA151" s="280"/>
      <c r="CB151" s="280"/>
      <c r="CC151" s="280"/>
      <c r="CD151" s="280"/>
      <c r="CE151" s="280"/>
      <c r="CF151" s="280"/>
      <c r="CG151" s="280"/>
      <c r="CH151" s="280"/>
      <c r="CI151" s="280"/>
      <c r="CJ151" s="280"/>
      <c r="CL151" s="281"/>
      <c r="CM151" s="281"/>
      <c r="CN151" s="281"/>
      <c r="CO151" s="281"/>
      <c r="CP151" s="281"/>
      <c r="CQ151" s="281"/>
      <c r="CR151" s="281"/>
      <c r="CS151" s="281"/>
      <c r="CT151" s="281"/>
      <c r="CU151" s="281"/>
      <c r="CV151" s="281"/>
      <c r="CW151" s="281"/>
      <c r="CX151" s="281"/>
      <c r="CY151" s="281"/>
      <c r="CZ151" s="281"/>
      <c r="DA151" s="281"/>
      <c r="DB151" s="281"/>
      <c r="DC151" s="281"/>
      <c r="DD151" s="281"/>
      <c r="DE151" s="281"/>
      <c r="DF151" s="281"/>
      <c r="DG151" s="281"/>
      <c r="DH151" s="281"/>
      <c r="DI151" s="281"/>
      <c r="DJ151" s="281"/>
      <c r="DK151" s="281"/>
      <c r="DL151" s="281"/>
      <c r="DM151" s="281"/>
      <c r="DN151" s="281"/>
      <c r="DO151" s="281"/>
      <c r="DP151" s="281"/>
      <c r="DQ151" s="281"/>
      <c r="DR151" s="281"/>
      <c r="DS151" s="281"/>
      <c r="DT151" s="281"/>
      <c r="DU151" s="281"/>
      <c r="DV151" s="281"/>
      <c r="DW151" s="281"/>
      <c r="DX151" s="281"/>
    </row>
    <row r="152" spans="1:128" x14ac:dyDescent="0.3">
      <c r="A152" s="245" t="str">
        <f t="shared" si="124"/>
        <v>Drury-Opaheke 2024</v>
      </c>
      <c r="B152" s="245" t="str">
        <f t="shared" si="124"/>
        <v>Auranga Existing Development</v>
      </c>
      <c r="C152" s="245" t="str">
        <f t="shared" si="124"/>
        <v>SUL ongoing</v>
      </c>
      <c r="D152" s="245">
        <f t="shared" si="124"/>
        <v>0</v>
      </c>
      <c r="E152" s="245">
        <f t="shared" si="124"/>
        <v>0</v>
      </c>
      <c r="F152" s="245">
        <f t="shared" si="124"/>
        <v>2024</v>
      </c>
      <c r="G152" s="245" t="str">
        <f t="shared" si="107"/>
        <v>Significant residential growth occuring for many years. SUL stage ongoing.</v>
      </c>
      <c r="H152" s="245" t="str">
        <f t="shared" si="108"/>
        <v>Opaheke / Drury</v>
      </c>
      <c r="I152" s="279">
        <f t="shared" ref="I152:AU152" si="126">I92*I$114</f>
        <v>1000</v>
      </c>
      <c r="J152" s="279">
        <f t="shared" si="126"/>
        <v>1028</v>
      </c>
      <c r="K152" s="279">
        <f t="shared" si="126"/>
        <v>1099.96</v>
      </c>
      <c r="L152" s="279">
        <f t="shared" si="126"/>
        <v>1147.25828</v>
      </c>
      <c r="M152" s="279">
        <f t="shared" si="126"/>
        <v>1228.7136178799999</v>
      </c>
      <c r="N152" s="279">
        <f t="shared" si="126"/>
        <v>1315.95228474948</v>
      </c>
      <c r="O152" s="279">
        <f t="shared" si="126"/>
        <v>1409.3848969666931</v>
      </c>
      <c r="P152" s="279">
        <f t="shared" si="126"/>
        <v>1509.4512246513284</v>
      </c>
      <c r="Q152" s="279">
        <f t="shared" si="126"/>
        <v>1616.6222616015725</v>
      </c>
      <c r="R152" s="279">
        <f t="shared" si="126"/>
        <v>1731.4024421752842</v>
      </c>
      <c r="S152" s="279">
        <f t="shared" si="126"/>
        <v>1854.3320155697293</v>
      </c>
      <c r="T152" s="279">
        <f t="shared" si="126"/>
        <v>1985.9895886751801</v>
      </c>
      <c r="U152" s="279">
        <f t="shared" si="126"/>
        <v>2126.9948494711175</v>
      </c>
      <c r="V152" s="279">
        <f t="shared" si="126"/>
        <v>2278.0114837835667</v>
      </c>
      <c r="W152" s="279">
        <f t="shared" si="126"/>
        <v>2439.7502991321999</v>
      </c>
      <c r="X152" s="279">
        <f t="shared" si="126"/>
        <v>2612.9725703705858</v>
      </c>
      <c r="Y152" s="279">
        <f t="shared" si="126"/>
        <v>2798.4936228668971</v>
      </c>
      <c r="Z152" s="279">
        <f t="shared" si="126"/>
        <v>2997.186670090447</v>
      </c>
      <c r="AA152" s="279">
        <f t="shared" si="126"/>
        <v>3209.9869236668687</v>
      </c>
      <c r="AB152" s="279">
        <f t="shared" si="126"/>
        <v>3437.895995247216</v>
      </c>
      <c r="AC152" s="279">
        <f t="shared" si="126"/>
        <v>3681.9866109097679</v>
      </c>
      <c r="AD152" s="279">
        <f t="shared" si="126"/>
        <v>3943.4076602843611</v>
      </c>
      <c r="AE152" s="279">
        <f t="shared" si="126"/>
        <v>4223.3896041645503</v>
      </c>
      <c r="AF152" s="279">
        <f t="shared" si="126"/>
        <v>4523.2502660602331</v>
      </c>
      <c r="AG152" s="279">
        <f t="shared" si="126"/>
        <v>4844.4010349505097</v>
      </c>
      <c r="AH152" s="279">
        <f t="shared" si="126"/>
        <v>5188.3535084319956</v>
      </c>
      <c r="AI152" s="279">
        <f t="shared" si="126"/>
        <v>5556.726607530667</v>
      </c>
      <c r="AJ152" s="279">
        <f t="shared" si="126"/>
        <v>5951.2541966653444</v>
      </c>
      <c r="AK152" s="279">
        <f t="shared" si="126"/>
        <v>6373.7932446285831</v>
      </c>
      <c r="AL152" s="279">
        <f t="shared" si="126"/>
        <v>6826.3325649972121</v>
      </c>
      <c r="AM152" s="279">
        <f t="shared" si="126"/>
        <v>7311.0021771120146</v>
      </c>
      <c r="AN152" s="279">
        <f t="shared" si="126"/>
        <v>7830.0833316869666</v>
      </c>
      <c r="AO152" s="279">
        <f t="shared" si="126"/>
        <v>8386.0192482367402</v>
      </c>
      <c r="AP152" s="279">
        <f t="shared" si="126"/>
        <v>8981.4266148615498</v>
      </c>
      <c r="AQ152" s="279">
        <f t="shared" si="126"/>
        <v>9619.1079045167189</v>
      </c>
      <c r="AR152" s="279">
        <f t="shared" si="126"/>
        <v>10302.064565737404</v>
      </c>
      <c r="AS152" s="279">
        <f t="shared" si="126"/>
        <v>11033.51114990476</v>
      </c>
      <c r="AT152" s="279">
        <f t="shared" si="126"/>
        <v>11816.890441547997</v>
      </c>
      <c r="AU152" s="279">
        <f t="shared" si="126"/>
        <v>12655.889662897904</v>
      </c>
      <c r="AX152" s="280"/>
      <c r="AY152" s="280"/>
      <c r="AZ152" s="280"/>
      <c r="BA152" s="280"/>
      <c r="BB152" s="280"/>
      <c r="BC152" s="280"/>
      <c r="BD152" s="280"/>
      <c r="BE152" s="280"/>
      <c r="BF152" s="280"/>
      <c r="BG152" s="280"/>
      <c r="BH152" s="280"/>
      <c r="BI152" s="280"/>
      <c r="BJ152" s="280"/>
      <c r="BK152" s="280"/>
      <c r="BL152" s="280"/>
      <c r="BM152" s="280"/>
      <c r="BN152" s="280"/>
      <c r="BO152" s="280"/>
      <c r="BP152" s="280"/>
      <c r="BQ152" s="280"/>
      <c r="BR152" s="280"/>
      <c r="BS152" s="280"/>
      <c r="BT152" s="280"/>
      <c r="BU152" s="280"/>
      <c r="BV152" s="280"/>
      <c r="BW152" s="280"/>
      <c r="BX152" s="280"/>
      <c r="BY152" s="280"/>
      <c r="BZ152" s="280"/>
      <c r="CA152" s="280"/>
      <c r="CB152" s="280"/>
      <c r="CC152" s="280"/>
      <c r="CD152" s="280"/>
      <c r="CE152" s="280"/>
      <c r="CF152" s="280"/>
      <c r="CG152" s="280"/>
      <c r="CH152" s="280"/>
      <c r="CI152" s="280"/>
      <c r="CJ152" s="280"/>
      <c r="CL152" s="281"/>
      <c r="CM152" s="281"/>
      <c r="CN152" s="281"/>
      <c r="CO152" s="281"/>
      <c r="CP152" s="281"/>
      <c r="CQ152" s="281"/>
      <c r="CR152" s="281"/>
      <c r="CS152" s="281"/>
      <c r="CT152" s="281"/>
      <c r="CU152" s="281"/>
      <c r="CV152" s="281"/>
      <c r="CW152" s="281"/>
      <c r="CX152" s="281"/>
      <c r="CY152" s="281"/>
      <c r="CZ152" s="281"/>
      <c r="DA152" s="281"/>
      <c r="DB152" s="281"/>
      <c r="DC152" s="281"/>
      <c r="DD152" s="281"/>
      <c r="DE152" s="281"/>
      <c r="DF152" s="281"/>
      <c r="DG152" s="281"/>
      <c r="DH152" s="281"/>
      <c r="DI152" s="281"/>
      <c r="DJ152" s="281"/>
      <c r="DK152" s="281"/>
      <c r="DL152" s="281"/>
      <c r="DM152" s="281"/>
      <c r="DN152" s="281"/>
      <c r="DO152" s="281"/>
      <c r="DP152" s="281"/>
      <c r="DQ152" s="281"/>
      <c r="DR152" s="281"/>
      <c r="DS152" s="281"/>
      <c r="DT152" s="281"/>
      <c r="DU152" s="281"/>
      <c r="DV152" s="281"/>
      <c r="DW152" s="281"/>
      <c r="DX152" s="281"/>
    </row>
    <row r="153" spans="1:128" x14ac:dyDescent="0.3">
      <c r="A153" s="245" t="str">
        <f t="shared" si="124"/>
        <v>Drury-Opaheke 2024</v>
      </c>
      <c r="B153" s="245" t="str">
        <f t="shared" si="124"/>
        <v>Drury West PC area</v>
      </c>
      <c r="C153" s="245">
        <f t="shared" si="124"/>
        <v>2035</v>
      </c>
      <c r="D153" s="245">
        <f t="shared" si="124"/>
        <v>2031</v>
      </c>
      <c r="E153" s="245">
        <f t="shared" si="124"/>
        <v>2035</v>
      </c>
      <c r="F153" s="245">
        <f t="shared" si="124"/>
        <v>2039</v>
      </c>
      <c r="G153" s="245" t="str">
        <f t="shared" ref="G153:G170" si="127">IF(G93="","",G93)</f>
        <v>Bulk wastewater projects to unlock areas estimated completion mid 2030 (PC51) and by 2027 (PC61). Conservative middle date of 2029 selected.</v>
      </c>
      <c r="H153" s="245" t="str">
        <f t="shared" si="108"/>
        <v>Opaheke / Drury</v>
      </c>
      <c r="I153" s="279">
        <f t="shared" ref="I153:AU153" si="128">I93*I$114</f>
        <v>130</v>
      </c>
      <c r="J153" s="279">
        <f t="shared" si="128"/>
        <v>133.64000000000001</v>
      </c>
      <c r="K153" s="279">
        <f t="shared" si="128"/>
        <v>142.9948</v>
      </c>
      <c r="L153" s="279">
        <f t="shared" si="128"/>
        <v>149.1435764</v>
      </c>
      <c r="M153" s="279">
        <f t="shared" si="128"/>
        <v>159.73277032440001</v>
      </c>
      <c r="N153" s="279">
        <f t="shared" si="128"/>
        <v>171.07379701743241</v>
      </c>
      <c r="O153" s="279">
        <f t="shared" si="128"/>
        <v>183.22003660567012</v>
      </c>
      <c r="P153" s="279">
        <f t="shared" si="128"/>
        <v>362.26829391631878</v>
      </c>
      <c r="Q153" s="279">
        <f t="shared" si="128"/>
        <v>387.98934278437741</v>
      </c>
      <c r="R153" s="279">
        <f t="shared" si="128"/>
        <v>415.53658612206823</v>
      </c>
      <c r="S153" s="279">
        <f t="shared" si="128"/>
        <v>445.03968373673507</v>
      </c>
      <c r="T153" s="279">
        <f t="shared" si="128"/>
        <v>665.3065122061854</v>
      </c>
      <c r="U153" s="279">
        <f t="shared" si="128"/>
        <v>712.54327457282443</v>
      </c>
      <c r="V153" s="279">
        <f t="shared" si="128"/>
        <v>763.13384706749491</v>
      </c>
      <c r="W153" s="279">
        <f t="shared" si="128"/>
        <v>817.31635020928695</v>
      </c>
      <c r="X153" s="279">
        <f t="shared" si="128"/>
        <v>2612.9725703705858</v>
      </c>
      <c r="Y153" s="279">
        <f t="shared" si="128"/>
        <v>2798.4936228668971</v>
      </c>
      <c r="Z153" s="279">
        <f t="shared" si="128"/>
        <v>2997.186670090447</v>
      </c>
      <c r="AA153" s="279">
        <f t="shared" si="128"/>
        <v>3209.9869236668687</v>
      </c>
      <c r="AB153" s="279">
        <f t="shared" si="128"/>
        <v>3437.895995247216</v>
      </c>
      <c r="AC153" s="279">
        <f t="shared" si="128"/>
        <v>3681.9866109097679</v>
      </c>
      <c r="AD153" s="279">
        <f t="shared" si="128"/>
        <v>3943.4076602843611</v>
      </c>
      <c r="AE153" s="279">
        <f t="shared" si="128"/>
        <v>4223.3896041645503</v>
      </c>
      <c r="AF153" s="279">
        <f t="shared" si="128"/>
        <v>4523.2502660602331</v>
      </c>
      <c r="AG153" s="279">
        <f t="shared" si="128"/>
        <v>4844.4010349505097</v>
      </c>
      <c r="AH153" s="279">
        <f t="shared" si="128"/>
        <v>5188.3535084319956</v>
      </c>
      <c r="AI153" s="279">
        <f t="shared" si="128"/>
        <v>5556.726607530667</v>
      </c>
      <c r="AJ153" s="279">
        <f t="shared" si="128"/>
        <v>5951.2541966653444</v>
      </c>
      <c r="AK153" s="279">
        <f t="shared" si="128"/>
        <v>6373.7932446285831</v>
      </c>
      <c r="AL153" s="279">
        <f t="shared" si="128"/>
        <v>6826.3325649972121</v>
      </c>
      <c r="AM153" s="279">
        <f t="shared" si="128"/>
        <v>7311.0021771120146</v>
      </c>
      <c r="AN153" s="279">
        <f t="shared" si="128"/>
        <v>7830.0833316869666</v>
      </c>
      <c r="AO153" s="279">
        <f t="shared" si="128"/>
        <v>8386.0192482367402</v>
      </c>
      <c r="AP153" s="279">
        <f t="shared" si="128"/>
        <v>8981.4266148615498</v>
      </c>
      <c r="AQ153" s="279">
        <f t="shared" si="128"/>
        <v>9619.1079045167189</v>
      </c>
      <c r="AR153" s="279">
        <f t="shared" si="128"/>
        <v>10302.064565737404</v>
      </c>
      <c r="AS153" s="279">
        <f t="shared" si="128"/>
        <v>11033.51114990476</v>
      </c>
      <c r="AT153" s="279">
        <f t="shared" si="128"/>
        <v>11816.890441547997</v>
      </c>
      <c r="AU153" s="279">
        <f t="shared" si="128"/>
        <v>12655.889662897904</v>
      </c>
      <c r="AX153" s="280"/>
      <c r="AY153" s="280"/>
      <c r="AZ153" s="280"/>
      <c r="BA153" s="280"/>
      <c r="BB153" s="280"/>
      <c r="BC153" s="280"/>
      <c r="BD153" s="280"/>
      <c r="BE153" s="280"/>
      <c r="BF153" s="280"/>
      <c r="BG153" s="280"/>
      <c r="BH153" s="280"/>
      <c r="BI153" s="280"/>
      <c r="BJ153" s="280"/>
      <c r="BK153" s="280"/>
      <c r="BL153" s="280"/>
      <c r="BM153" s="280"/>
      <c r="BN153" s="280"/>
      <c r="BO153" s="280"/>
      <c r="BP153" s="280"/>
      <c r="BQ153" s="280"/>
      <c r="BR153" s="280"/>
      <c r="BS153" s="280"/>
      <c r="BT153" s="280"/>
      <c r="BU153" s="280"/>
      <c r="BV153" s="280"/>
      <c r="BW153" s="280"/>
      <c r="BX153" s="280"/>
      <c r="BY153" s="280"/>
      <c r="BZ153" s="280"/>
      <c r="CA153" s="280"/>
      <c r="CB153" s="280"/>
      <c r="CC153" s="280"/>
      <c r="CD153" s="280"/>
      <c r="CE153" s="280"/>
      <c r="CF153" s="280"/>
      <c r="CG153" s="280"/>
      <c r="CH153" s="280"/>
      <c r="CI153" s="280"/>
      <c r="CJ153" s="280"/>
      <c r="CL153" s="281"/>
      <c r="CM153" s="281"/>
      <c r="CN153" s="281"/>
      <c r="CO153" s="281"/>
      <c r="CP153" s="281"/>
      <c r="CQ153" s="281"/>
      <c r="CR153" s="281"/>
      <c r="CS153" s="281"/>
      <c r="CT153" s="281"/>
      <c r="CU153" s="281"/>
      <c r="CV153" s="281"/>
      <c r="CW153" s="281"/>
      <c r="CX153" s="281"/>
      <c r="CY153" s="281"/>
      <c r="CZ153" s="281"/>
      <c r="DA153" s="281"/>
      <c r="DB153" s="281"/>
      <c r="DC153" s="281"/>
      <c r="DD153" s="281"/>
      <c r="DE153" s="281"/>
      <c r="DF153" s="281"/>
      <c r="DG153" s="281"/>
      <c r="DH153" s="281"/>
      <c r="DI153" s="281"/>
      <c r="DJ153" s="281"/>
      <c r="DK153" s="281"/>
      <c r="DL153" s="281"/>
      <c r="DM153" s="281"/>
      <c r="DN153" s="281"/>
      <c r="DO153" s="281"/>
      <c r="DP153" s="281"/>
      <c r="DQ153" s="281"/>
      <c r="DR153" s="281"/>
      <c r="DS153" s="281"/>
      <c r="DT153" s="281"/>
      <c r="DU153" s="281"/>
      <c r="DV153" s="281"/>
      <c r="DW153" s="281"/>
      <c r="DX153" s="281"/>
    </row>
    <row r="154" spans="1:128" x14ac:dyDescent="0.3">
      <c r="A154" s="245" t="str">
        <f t="shared" si="124"/>
        <v>Drury-Opaheke 2024</v>
      </c>
      <c r="B154" s="245" t="str">
        <f t="shared" si="124"/>
        <v>Drury South</v>
      </c>
      <c r="C154" s="245" t="str">
        <f t="shared" si="124"/>
        <v>SUL ongoing</v>
      </c>
      <c r="D154" s="245">
        <f t="shared" si="124"/>
        <v>0</v>
      </c>
      <c r="E154" s="245">
        <f t="shared" si="124"/>
        <v>0</v>
      </c>
      <c r="F154" s="245">
        <f t="shared" si="124"/>
        <v>2024</v>
      </c>
      <c r="G154" s="245" t="str">
        <f t="shared" si="127"/>
        <v>Significant residential growth occuring for many years. SUL stage ongoing.</v>
      </c>
      <c r="H154" s="245" t="str">
        <f t="shared" si="108"/>
        <v>Opaheke / Drury</v>
      </c>
      <c r="I154" s="279">
        <f t="shared" ref="I154:AU154" si="129">I94*I$114</f>
        <v>1000</v>
      </c>
      <c r="J154" s="279">
        <f t="shared" si="129"/>
        <v>1028</v>
      </c>
      <c r="K154" s="279">
        <f t="shared" si="129"/>
        <v>1099.96</v>
      </c>
      <c r="L154" s="279">
        <f t="shared" si="129"/>
        <v>1147.25828</v>
      </c>
      <c r="M154" s="279">
        <f t="shared" si="129"/>
        <v>1228.7136178799999</v>
      </c>
      <c r="N154" s="279">
        <f t="shared" si="129"/>
        <v>1315.95228474948</v>
      </c>
      <c r="O154" s="279">
        <f t="shared" si="129"/>
        <v>1409.3848969666931</v>
      </c>
      <c r="P154" s="279">
        <f t="shared" si="129"/>
        <v>1509.4512246513284</v>
      </c>
      <c r="Q154" s="279">
        <f t="shared" si="129"/>
        <v>1616.6222616015725</v>
      </c>
      <c r="R154" s="279">
        <f t="shared" si="129"/>
        <v>1731.4024421752842</v>
      </c>
      <c r="S154" s="279">
        <f t="shared" si="129"/>
        <v>1854.3320155697293</v>
      </c>
      <c r="T154" s="279">
        <f t="shared" si="129"/>
        <v>1985.9895886751801</v>
      </c>
      <c r="U154" s="279">
        <f t="shared" si="129"/>
        <v>2126.9948494711175</v>
      </c>
      <c r="V154" s="279">
        <f t="shared" si="129"/>
        <v>2278.0114837835667</v>
      </c>
      <c r="W154" s="279">
        <f t="shared" si="129"/>
        <v>2439.7502991321999</v>
      </c>
      <c r="X154" s="279">
        <f t="shared" si="129"/>
        <v>2612.9725703705858</v>
      </c>
      <c r="Y154" s="279">
        <f t="shared" si="129"/>
        <v>2798.4936228668971</v>
      </c>
      <c r="Z154" s="279">
        <f t="shared" si="129"/>
        <v>2997.186670090447</v>
      </c>
      <c r="AA154" s="279">
        <f t="shared" si="129"/>
        <v>3209.9869236668687</v>
      </c>
      <c r="AB154" s="279">
        <f t="shared" si="129"/>
        <v>3437.895995247216</v>
      </c>
      <c r="AC154" s="279">
        <f t="shared" si="129"/>
        <v>3681.9866109097679</v>
      </c>
      <c r="AD154" s="279">
        <f t="shared" si="129"/>
        <v>3943.4076602843611</v>
      </c>
      <c r="AE154" s="279">
        <f t="shared" si="129"/>
        <v>4223.3896041645503</v>
      </c>
      <c r="AF154" s="279">
        <f t="shared" si="129"/>
        <v>4523.2502660602331</v>
      </c>
      <c r="AG154" s="279">
        <f t="shared" si="129"/>
        <v>4844.4010349505097</v>
      </c>
      <c r="AH154" s="279">
        <f t="shared" si="129"/>
        <v>5188.3535084319956</v>
      </c>
      <c r="AI154" s="279">
        <f t="shared" si="129"/>
        <v>5556.726607530667</v>
      </c>
      <c r="AJ154" s="279">
        <f t="shared" si="129"/>
        <v>5951.2541966653444</v>
      </c>
      <c r="AK154" s="279">
        <f t="shared" si="129"/>
        <v>6373.7932446285831</v>
      </c>
      <c r="AL154" s="279">
        <f t="shared" si="129"/>
        <v>6826.3325649972121</v>
      </c>
      <c r="AM154" s="279">
        <f t="shared" si="129"/>
        <v>7311.0021771120146</v>
      </c>
      <c r="AN154" s="279">
        <f t="shared" si="129"/>
        <v>7830.0833316869666</v>
      </c>
      <c r="AO154" s="279">
        <f t="shared" si="129"/>
        <v>8386.0192482367402</v>
      </c>
      <c r="AP154" s="279">
        <f t="shared" si="129"/>
        <v>8981.4266148615498</v>
      </c>
      <c r="AQ154" s="279">
        <f t="shared" si="129"/>
        <v>9619.1079045167189</v>
      </c>
      <c r="AR154" s="279">
        <f t="shared" si="129"/>
        <v>10302.064565737404</v>
      </c>
      <c r="AS154" s="279">
        <f t="shared" si="129"/>
        <v>11033.51114990476</v>
      </c>
      <c r="AT154" s="279">
        <f t="shared" si="129"/>
        <v>11816.890441547997</v>
      </c>
      <c r="AU154" s="279">
        <f t="shared" si="129"/>
        <v>12655.889662897904</v>
      </c>
      <c r="AX154" s="280"/>
      <c r="AY154" s="280"/>
      <c r="AZ154" s="280"/>
      <c r="BA154" s="280"/>
      <c r="BB154" s="280"/>
      <c r="BC154" s="280"/>
      <c r="BD154" s="280"/>
      <c r="BE154" s="280"/>
      <c r="BF154" s="280"/>
      <c r="BG154" s="280"/>
      <c r="BH154" s="280"/>
      <c r="BI154" s="280"/>
      <c r="BJ154" s="280"/>
      <c r="BK154" s="280"/>
      <c r="BL154" s="280"/>
      <c r="BM154" s="280"/>
      <c r="BN154" s="280"/>
      <c r="BO154" s="280"/>
      <c r="BP154" s="280"/>
      <c r="BQ154" s="280"/>
      <c r="BR154" s="280"/>
      <c r="BS154" s="280"/>
      <c r="BT154" s="280"/>
      <c r="BU154" s="280"/>
      <c r="BV154" s="280"/>
      <c r="BW154" s="280"/>
      <c r="BX154" s="280"/>
      <c r="BY154" s="280"/>
      <c r="BZ154" s="280"/>
      <c r="CA154" s="280"/>
      <c r="CB154" s="280"/>
      <c r="CC154" s="280"/>
      <c r="CD154" s="280"/>
      <c r="CE154" s="280"/>
      <c r="CF154" s="280"/>
      <c r="CG154" s="280"/>
      <c r="CH154" s="280"/>
      <c r="CI154" s="280"/>
      <c r="CJ154" s="280"/>
      <c r="CL154" s="281"/>
      <c r="CM154" s="281"/>
      <c r="CN154" s="281"/>
      <c r="CO154" s="281"/>
      <c r="CP154" s="281"/>
      <c r="CQ154" s="281"/>
      <c r="CR154" s="281"/>
      <c r="CS154" s="281"/>
      <c r="CT154" s="281"/>
      <c r="CU154" s="281"/>
      <c r="CV154" s="281"/>
      <c r="CW154" s="281"/>
      <c r="CX154" s="281"/>
      <c r="CY154" s="281"/>
      <c r="CZ154" s="281"/>
      <c r="DA154" s="281"/>
      <c r="DB154" s="281"/>
      <c r="DC154" s="281"/>
      <c r="DD154" s="281"/>
      <c r="DE154" s="281"/>
      <c r="DF154" s="281"/>
      <c r="DG154" s="281"/>
      <c r="DH154" s="281"/>
      <c r="DI154" s="281"/>
      <c r="DJ154" s="281"/>
      <c r="DK154" s="281"/>
      <c r="DL154" s="281"/>
      <c r="DM154" s="281"/>
      <c r="DN154" s="281"/>
      <c r="DO154" s="281"/>
      <c r="DP154" s="281"/>
      <c r="DQ154" s="281"/>
      <c r="DR154" s="281"/>
      <c r="DS154" s="281"/>
      <c r="DT154" s="281"/>
      <c r="DU154" s="281"/>
      <c r="DV154" s="281"/>
      <c r="DW154" s="281"/>
      <c r="DX154" s="281"/>
    </row>
    <row r="155" spans="1:128" x14ac:dyDescent="0.3">
      <c r="A155" s="245" t="str">
        <f t="shared" si="124"/>
        <v>Pukekohe &amp; Paerata</v>
      </c>
      <c r="B155" s="245" t="str">
        <f t="shared" si="124"/>
        <v>Paerata South</v>
      </c>
      <c r="C155" s="245">
        <f t="shared" si="124"/>
        <v>2030</v>
      </c>
      <c r="D155" s="245">
        <f t="shared" si="124"/>
        <v>2026</v>
      </c>
      <c r="E155" s="245">
        <f t="shared" si="124"/>
        <v>2030</v>
      </c>
      <c r="F155" s="245">
        <f t="shared" si="124"/>
        <v>2034</v>
      </c>
      <c r="G155" s="245" t="str">
        <f t="shared" si="127"/>
        <v/>
      </c>
      <c r="H155" s="245" t="str">
        <f t="shared" si="108"/>
        <v>Paerata / Pukekohe</v>
      </c>
      <c r="I155" s="279">
        <f t="shared" ref="I155:AU155" si="130">I95*I$114</f>
        <v>95</v>
      </c>
      <c r="J155" s="279">
        <f t="shared" si="130"/>
        <v>97.66</v>
      </c>
      <c r="K155" s="279">
        <f t="shared" si="130"/>
        <v>142.9948</v>
      </c>
      <c r="L155" s="279">
        <f t="shared" si="130"/>
        <v>149.1435764</v>
      </c>
      <c r="M155" s="279">
        <f t="shared" si="130"/>
        <v>159.73277032440001</v>
      </c>
      <c r="N155" s="279">
        <f t="shared" si="130"/>
        <v>171.07379701743241</v>
      </c>
      <c r="O155" s="279">
        <f t="shared" si="130"/>
        <v>303.01775284783901</v>
      </c>
      <c r="P155" s="279">
        <f t="shared" si="130"/>
        <v>324.5320133000356</v>
      </c>
      <c r="Q155" s="279">
        <f t="shared" si="130"/>
        <v>347.57378624433812</v>
      </c>
      <c r="R155" s="279">
        <f t="shared" si="130"/>
        <v>372.25152506768615</v>
      </c>
      <c r="S155" s="279">
        <f t="shared" si="130"/>
        <v>1668.8988140127565</v>
      </c>
      <c r="T155" s="279">
        <f t="shared" si="130"/>
        <v>1787.3906298076622</v>
      </c>
      <c r="U155" s="279">
        <f t="shared" si="130"/>
        <v>1914.2953645240059</v>
      </c>
      <c r="V155" s="279">
        <f t="shared" si="130"/>
        <v>2050.2103354052101</v>
      </c>
      <c r="W155" s="279">
        <f t="shared" si="130"/>
        <v>2195.7752692189802</v>
      </c>
      <c r="X155" s="279">
        <f t="shared" si="130"/>
        <v>2351.6753133335274</v>
      </c>
      <c r="Y155" s="279">
        <f t="shared" si="130"/>
        <v>2518.6442605802076</v>
      </c>
      <c r="Z155" s="279">
        <f t="shared" si="130"/>
        <v>2697.468003081402</v>
      </c>
      <c r="AA155" s="279">
        <f t="shared" si="130"/>
        <v>2888.9882313001817</v>
      </c>
      <c r="AB155" s="279">
        <f t="shared" si="130"/>
        <v>3094.1063957224942</v>
      </c>
      <c r="AC155" s="279">
        <f t="shared" si="130"/>
        <v>3313.7879498187913</v>
      </c>
      <c r="AD155" s="279">
        <f t="shared" si="130"/>
        <v>3549.066894255925</v>
      </c>
      <c r="AE155" s="279">
        <f t="shared" si="130"/>
        <v>3801.0506437480954</v>
      </c>
      <c r="AF155" s="279">
        <f t="shared" si="130"/>
        <v>4070.92523945421</v>
      </c>
      <c r="AG155" s="279">
        <f t="shared" si="130"/>
        <v>4359.9609314554582</v>
      </c>
      <c r="AH155" s="279">
        <f t="shared" si="130"/>
        <v>4669.5181575887955</v>
      </c>
      <c r="AI155" s="279">
        <f t="shared" si="130"/>
        <v>5001.0539467776007</v>
      </c>
      <c r="AJ155" s="279">
        <f t="shared" si="130"/>
        <v>5356.1287769988094</v>
      </c>
      <c r="AK155" s="279">
        <f t="shared" si="130"/>
        <v>5736.4139201657244</v>
      </c>
      <c r="AL155" s="279">
        <f t="shared" si="130"/>
        <v>6143.6993084974911</v>
      </c>
      <c r="AM155" s="279">
        <f t="shared" si="130"/>
        <v>6579.9019594008123</v>
      </c>
      <c r="AN155" s="279">
        <f t="shared" si="130"/>
        <v>7047.0749985182701</v>
      </c>
      <c r="AO155" s="279">
        <f t="shared" si="130"/>
        <v>7547.4173234130667</v>
      </c>
      <c r="AP155" s="279">
        <f t="shared" si="130"/>
        <v>8083.283953375394</v>
      </c>
      <c r="AQ155" s="279">
        <f t="shared" si="130"/>
        <v>8657.1971140650476</v>
      </c>
      <c r="AR155" s="279">
        <f t="shared" si="130"/>
        <v>9271.8581091636643</v>
      </c>
      <c r="AS155" s="279">
        <f t="shared" si="130"/>
        <v>9930.1600349142827</v>
      </c>
      <c r="AT155" s="279">
        <f t="shared" si="130"/>
        <v>10635.201397393197</v>
      </c>
      <c r="AU155" s="279">
        <f t="shared" si="130"/>
        <v>11390.300696608114</v>
      </c>
      <c r="AX155" s="280"/>
      <c r="AY155" s="280"/>
      <c r="AZ155" s="280"/>
      <c r="BA155" s="280"/>
      <c r="BB155" s="280"/>
      <c r="BC155" s="280"/>
      <c r="BD155" s="280"/>
      <c r="BE155" s="280"/>
      <c r="BF155" s="280"/>
      <c r="BG155" s="280"/>
      <c r="BH155" s="280"/>
      <c r="BI155" s="280"/>
      <c r="BJ155" s="280"/>
      <c r="BK155" s="280"/>
      <c r="BL155" s="280"/>
      <c r="BM155" s="280"/>
      <c r="BN155" s="280"/>
      <c r="BO155" s="280"/>
      <c r="BP155" s="280"/>
      <c r="BQ155" s="280"/>
      <c r="BR155" s="280"/>
      <c r="BS155" s="280"/>
      <c r="BT155" s="280"/>
      <c r="BU155" s="280"/>
      <c r="BV155" s="280"/>
      <c r="BW155" s="280"/>
      <c r="BX155" s="280"/>
      <c r="BY155" s="280"/>
      <c r="BZ155" s="280"/>
      <c r="CA155" s="280"/>
      <c r="CB155" s="280"/>
      <c r="CC155" s="280"/>
      <c r="CD155" s="280"/>
      <c r="CE155" s="280"/>
      <c r="CF155" s="280"/>
      <c r="CG155" s="280"/>
      <c r="CH155" s="280"/>
      <c r="CI155" s="280"/>
      <c r="CJ155" s="280"/>
      <c r="CL155" s="281"/>
      <c r="CM155" s="281"/>
      <c r="CN155" s="281"/>
      <c r="CO155" s="281"/>
      <c r="CP155" s="281"/>
      <c r="CQ155" s="281"/>
      <c r="CR155" s="281"/>
      <c r="CS155" s="281"/>
      <c r="CT155" s="281"/>
      <c r="CU155" s="281"/>
      <c r="CV155" s="281"/>
      <c r="CW155" s="281"/>
      <c r="CX155" s="281"/>
      <c r="CY155" s="281"/>
      <c r="CZ155" s="281"/>
      <c r="DA155" s="281"/>
      <c r="DB155" s="281"/>
      <c r="DC155" s="281"/>
      <c r="DD155" s="281"/>
      <c r="DE155" s="281"/>
      <c r="DF155" s="281"/>
      <c r="DG155" s="281"/>
      <c r="DH155" s="281"/>
      <c r="DI155" s="281"/>
      <c r="DJ155" s="281"/>
      <c r="DK155" s="281"/>
      <c r="DL155" s="281"/>
      <c r="DM155" s="281"/>
      <c r="DN155" s="281"/>
      <c r="DO155" s="281"/>
      <c r="DP155" s="281"/>
      <c r="DQ155" s="281"/>
      <c r="DR155" s="281"/>
      <c r="DS155" s="281"/>
      <c r="DT155" s="281"/>
      <c r="DU155" s="281"/>
      <c r="DV155" s="281"/>
      <c r="DW155" s="281"/>
      <c r="DX155" s="281"/>
    </row>
    <row r="156" spans="1:128" x14ac:dyDescent="0.3">
      <c r="A156" s="245" t="str">
        <f t="shared" si="124"/>
        <v>Pukekohe &amp; Paerata</v>
      </c>
      <c r="B156" s="245" t="str">
        <f t="shared" si="124"/>
        <v>Paerata West, Pukekohe North-east, North-west, South-east</v>
      </c>
      <c r="C156" s="245">
        <f t="shared" si="124"/>
        <v>2040</v>
      </c>
      <c r="D156" s="245">
        <f t="shared" si="124"/>
        <v>2036</v>
      </c>
      <c r="E156" s="245">
        <f t="shared" si="124"/>
        <v>2040</v>
      </c>
      <c r="F156" s="245">
        <f t="shared" si="124"/>
        <v>2044</v>
      </c>
      <c r="G156" s="245" t="str">
        <f t="shared" si="127"/>
        <v/>
      </c>
      <c r="H156" s="245" t="str">
        <f t="shared" si="108"/>
        <v>Paerata / Pukekohe</v>
      </c>
      <c r="I156" s="279">
        <f t="shared" ref="I156:AU156" si="131">I96*I$114</f>
        <v>95</v>
      </c>
      <c r="J156" s="279">
        <f t="shared" si="131"/>
        <v>97.66</v>
      </c>
      <c r="K156" s="279">
        <f t="shared" si="131"/>
        <v>104.4962</v>
      </c>
      <c r="L156" s="279">
        <f t="shared" si="131"/>
        <v>108.98953659999999</v>
      </c>
      <c r="M156" s="279">
        <f t="shared" si="131"/>
        <v>116.7277936986</v>
      </c>
      <c r="N156" s="279">
        <f t="shared" si="131"/>
        <v>125.0154670512006</v>
      </c>
      <c r="O156" s="279">
        <f t="shared" si="131"/>
        <v>133.89156521183585</v>
      </c>
      <c r="P156" s="279">
        <f t="shared" si="131"/>
        <v>143.39786634187618</v>
      </c>
      <c r="Q156" s="279">
        <f t="shared" si="131"/>
        <v>153.57911485214939</v>
      </c>
      <c r="R156" s="279">
        <f t="shared" si="131"/>
        <v>164.483232006652</v>
      </c>
      <c r="S156" s="279">
        <f t="shared" si="131"/>
        <v>176.16154147912428</v>
      </c>
      <c r="T156" s="279">
        <f t="shared" si="131"/>
        <v>188.66901092414213</v>
      </c>
      <c r="U156" s="279">
        <f t="shared" si="131"/>
        <v>276.5093304312453</v>
      </c>
      <c r="V156" s="279">
        <f t="shared" si="131"/>
        <v>296.14149289186366</v>
      </c>
      <c r="W156" s="279">
        <f t="shared" si="131"/>
        <v>317.16753888718597</v>
      </c>
      <c r="X156" s="279">
        <f t="shared" si="131"/>
        <v>339.68643414817615</v>
      </c>
      <c r="Y156" s="279">
        <f t="shared" si="131"/>
        <v>601.67612891638294</v>
      </c>
      <c r="Z156" s="279">
        <f t="shared" si="131"/>
        <v>644.39513406944604</v>
      </c>
      <c r="AA156" s="279">
        <f t="shared" si="131"/>
        <v>690.14718858837671</v>
      </c>
      <c r="AB156" s="279">
        <f t="shared" si="131"/>
        <v>739.14763897815146</v>
      </c>
      <c r="AC156" s="279">
        <f t="shared" si="131"/>
        <v>3313.7879498187913</v>
      </c>
      <c r="AD156" s="279">
        <f t="shared" si="131"/>
        <v>3549.066894255925</v>
      </c>
      <c r="AE156" s="279">
        <f t="shared" si="131"/>
        <v>3801.0506437480954</v>
      </c>
      <c r="AF156" s="279">
        <f t="shared" si="131"/>
        <v>4070.92523945421</v>
      </c>
      <c r="AG156" s="279">
        <f t="shared" si="131"/>
        <v>4359.9609314554582</v>
      </c>
      <c r="AH156" s="279">
        <f t="shared" si="131"/>
        <v>4669.5181575887955</v>
      </c>
      <c r="AI156" s="279">
        <f t="shared" si="131"/>
        <v>5001.0539467776007</v>
      </c>
      <c r="AJ156" s="279">
        <f t="shared" si="131"/>
        <v>5356.1287769988094</v>
      </c>
      <c r="AK156" s="279">
        <f t="shared" si="131"/>
        <v>5736.4139201657244</v>
      </c>
      <c r="AL156" s="279">
        <f t="shared" si="131"/>
        <v>6143.6993084974911</v>
      </c>
      <c r="AM156" s="279">
        <f t="shared" si="131"/>
        <v>6579.9019594008123</v>
      </c>
      <c r="AN156" s="279">
        <f t="shared" si="131"/>
        <v>7047.0749985182701</v>
      </c>
      <c r="AO156" s="279">
        <f t="shared" si="131"/>
        <v>7547.4173234130667</v>
      </c>
      <c r="AP156" s="279">
        <f t="shared" si="131"/>
        <v>8083.283953375394</v>
      </c>
      <c r="AQ156" s="279">
        <f t="shared" si="131"/>
        <v>8657.1971140650476</v>
      </c>
      <c r="AR156" s="279">
        <f t="shared" si="131"/>
        <v>9271.8581091636643</v>
      </c>
      <c r="AS156" s="279">
        <f t="shared" si="131"/>
        <v>9930.1600349142827</v>
      </c>
      <c r="AT156" s="279">
        <f t="shared" si="131"/>
        <v>10635.201397393197</v>
      </c>
      <c r="AU156" s="279">
        <f t="shared" si="131"/>
        <v>11390.300696608114</v>
      </c>
      <c r="AX156" s="280"/>
      <c r="AY156" s="280"/>
      <c r="AZ156" s="280"/>
      <c r="BA156" s="280"/>
      <c r="BB156" s="280"/>
      <c r="BC156" s="280"/>
      <c r="BD156" s="280"/>
      <c r="BE156" s="280"/>
      <c r="BF156" s="280"/>
      <c r="BG156" s="280"/>
      <c r="BH156" s="280"/>
      <c r="BI156" s="280"/>
      <c r="BJ156" s="280"/>
      <c r="BK156" s="280"/>
      <c r="BL156" s="280"/>
      <c r="BM156" s="280"/>
      <c r="BN156" s="280"/>
      <c r="BO156" s="280"/>
      <c r="BP156" s="280"/>
      <c r="BQ156" s="280"/>
      <c r="BR156" s="280"/>
      <c r="BS156" s="280"/>
      <c r="BT156" s="280"/>
      <c r="BU156" s="280"/>
      <c r="BV156" s="280"/>
      <c r="BW156" s="280"/>
      <c r="BX156" s="280"/>
      <c r="BY156" s="280"/>
      <c r="BZ156" s="280"/>
      <c r="CA156" s="280"/>
      <c r="CB156" s="280"/>
      <c r="CC156" s="280"/>
      <c r="CD156" s="280"/>
      <c r="CE156" s="280"/>
      <c r="CF156" s="280"/>
      <c r="CG156" s="280"/>
      <c r="CH156" s="280"/>
      <c r="CI156" s="280"/>
      <c r="CJ156" s="280"/>
      <c r="CL156" s="281"/>
      <c r="CM156" s="281"/>
      <c r="CN156" s="281"/>
      <c r="CO156" s="281"/>
      <c r="CP156" s="281"/>
      <c r="CQ156" s="281"/>
      <c r="CR156" s="281"/>
      <c r="CS156" s="281"/>
      <c r="CT156" s="281"/>
      <c r="CU156" s="281"/>
      <c r="CV156" s="281"/>
      <c r="CW156" s="281"/>
      <c r="CX156" s="281"/>
      <c r="CY156" s="281"/>
      <c r="CZ156" s="281"/>
      <c r="DA156" s="281"/>
      <c r="DB156" s="281"/>
      <c r="DC156" s="281"/>
      <c r="DD156" s="281"/>
      <c r="DE156" s="281"/>
      <c r="DF156" s="281"/>
      <c r="DG156" s="281"/>
      <c r="DH156" s="281"/>
      <c r="DI156" s="281"/>
      <c r="DJ156" s="281"/>
      <c r="DK156" s="281"/>
      <c r="DL156" s="281"/>
      <c r="DM156" s="281"/>
      <c r="DN156" s="281"/>
      <c r="DO156" s="281"/>
      <c r="DP156" s="281"/>
      <c r="DQ156" s="281"/>
      <c r="DR156" s="281"/>
      <c r="DS156" s="281"/>
      <c r="DT156" s="281"/>
      <c r="DU156" s="281"/>
      <c r="DV156" s="281"/>
      <c r="DW156" s="281"/>
      <c r="DX156" s="281"/>
    </row>
    <row r="157" spans="1:128" x14ac:dyDescent="0.3">
      <c r="A157" s="245" t="str">
        <f t="shared" si="124"/>
        <v>Pukekohe &amp; Paerata</v>
      </c>
      <c r="B157" s="245" t="str">
        <f t="shared" si="124"/>
        <v>Pukekohe East, South-west</v>
      </c>
      <c r="C157" s="245">
        <f t="shared" si="124"/>
        <v>2035</v>
      </c>
      <c r="D157" s="245">
        <f t="shared" si="124"/>
        <v>2031</v>
      </c>
      <c r="E157" s="245">
        <f t="shared" si="124"/>
        <v>2035</v>
      </c>
      <c r="F157" s="245">
        <f t="shared" si="124"/>
        <v>2039</v>
      </c>
      <c r="G157" s="245" t="str">
        <f t="shared" si="127"/>
        <v/>
      </c>
      <c r="H157" s="245" t="str">
        <f t="shared" si="108"/>
        <v>Paerata / Pukekohe</v>
      </c>
      <c r="I157" s="279">
        <f t="shared" ref="I157:AU157" si="132">I97*I$114</f>
        <v>95</v>
      </c>
      <c r="J157" s="279">
        <f t="shared" si="132"/>
        <v>97.66</v>
      </c>
      <c r="K157" s="279">
        <f t="shared" si="132"/>
        <v>104.4962</v>
      </c>
      <c r="L157" s="279">
        <f t="shared" si="132"/>
        <v>108.98953659999999</v>
      </c>
      <c r="M157" s="279">
        <f t="shared" si="132"/>
        <v>116.7277936986</v>
      </c>
      <c r="N157" s="279">
        <f t="shared" si="132"/>
        <v>125.0154670512006</v>
      </c>
      <c r="O157" s="279">
        <f t="shared" si="132"/>
        <v>133.89156521183585</v>
      </c>
      <c r="P157" s="279">
        <f t="shared" si="132"/>
        <v>196.22865920467268</v>
      </c>
      <c r="Q157" s="279">
        <f t="shared" si="132"/>
        <v>210.16089400820445</v>
      </c>
      <c r="R157" s="279">
        <f t="shared" si="132"/>
        <v>225.08231748278695</v>
      </c>
      <c r="S157" s="279">
        <f t="shared" si="132"/>
        <v>241.06316202406481</v>
      </c>
      <c r="T157" s="279">
        <f t="shared" si="132"/>
        <v>426.98776156516374</v>
      </c>
      <c r="U157" s="279">
        <f t="shared" si="132"/>
        <v>457.3038926362903</v>
      </c>
      <c r="V157" s="279">
        <f t="shared" si="132"/>
        <v>489.77246901346683</v>
      </c>
      <c r="W157" s="279">
        <f t="shared" si="132"/>
        <v>524.54631431342295</v>
      </c>
      <c r="X157" s="279">
        <f t="shared" si="132"/>
        <v>2351.6753133335274</v>
      </c>
      <c r="Y157" s="279">
        <f t="shared" si="132"/>
        <v>2518.6442605802076</v>
      </c>
      <c r="Z157" s="279">
        <f t="shared" si="132"/>
        <v>2697.468003081402</v>
      </c>
      <c r="AA157" s="279">
        <f t="shared" si="132"/>
        <v>2888.9882313001817</v>
      </c>
      <c r="AB157" s="279">
        <f t="shared" si="132"/>
        <v>3094.1063957224942</v>
      </c>
      <c r="AC157" s="279">
        <f t="shared" si="132"/>
        <v>3313.7879498187913</v>
      </c>
      <c r="AD157" s="279">
        <f t="shared" si="132"/>
        <v>3549.066894255925</v>
      </c>
      <c r="AE157" s="279">
        <f t="shared" si="132"/>
        <v>3801.0506437480954</v>
      </c>
      <c r="AF157" s="279">
        <f t="shared" si="132"/>
        <v>4070.92523945421</v>
      </c>
      <c r="AG157" s="279">
        <f t="shared" si="132"/>
        <v>4359.9609314554582</v>
      </c>
      <c r="AH157" s="279">
        <f t="shared" si="132"/>
        <v>4669.5181575887955</v>
      </c>
      <c r="AI157" s="279">
        <f t="shared" si="132"/>
        <v>5001.0539467776007</v>
      </c>
      <c r="AJ157" s="279">
        <f t="shared" si="132"/>
        <v>5356.1287769988094</v>
      </c>
      <c r="AK157" s="279">
        <f t="shared" si="132"/>
        <v>5736.4139201657244</v>
      </c>
      <c r="AL157" s="279">
        <f t="shared" si="132"/>
        <v>6143.6993084974911</v>
      </c>
      <c r="AM157" s="279">
        <f t="shared" si="132"/>
        <v>6579.9019594008123</v>
      </c>
      <c r="AN157" s="279">
        <f t="shared" si="132"/>
        <v>7047.0749985182701</v>
      </c>
      <c r="AO157" s="279">
        <f t="shared" si="132"/>
        <v>7547.4173234130667</v>
      </c>
      <c r="AP157" s="279">
        <f t="shared" si="132"/>
        <v>8083.283953375394</v>
      </c>
      <c r="AQ157" s="279">
        <f t="shared" si="132"/>
        <v>8657.1971140650476</v>
      </c>
      <c r="AR157" s="279">
        <f t="shared" si="132"/>
        <v>9271.8581091636643</v>
      </c>
      <c r="AS157" s="279">
        <f t="shared" si="132"/>
        <v>9930.1600349142827</v>
      </c>
      <c r="AT157" s="279">
        <f t="shared" si="132"/>
        <v>10635.201397393197</v>
      </c>
      <c r="AU157" s="279">
        <f t="shared" si="132"/>
        <v>11390.300696608114</v>
      </c>
      <c r="AX157" s="280"/>
      <c r="AY157" s="280"/>
      <c r="AZ157" s="280"/>
      <c r="BA157" s="280"/>
      <c r="BB157" s="280"/>
      <c r="BC157" s="280"/>
      <c r="BD157" s="280"/>
      <c r="BE157" s="280"/>
      <c r="BF157" s="280"/>
      <c r="BG157" s="280"/>
      <c r="BH157" s="280"/>
      <c r="BI157" s="280"/>
      <c r="BJ157" s="280"/>
      <c r="BK157" s="280"/>
      <c r="BL157" s="280"/>
      <c r="BM157" s="280"/>
      <c r="BN157" s="280"/>
      <c r="BO157" s="280"/>
      <c r="BP157" s="280"/>
      <c r="BQ157" s="280"/>
      <c r="BR157" s="280"/>
      <c r="BS157" s="280"/>
      <c r="BT157" s="280"/>
      <c r="BU157" s="280"/>
      <c r="BV157" s="280"/>
      <c r="BW157" s="280"/>
      <c r="BX157" s="280"/>
      <c r="BY157" s="280"/>
      <c r="BZ157" s="280"/>
      <c r="CA157" s="280"/>
      <c r="CB157" s="280"/>
      <c r="CC157" s="280"/>
      <c r="CD157" s="280"/>
      <c r="CE157" s="280"/>
      <c r="CF157" s="280"/>
      <c r="CG157" s="280"/>
      <c r="CH157" s="280"/>
      <c r="CI157" s="280"/>
      <c r="CJ157" s="280"/>
      <c r="CL157" s="281"/>
      <c r="CM157" s="281"/>
      <c r="CN157" s="281"/>
      <c r="CO157" s="281"/>
      <c r="CP157" s="281"/>
      <c r="CQ157" s="281"/>
      <c r="CR157" s="281"/>
      <c r="CS157" s="281"/>
      <c r="CT157" s="281"/>
      <c r="CU157" s="281"/>
      <c r="CV157" s="281"/>
      <c r="CW157" s="281"/>
      <c r="CX157" s="281"/>
      <c r="CY157" s="281"/>
      <c r="CZ157" s="281"/>
      <c r="DA157" s="281"/>
      <c r="DB157" s="281"/>
      <c r="DC157" s="281"/>
      <c r="DD157" s="281"/>
      <c r="DE157" s="281"/>
      <c r="DF157" s="281"/>
      <c r="DG157" s="281"/>
      <c r="DH157" s="281"/>
      <c r="DI157" s="281"/>
      <c r="DJ157" s="281"/>
      <c r="DK157" s="281"/>
      <c r="DL157" s="281"/>
      <c r="DM157" s="281"/>
      <c r="DN157" s="281"/>
      <c r="DO157" s="281"/>
      <c r="DP157" s="281"/>
      <c r="DQ157" s="281"/>
      <c r="DR157" s="281"/>
      <c r="DS157" s="281"/>
      <c r="DT157" s="281"/>
      <c r="DU157" s="281"/>
      <c r="DV157" s="281"/>
      <c r="DW157" s="281"/>
      <c r="DX157" s="281"/>
    </row>
    <row r="158" spans="1:128" x14ac:dyDescent="0.3">
      <c r="A158" s="245" t="str">
        <f t="shared" si="124"/>
        <v>Other</v>
      </c>
      <c r="B158" s="245" t="str">
        <f t="shared" si="124"/>
        <v>Wellsford</v>
      </c>
      <c r="C158" s="245">
        <f t="shared" si="124"/>
        <v>2030</v>
      </c>
      <c r="D158" s="245">
        <f t="shared" si="124"/>
        <v>2026</v>
      </c>
      <c r="E158" s="245">
        <f t="shared" si="124"/>
        <v>2030</v>
      </c>
      <c r="F158" s="245">
        <f t="shared" si="124"/>
        <v>2034</v>
      </c>
      <c r="G158" s="245" t="str">
        <f t="shared" si="127"/>
        <v/>
      </c>
      <c r="H158" s="245" t="str">
        <f t="shared" si="108"/>
        <v>Wellsford</v>
      </c>
      <c r="I158" s="279">
        <f t="shared" ref="I158:AU158" si="133">I98*I$114</f>
        <v>75</v>
      </c>
      <c r="J158" s="279">
        <f t="shared" si="133"/>
        <v>77.100000000000009</v>
      </c>
      <c r="K158" s="279">
        <f t="shared" si="133"/>
        <v>142.9948</v>
      </c>
      <c r="L158" s="279">
        <f t="shared" si="133"/>
        <v>149.1435764</v>
      </c>
      <c r="M158" s="279">
        <f t="shared" si="133"/>
        <v>159.73277032440001</v>
      </c>
      <c r="N158" s="279">
        <f t="shared" si="133"/>
        <v>171.07379701743241</v>
      </c>
      <c r="O158" s="279">
        <f t="shared" si="133"/>
        <v>324.1585263023394</v>
      </c>
      <c r="P158" s="279">
        <f t="shared" si="133"/>
        <v>347.17378166980552</v>
      </c>
      <c r="Q158" s="279">
        <f t="shared" si="133"/>
        <v>371.8231201683617</v>
      </c>
      <c r="R158" s="279">
        <f t="shared" si="133"/>
        <v>398.2225617003154</v>
      </c>
      <c r="S158" s="279">
        <f t="shared" si="133"/>
        <v>1390.7490116772969</v>
      </c>
      <c r="T158" s="279">
        <f t="shared" si="133"/>
        <v>1489.4921915063851</v>
      </c>
      <c r="U158" s="279">
        <f t="shared" si="133"/>
        <v>1595.2461371033382</v>
      </c>
      <c r="V158" s="279">
        <f t="shared" si="133"/>
        <v>1708.5086128376752</v>
      </c>
      <c r="W158" s="279">
        <f t="shared" si="133"/>
        <v>1829.8127243491499</v>
      </c>
      <c r="X158" s="279">
        <f t="shared" si="133"/>
        <v>1959.7294277779395</v>
      </c>
      <c r="Y158" s="279">
        <f t="shared" si="133"/>
        <v>2098.8702171501732</v>
      </c>
      <c r="Z158" s="279">
        <f t="shared" si="133"/>
        <v>2247.8900025678349</v>
      </c>
      <c r="AA158" s="279">
        <f t="shared" si="133"/>
        <v>2407.4901927501514</v>
      </c>
      <c r="AB158" s="279">
        <f t="shared" si="133"/>
        <v>2578.421996435412</v>
      </c>
      <c r="AC158" s="279">
        <f t="shared" si="133"/>
        <v>2761.4899581823261</v>
      </c>
      <c r="AD158" s="279">
        <f t="shared" si="133"/>
        <v>2957.5557452132707</v>
      </c>
      <c r="AE158" s="279">
        <f t="shared" si="133"/>
        <v>3167.5422031234129</v>
      </c>
      <c r="AF158" s="279">
        <f t="shared" si="133"/>
        <v>3392.4376995451748</v>
      </c>
      <c r="AG158" s="279">
        <f t="shared" si="133"/>
        <v>3633.3007762128823</v>
      </c>
      <c r="AH158" s="279">
        <f t="shared" si="133"/>
        <v>3891.2651313239967</v>
      </c>
      <c r="AI158" s="279">
        <f t="shared" si="133"/>
        <v>4167.5449556479998</v>
      </c>
      <c r="AJ158" s="279">
        <f t="shared" si="133"/>
        <v>4463.4406474990083</v>
      </c>
      <c r="AK158" s="279">
        <f t="shared" si="133"/>
        <v>4780.3449334714378</v>
      </c>
      <c r="AL158" s="279">
        <f t="shared" si="133"/>
        <v>5119.7494237479095</v>
      </c>
      <c r="AM158" s="279">
        <f t="shared" si="133"/>
        <v>5483.2516328340107</v>
      </c>
      <c r="AN158" s="279">
        <f t="shared" si="133"/>
        <v>5872.5624987652254</v>
      </c>
      <c r="AO158" s="279">
        <f t="shared" si="133"/>
        <v>6289.5144361775556</v>
      </c>
      <c r="AP158" s="279">
        <f t="shared" si="133"/>
        <v>6736.0699611461614</v>
      </c>
      <c r="AQ158" s="279">
        <f t="shared" si="133"/>
        <v>7214.3309283875396</v>
      </c>
      <c r="AR158" s="279">
        <f t="shared" si="133"/>
        <v>7726.5484243030542</v>
      </c>
      <c r="AS158" s="279">
        <f t="shared" si="133"/>
        <v>8275.1333624285689</v>
      </c>
      <c r="AT158" s="279">
        <f t="shared" si="133"/>
        <v>8862.6678311609976</v>
      </c>
      <c r="AU158" s="279">
        <f t="shared" si="133"/>
        <v>9491.9172471734273</v>
      </c>
      <c r="AX158" s="280"/>
      <c r="AY158" s="280"/>
      <c r="AZ158" s="280"/>
      <c r="BA158" s="280"/>
      <c r="BB158" s="280"/>
      <c r="BC158" s="280"/>
      <c r="BD158" s="280"/>
      <c r="BE158" s="280"/>
      <c r="BF158" s="280"/>
      <c r="BG158" s="280"/>
      <c r="BH158" s="280"/>
      <c r="BI158" s="280"/>
      <c r="BJ158" s="280"/>
      <c r="BK158" s="280"/>
      <c r="BL158" s="280"/>
      <c r="BM158" s="280"/>
      <c r="BN158" s="280"/>
      <c r="BO158" s="280"/>
      <c r="BP158" s="280"/>
      <c r="BQ158" s="280"/>
      <c r="BR158" s="280"/>
      <c r="BS158" s="280"/>
      <c r="BT158" s="280"/>
      <c r="BU158" s="280"/>
      <c r="BV158" s="280"/>
      <c r="BW158" s="280"/>
      <c r="BX158" s="280"/>
      <c r="BY158" s="280"/>
      <c r="BZ158" s="280"/>
      <c r="CA158" s="280"/>
      <c r="CB158" s="280"/>
      <c r="CC158" s="280"/>
      <c r="CD158" s="280"/>
      <c r="CE158" s="280"/>
      <c r="CF158" s="280"/>
      <c r="CG158" s="280"/>
      <c r="CH158" s="280"/>
      <c r="CI158" s="280"/>
      <c r="CJ158" s="280"/>
      <c r="DK158" s="282"/>
      <c r="DL158" s="282"/>
      <c r="DM158" s="282"/>
      <c r="DN158" s="282"/>
      <c r="DO158" s="282"/>
      <c r="DP158" s="282"/>
      <c r="DQ158" s="282"/>
      <c r="DR158" s="282"/>
      <c r="DS158" s="282"/>
      <c r="DT158" s="282"/>
      <c r="DU158" s="282"/>
      <c r="DV158" s="282"/>
      <c r="DW158" s="282"/>
      <c r="DX158" s="282"/>
    </row>
    <row r="159" spans="1:128" x14ac:dyDescent="0.3">
      <c r="A159" s="245" t="str">
        <f t="shared" si="124"/>
        <v>Other</v>
      </c>
      <c r="B159" s="245" t="str">
        <f t="shared" si="124"/>
        <v>Algies Bay</v>
      </c>
      <c r="C159" s="245">
        <f t="shared" si="124"/>
        <v>2025</v>
      </c>
      <c r="D159" s="245">
        <f t="shared" si="124"/>
        <v>2021</v>
      </c>
      <c r="E159" s="245">
        <f t="shared" si="124"/>
        <v>2025</v>
      </c>
      <c r="F159" s="245">
        <f t="shared" si="124"/>
        <v>2029</v>
      </c>
      <c r="G159" s="245" t="str">
        <f t="shared" si="127"/>
        <v/>
      </c>
      <c r="H159" s="245" t="str">
        <f t="shared" si="108"/>
        <v>Orewa-Hibiscus</v>
      </c>
      <c r="I159" s="279">
        <f t="shared" ref="I159:AU159" si="134">I99*I$114</f>
        <v>225</v>
      </c>
      <c r="J159" s="279">
        <f t="shared" si="134"/>
        <v>411.2</v>
      </c>
      <c r="K159" s="279">
        <f t="shared" si="134"/>
        <v>439.98400000000004</v>
      </c>
      <c r="L159" s="279">
        <f t="shared" si="134"/>
        <v>458.90331199999997</v>
      </c>
      <c r="M159" s="279">
        <f t="shared" si="134"/>
        <v>491.48544715200001</v>
      </c>
      <c r="N159" s="279">
        <f t="shared" si="134"/>
        <v>1579.1427416993761</v>
      </c>
      <c r="O159" s="279">
        <f t="shared" si="134"/>
        <v>1691.2618763600317</v>
      </c>
      <c r="P159" s="279">
        <f t="shared" si="134"/>
        <v>1811.3414695815939</v>
      </c>
      <c r="Q159" s="279">
        <f t="shared" si="134"/>
        <v>1939.9467139218871</v>
      </c>
      <c r="R159" s="279">
        <f t="shared" si="134"/>
        <v>2077.6829306103409</v>
      </c>
      <c r="S159" s="279">
        <f t="shared" si="134"/>
        <v>2225.1984186836753</v>
      </c>
      <c r="T159" s="279">
        <f t="shared" si="134"/>
        <v>2383.187506410216</v>
      </c>
      <c r="U159" s="279">
        <f t="shared" si="134"/>
        <v>2552.3938193653412</v>
      </c>
      <c r="V159" s="279">
        <f t="shared" si="134"/>
        <v>2733.61378054028</v>
      </c>
      <c r="W159" s="279">
        <f t="shared" si="134"/>
        <v>2927.7003589586402</v>
      </c>
      <c r="X159" s="279">
        <f t="shared" si="134"/>
        <v>3135.5670844447031</v>
      </c>
      <c r="Y159" s="279">
        <f t="shared" si="134"/>
        <v>3358.1923474402765</v>
      </c>
      <c r="Z159" s="279">
        <f t="shared" si="134"/>
        <v>3596.6240041085362</v>
      </c>
      <c r="AA159" s="279">
        <f t="shared" si="134"/>
        <v>3851.9843084002423</v>
      </c>
      <c r="AB159" s="279">
        <f t="shared" si="134"/>
        <v>4125.4751942966586</v>
      </c>
      <c r="AC159" s="279">
        <f t="shared" si="134"/>
        <v>4418.3839330917217</v>
      </c>
      <c r="AD159" s="279">
        <f t="shared" si="134"/>
        <v>4732.0891923412337</v>
      </c>
      <c r="AE159" s="279">
        <f t="shared" si="134"/>
        <v>5068.0675249974602</v>
      </c>
      <c r="AF159" s="279">
        <f t="shared" si="134"/>
        <v>5427.9003192722803</v>
      </c>
      <c r="AG159" s="279">
        <f t="shared" si="134"/>
        <v>5813.2812419406118</v>
      </c>
      <c r="AH159" s="279">
        <f t="shared" si="134"/>
        <v>6226.0242101183949</v>
      </c>
      <c r="AI159" s="279">
        <f t="shared" si="134"/>
        <v>6668.0719290368006</v>
      </c>
      <c r="AJ159" s="279">
        <f t="shared" si="134"/>
        <v>7141.5050359984125</v>
      </c>
      <c r="AK159" s="279">
        <f t="shared" si="134"/>
        <v>7648.5518935542996</v>
      </c>
      <c r="AL159" s="279">
        <f t="shared" si="134"/>
        <v>8191.5990779966551</v>
      </c>
      <c r="AM159" s="279">
        <f t="shared" si="134"/>
        <v>8773.2026125344164</v>
      </c>
      <c r="AN159" s="279">
        <f t="shared" si="134"/>
        <v>9396.0999980243596</v>
      </c>
      <c r="AO159" s="279">
        <f t="shared" si="134"/>
        <v>10063.223097884089</v>
      </c>
      <c r="AP159" s="279">
        <f t="shared" si="134"/>
        <v>10777.711937833859</v>
      </c>
      <c r="AQ159" s="279">
        <f t="shared" si="134"/>
        <v>11542.929485420063</v>
      </c>
      <c r="AR159" s="279">
        <f t="shared" si="134"/>
        <v>12362.477478884886</v>
      </c>
      <c r="AS159" s="279">
        <f t="shared" si="134"/>
        <v>13240.213379885712</v>
      </c>
      <c r="AT159" s="279">
        <f t="shared" si="134"/>
        <v>14180.268529857596</v>
      </c>
      <c r="AU159" s="279">
        <f t="shared" si="134"/>
        <v>15187.067595477485</v>
      </c>
      <c r="AX159" s="280"/>
      <c r="AY159" s="280"/>
      <c r="AZ159" s="280"/>
      <c r="BA159" s="280"/>
      <c r="BB159" s="280"/>
      <c r="BC159" s="280"/>
      <c r="BD159" s="280"/>
      <c r="BE159" s="280"/>
      <c r="BF159" s="280"/>
      <c r="BG159" s="280"/>
      <c r="BH159" s="280"/>
      <c r="BI159" s="280"/>
      <c r="BJ159" s="280"/>
      <c r="BK159" s="280"/>
      <c r="BL159" s="280"/>
      <c r="BM159" s="280"/>
      <c r="BN159" s="280"/>
      <c r="BO159" s="280"/>
      <c r="BP159" s="280"/>
      <c r="BQ159" s="280"/>
      <c r="BR159" s="280"/>
      <c r="BS159" s="280"/>
      <c r="BT159" s="280"/>
      <c r="BU159" s="280"/>
      <c r="BV159" s="280"/>
      <c r="BW159" s="280"/>
      <c r="BX159" s="280"/>
      <c r="BY159" s="280"/>
      <c r="BZ159" s="280"/>
      <c r="CA159" s="280"/>
      <c r="CB159" s="280"/>
      <c r="CC159" s="280"/>
      <c r="CD159" s="280"/>
      <c r="CE159" s="280"/>
      <c r="CF159" s="280"/>
      <c r="CG159" s="280"/>
      <c r="CH159" s="280"/>
      <c r="CI159" s="280"/>
      <c r="CJ159" s="280"/>
      <c r="CL159" s="282"/>
      <c r="CM159" s="282"/>
      <c r="CN159" s="282"/>
      <c r="CO159" s="282"/>
      <c r="CP159" s="282"/>
      <c r="CQ159" s="282"/>
      <c r="CR159" s="282"/>
      <c r="CS159" s="282"/>
      <c r="CT159" s="282"/>
      <c r="CU159" s="282"/>
      <c r="CV159" s="282"/>
      <c r="CW159" s="282"/>
      <c r="CX159" s="282"/>
      <c r="CY159" s="282"/>
      <c r="CZ159" s="282"/>
      <c r="DA159" s="282"/>
      <c r="DB159" s="282"/>
      <c r="DC159" s="282"/>
      <c r="DD159" s="282"/>
      <c r="DE159" s="282"/>
      <c r="DF159" s="282"/>
      <c r="DG159" s="282"/>
      <c r="DH159" s="282"/>
      <c r="DI159" s="282"/>
      <c r="DJ159" s="282"/>
      <c r="DK159" s="282"/>
      <c r="DL159" s="282"/>
      <c r="DM159" s="282"/>
      <c r="DN159" s="282"/>
      <c r="DO159" s="282"/>
      <c r="DP159" s="282"/>
      <c r="DQ159" s="282"/>
      <c r="DR159" s="282"/>
      <c r="DS159" s="282"/>
      <c r="DT159" s="282"/>
      <c r="DU159" s="282"/>
      <c r="DV159" s="282"/>
      <c r="DW159" s="282"/>
      <c r="DX159" s="282"/>
    </row>
    <row r="160" spans="1:128" x14ac:dyDescent="0.3">
      <c r="A160" s="245" t="str">
        <f t="shared" si="124"/>
        <v>Other</v>
      </c>
      <c r="B160" s="245" t="str">
        <f t="shared" si="124"/>
        <v>Albany Villlage</v>
      </c>
      <c r="C160" s="245">
        <f t="shared" si="124"/>
        <v>2025</v>
      </c>
      <c r="D160" s="245">
        <f t="shared" si="124"/>
        <v>2021</v>
      </c>
      <c r="E160" s="245">
        <f t="shared" si="124"/>
        <v>2025</v>
      </c>
      <c r="F160" s="245">
        <f t="shared" si="124"/>
        <v>2029</v>
      </c>
      <c r="G160" s="245" t="str">
        <f t="shared" si="127"/>
        <v/>
      </c>
      <c r="H160" s="245" t="str">
        <f t="shared" si="108"/>
        <v>North Shore</v>
      </c>
      <c r="I160" s="279">
        <f t="shared" ref="I160:AU160" si="135">I100*I$114</f>
        <v>444.91525423728814</v>
      </c>
      <c r="J160" s="279">
        <f t="shared" si="135"/>
        <v>719.6</v>
      </c>
      <c r="K160" s="279">
        <f t="shared" si="135"/>
        <v>769.97199999999998</v>
      </c>
      <c r="L160" s="279">
        <f t="shared" si="135"/>
        <v>803.08079599999996</v>
      </c>
      <c r="M160" s="279">
        <f t="shared" si="135"/>
        <v>860.09953251599995</v>
      </c>
      <c r="N160" s="279">
        <f t="shared" si="135"/>
        <v>2631.90456949896</v>
      </c>
      <c r="O160" s="279">
        <f t="shared" si="135"/>
        <v>2818.7697939333862</v>
      </c>
      <c r="P160" s="279">
        <f t="shared" si="135"/>
        <v>3018.9024493026568</v>
      </c>
      <c r="Q160" s="279">
        <f t="shared" si="135"/>
        <v>3233.244523203145</v>
      </c>
      <c r="R160" s="279">
        <f t="shared" si="135"/>
        <v>3462.8048843505685</v>
      </c>
      <c r="S160" s="279">
        <f t="shared" si="135"/>
        <v>3708.6640311394585</v>
      </c>
      <c r="T160" s="279">
        <f t="shared" si="135"/>
        <v>3971.9791773503603</v>
      </c>
      <c r="U160" s="279">
        <f t="shared" si="135"/>
        <v>4253.989698942235</v>
      </c>
      <c r="V160" s="279">
        <f t="shared" si="135"/>
        <v>4556.0229675671335</v>
      </c>
      <c r="W160" s="279">
        <f t="shared" si="135"/>
        <v>4879.5005982643997</v>
      </c>
      <c r="X160" s="279">
        <f t="shared" si="135"/>
        <v>5225.9451407411716</v>
      </c>
      <c r="Y160" s="279">
        <f t="shared" si="135"/>
        <v>5596.9872457337942</v>
      </c>
      <c r="Z160" s="279">
        <f t="shared" si="135"/>
        <v>5994.373340180894</v>
      </c>
      <c r="AA160" s="279">
        <f t="shared" si="135"/>
        <v>6419.9738473337375</v>
      </c>
      <c r="AB160" s="279">
        <f t="shared" si="135"/>
        <v>6875.791990494432</v>
      </c>
      <c r="AC160" s="279">
        <f t="shared" si="135"/>
        <v>7363.9732218195359</v>
      </c>
      <c r="AD160" s="279">
        <f t="shared" si="135"/>
        <v>7886.8153205687222</v>
      </c>
      <c r="AE160" s="279">
        <f t="shared" si="135"/>
        <v>8446.7792083291006</v>
      </c>
      <c r="AF160" s="279">
        <f t="shared" si="135"/>
        <v>9046.5005321204662</v>
      </c>
      <c r="AG160" s="279">
        <f t="shared" si="135"/>
        <v>9688.8020699010194</v>
      </c>
      <c r="AH160" s="279">
        <f t="shared" si="135"/>
        <v>10376.707016863991</v>
      </c>
      <c r="AI160" s="279">
        <f t="shared" si="135"/>
        <v>11113.453215061334</v>
      </c>
      <c r="AJ160" s="279">
        <f t="shared" si="135"/>
        <v>11902.508393330689</v>
      </c>
      <c r="AK160" s="279">
        <f t="shared" si="135"/>
        <v>12747.586489257166</v>
      </c>
      <c r="AL160" s="279">
        <f t="shared" si="135"/>
        <v>13652.665129994424</v>
      </c>
      <c r="AM160" s="279">
        <f t="shared" si="135"/>
        <v>14622.004354224029</v>
      </c>
      <c r="AN160" s="279">
        <f t="shared" si="135"/>
        <v>15660.166663373933</v>
      </c>
      <c r="AO160" s="279">
        <f t="shared" si="135"/>
        <v>16772.03849647348</v>
      </c>
      <c r="AP160" s="279">
        <f t="shared" si="135"/>
        <v>17962.8532297231</v>
      </c>
      <c r="AQ160" s="279">
        <f t="shared" si="135"/>
        <v>19238.215809033438</v>
      </c>
      <c r="AR160" s="279">
        <f t="shared" si="135"/>
        <v>20604.129131474809</v>
      </c>
      <c r="AS160" s="279">
        <f t="shared" si="135"/>
        <v>22067.02229980952</v>
      </c>
      <c r="AT160" s="279">
        <f t="shared" si="135"/>
        <v>23633.780883095995</v>
      </c>
      <c r="AU160" s="279">
        <f t="shared" si="135"/>
        <v>25311.779325795807</v>
      </c>
      <c r="AX160" s="280"/>
      <c r="AY160" s="280"/>
      <c r="AZ160" s="280"/>
      <c r="BA160" s="280"/>
      <c r="BB160" s="280"/>
      <c r="BC160" s="280"/>
      <c r="BD160" s="280"/>
      <c r="BE160" s="280"/>
      <c r="BF160" s="280"/>
      <c r="BG160" s="280"/>
      <c r="BH160" s="280"/>
      <c r="BI160" s="280"/>
      <c r="BJ160" s="280"/>
      <c r="BK160" s="280"/>
      <c r="BL160" s="280"/>
      <c r="BM160" s="280"/>
      <c r="BN160" s="280"/>
      <c r="BO160" s="280"/>
      <c r="BP160" s="280"/>
      <c r="BQ160" s="280"/>
      <c r="BR160" s="280"/>
      <c r="BS160" s="280"/>
      <c r="BT160" s="280"/>
      <c r="BU160" s="280"/>
      <c r="BV160" s="280"/>
      <c r="BW160" s="280"/>
      <c r="BX160" s="280"/>
      <c r="BY160" s="280"/>
      <c r="BZ160" s="280"/>
      <c r="CA160" s="280"/>
      <c r="CB160" s="280"/>
      <c r="CC160" s="280"/>
      <c r="CD160" s="280"/>
      <c r="CE160" s="280"/>
      <c r="CF160" s="280"/>
      <c r="CG160" s="280"/>
      <c r="CH160" s="280"/>
      <c r="CI160" s="280"/>
      <c r="CJ160" s="280"/>
      <c r="CL160" s="282"/>
      <c r="CM160" s="282"/>
      <c r="CN160" s="282"/>
      <c r="CO160" s="282"/>
      <c r="CP160" s="282"/>
      <c r="CQ160" s="282"/>
      <c r="CR160" s="282"/>
      <c r="CS160" s="282"/>
      <c r="CT160" s="282"/>
      <c r="CU160" s="282"/>
      <c r="CV160" s="282"/>
      <c r="CW160" s="282"/>
      <c r="CX160" s="282"/>
      <c r="CY160" s="282"/>
      <c r="CZ160" s="282"/>
      <c r="DA160" s="282"/>
      <c r="DB160" s="282"/>
      <c r="DC160" s="282"/>
      <c r="DD160" s="282"/>
      <c r="DE160" s="282"/>
      <c r="DF160" s="282"/>
      <c r="DG160" s="282"/>
      <c r="DH160" s="282"/>
      <c r="DI160" s="282"/>
      <c r="DJ160" s="282"/>
      <c r="DK160" s="282"/>
      <c r="DL160" s="282"/>
      <c r="DM160" s="282"/>
      <c r="DN160" s="282"/>
      <c r="DO160" s="282"/>
      <c r="DP160" s="282"/>
      <c r="DQ160" s="282"/>
      <c r="DR160" s="282"/>
      <c r="DS160" s="282"/>
      <c r="DT160" s="282"/>
      <c r="DU160" s="282"/>
      <c r="DV160" s="282"/>
      <c r="DW160" s="282"/>
      <c r="DX160" s="282"/>
    </row>
    <row r="161" spans="1:128" x14ac:dyDescent="0.3">
      <c r="A161" s="245" t="str">
        <f t="shared" ref="A161:F165" si="136">A101</f>
        <v>Other</v>
      </c>
      <c r="B161" s="245" t="str">
        <f t="shared" si="136"/>
        <v xml:space="preserve">Helensville </v>
      </c>
      <c r="C161" s="245">
        <f t="shared" si="136"/>
        <v>2035</v>
      </c>
      <c r="D161" s="245">
        <f t="shared" si="136"/>
        <v>2031</v>
      </c>
      <c r="E161" s="245">
        <f t="shared" si="136"/>
        <v>2035</v>
      </c>
      <c r="F161" s="245">
        <f t="shared" si="136"/>
        <v>2039</v>
      </c>
      <c r="G161" s="245" t="str">
        <f t="shared" si="127"/>
        <v/>
      </c>
      <c r="H161" s="245" t="str">
        <f t="shared" si="108"/>
        <v>North of Huapai</v>
      </c>
      <c r="I161" s="279">
        <f t="shared" ref="I161:AU161" si="137">I101*I$114</f>
        <v>95</v>
      </c>
      <c r="J161" s="279">
        <f t="shared" si="137"/>
        <v>97.66</v>
      </c>
      <c r="K161" s="279">
        <f t="shared" si="137"/>
        <v>104.4962</v>
      </c>
      <c r="L161" s="279">
        <f t="shared" si="137"/>
        <v>108.98953659999999</v>
      </c>
      <c r="M161" s="279">
        <f t="shared" si="137"/>
        <v>116.7277936986</v>
      </c>
      <c r="N161" s="279">
        <f t="shared" si="137"/>
        <v>125.0154670512006</v>
      </c>
      <c r="O161" s="279">
        <f t="shared" si="137"/>
        <v>133.89156521183585</v>
      </c>
      <c r="P161" s="279">
        <f t="shared" si="137"/>
        <v>196.22865920467268</v>
      </c>
      <c r="Q161" s="279">
        <f t="shared" si="137"/>
        <v>210.16089400820445</v>
      </c>
      <c r="R161" s="279">
        <f t="shared" si="137"/>
        <v>225.08231748278695</v>
      </c>
      <c r="S161" s="279">
        <f t="shared" si="137"/>
        <v>241.06316202406481</v>
      </c>
      <c r="T161" s="279">
        <f t="shared" si="137"/>
        <v>426.98776156516374</v>
      </c>
      <c r="U161" s="279">
        <f t="shared" si="137"/>
        <v>457.3038926362903</v>
      </c>
      <c r="V161" s="279">
        <f t="shared" si="137"/>
        <v>489.77246901346683</v>
      </c>
      <c r="W161" s="279">
        <f t="shared" si="137"/>
        <v>524.54631431342295</v>
      </c>
      <c r="X161" s="279">
        <f t="shared" si="137"/>
        <v>2351.6753133335274</v>
      </c>
      <c r="Y161" s="279">
        <f t="shared" si="137"/>
        <v>2518.6442605802076</v>
      </c>
      <c r="Z161" s="279">
        <f t="shared" si="137"/>
        <v>2697.468003081402</v>
      </c>
      <c r="AA161" s="279">
        <f t="shared" si="137"/>
        <v>2888.9882313001817</v>
      </c>
      <c r="AB161" s="279">
        <f t="shared" si="137"/>
        <v>3094.1063957224942</v>
      </c>
      <c r="AC161" s="279">
        <f t="shared" si="137"/>
        <v>3313.7879498187913</v>
      </c>
      <c r="AD161" s="279">
        <f t="shared" si="137"/>
        <v>3549.066894255925</v>
      </c>
      <c r="AE161" s="279">
        <f t="shared" si="137"/>
        <v>3801.0506437480954</v>
      </c>
      <c r="AF161" s="279">
        <f t="shared" si="137"/>
        <v>4070.92523945421</v>
      </c>
      <c r="AG161" s="279">
        <f t="shared" si="137"/>
        <v>4359.9609314554582</v>
      </c>
      <c r="AH161" s="279">
        <f t="shared" si="137"/>
        <v>4669.5181575887955</v>
      </c>
      <c r="AI161" s="279">
        <f t="shared" si="137"/>
        <v>5001.0539467776007</v>
      </c>
      <c r="AJ161" s="279">
        <f t="shared" si="137"/>
        <v>5356.1287769988094</v>
      </c>
      <c r="AK161" s="279">
        <f t="shared" si="137"/>
        <v>5736.4139201657244</v>
      </c>
      <c r="AL161" s="279">
        <f t="shared" si="137"/>
        <v>6143.6993084974911</v>
      </c>
      <c r="AM161" s="279">
        <f t="shared" si="137"/>
        <v>6579.9019594008123</v>
      </c>
      <c r="AN161" s="279">
        <f t="shared" si="137"/>
        <v>7047.0749985182701</v>
      </c>
      <c r="AO161" s="279">
        <f t="shared" si="137"/>
        <v>7547.4173234130667</v>
      </c>
      <c r="AP161" s="279">
        <f t="shared" si="137"/>
        <v>8083.283953375394</v>
      </c>
      <c r="AQ161" s="279">
        <f t="shared" si="137"/>
        <v>8657.1971140650476</v>
      </c>
      <c r="AR161" s="279">
        <f t="shared" si="137"/>
        <v>9271.8581091636643</v>
      </c>
      <c r="AS161" s="279">
        <f t="shared" si="137"/>
        <v>9930.1600349142827</v>
      </c>
      <c r="AT161" s="279">
        <f t="shared" si="137"/>
        <v>10635.201397393197</v>
      </c>
      <c r="AU161" s="279">
        <f t="shared" si="137"/>
        <v>11390.300696608114</v>
      </c>
      <c r="AX161" s="280"/>
      <c r="AY161" s="280"/>
      <c r="AZ161" s="280"/>
      <c r="BA161" s="280"/>
      <c r="BB161" s="280"/>
      <c r="BC161" s="280"/>
      <c r="BD161" s="280"/>
      <c r="BE161" s="280"/>
      <c r="BF161" s="280"/>
      <c r="BG161" s="280"/>
      <c r="BH161" s="280"/>
      <c r="BI161" s="280"/>
      <c r="BJ161" s="280"/>
      <c r="BK161" s="280"/>
      <c r="BL161" s="280"/>
      <c r="BM161" s="280"/>
      <c r="BN161" s="280"/>
      <c r="BO161" s="280"/>
      <c r="BP161" s="280"/>
      <c r="BQ161" s="280"/>
      <c r="BR161" s="280"/>
      <c r="BS161" s="280"/>
      <c r="BT161" s="280"/>
      <c r="BU161" s="280"/>
      <c r="BV161" s="280"/>
      <c r="BW161" s="280"/>
      <c r="BX161" s="280"/>
      <c r="BY161" s="280"/>
      <c r="BZ161" s="280"/>
      <c r="CA161" s="280"/>
      <c r="CB161" s="280"/>
      <c r="CC161" s="280"/>
      <c r="CD161" s="280"/>
      <c r="CE161" s="280"/>
      <c r="CF161" s="280"/>
      <c r="CG161" s="280"/>
      <c r="CH161" s="280"/>
      <c r="CI161" s="280"/>
      <c r="CJ161" s="280"/>
      <c r="CL161" s="282"/>
      <c r="CM161" s="282"/>
      <c r="CN161" s="282"/>
      <c r="CO161" s="282"/>
      <c r="CP161" s="282"/>
      <c r="CQ161" s="282"/>
      <c r="CR161" s="282"/>
      <c r="CS161" s="282"/>
      <c r="CT161" s="282"/>
      <c r="CU161" s="282"/>
      <c r="CV161" s="282"/>
      <c r="CW161" s="282"/>
      <c r="CX161" s="282"/>
      <c r="CY161" s="282"/>
      <c r="CZ161" s="282"/>
      <c r="DA161" s="282"/>
      <c r="DB161" s="282"/>
      <c r="DC161" s="282"/>
      <c r="DD161" s="282"/>
      <c r="DE161" s="282"/>
      <c r="DF161" s="282"/>
      <c r="DG161" s="282"/>
      <c r="DH161" s="282"/>
      <c r="DI161" s="282"/>
      <c r="DJ161" s="282"/>
      <c r="DK161" s="282"/>
      <c r="DL161" s="282"/>
      <c r="DM161" s="282"/>
      <c r="DN161" s="282"/>
      <c r="DO161" s="282"/>
      <c r="DP161" s="282"/>
      <c r="DQ161" s="282"/>
      <c r="DR161" s="282"/>
      <c r="DS161" s="282"/>
      <c r="DT161" s="282"/>
      <c r="DU161" s="282"/>
      <c r="DV161" s="282"/>
      <c r="DW161" s="282"/>
      <c r="DX161" s="282"/>
    </row>
    <row r="162" spans="1:128" x14ac:dyDescent="0.3">
      <c r="A162" s="245" t="str">
        <f t="shared" si="136"/>
        <v>Other</v>
      </c>
      <c r="B162" s="245" t="str">
        <f t="shared" si="136"/>
        <v>Oruarangi</v>
      </c>
      <c r="C162" s="245">
        <f t="shared" si="136"/>
        <v>2025</v>
      </c>
      <c r="D162" s="245">
        <f t="shared" si="136"/>
        <v>2021</v>
      </c>
      <c r="E162" s="245">
        <f t="shared" si="136"/>
        <v>2025</v>
      </c>
      <c r="F162" s="245">
        <f t="shared" si="136"/>
        <v>2029</v>
      </c>
      <c r="G162" s="245" t="str">
        <f t="shared" si="127"/>
        <v/>
      </c>
      <c r="H162" s="245" t="str">
        <f t="shared" si="108"/>
        <v>Hingaia</v>
      </c>
      <c r="I162" s="279">
        <f t="shared" ref="I162:AU162" si="138">I102*I$114</f>
        <v>270</v>
      </c>
      <c r="J162" s="279">
        <f t="shared" si="138"/>
        <v>395.78000000000003</v>
      </c>
      <c r="K162" s="279">
        <f t="shared" si="138"/>
        <v>423.4846</v>
      </c>
      <c r="L162" s="279">
        <f t="shared" si="138"/>
        <v>441.6944378</v>
      </c>
      <c r="M162" s="279">
        <f t="shared" si="138"/>
        <v>473.05474288379997</v>
      </c>
      <c r="N162" s="279">
        <f t="shared" si="138"/>
        <v>1513.3451274619019</v>
      </c>
      <c r="O162" s="279">
        <f t="shared" si="138"/>
        <v>1620.792631511697</v>
      </c>
      <c r="P162" s="279">
        <f t="shared" si="138"/>
        <v>1735.8689083490276</v>
      </c>
      <c r="Q162" s="279">
        <f t="shared" si="138"/>
        <v>1859.1156008418086</v>
      </c>
      <c r="R162" s="279">
        <f t="shared" si="138"/>
        <v>1991.1128085015769</v>
      </c>
      <c r="S162" s="279">
        <f t="shared" si="138"/>
        <v>2132.4818179051886</v>
      </c>
      <c r="T162" s="279">
        <f t="shared" si="138"/>
        <v>2283.8880269764572</v>
      </c>
      <c r="U162" s="279">
        <f t="shared" si="138"/>
        <v>2446.0440768917852</v>
      </c>
      <c r="V162" s="279">
        <f t="shared" si="138"/>
        <v>2619.7132063511017</v>
      </c>
      <c r="W162" s="279">
        <f t="shared" si="138"/>
        <v>2805.7128440020301</v>
      </c>
      <c r="X162" s="279">
        <f t="shared" si="138"/>
        <v>3004.9184559261739</v>
      </c>
      <c r="Y162" s="279">
        <f t="shared" si="138"/>
        <v>3218.267666296932</v>
      </c>
      <c r="Z162" s="279">
        <f t="shared" si="138"/>
        <v>3446.7646706040136</v>
      </c>
      <c r="AA162" s="279">
        <f t="shared" si="138"/>
        <v>3691.484962216899</v>
      </c>
      <c r="AB162" s="279">
        <f t="shared" si="138"/>
        <v>3953.5803945342982</v>
      </c>
      <c r="AC162" s="279">
        <f t="shared" si="138"/>
        <v>4234.2846025462331</v>
      </c>
      <c r="AD162" s="279">
        <f t="shared" si="138"/>
        <v>4534.918809327015</v>
      </c>
      <c r="AE162" s="279">
        <f t="shared" si="138"/>
        <v>4856.8980447892327</v>
      </c>
      <c r="AF162" s="279">
        <f t="shared" si="138"/>
        <v>5201.7378059692683</v>
      </c>
      <c r="AG162" s="279">
        <f t="shared" si="138"/>
        <v>5571.0611901930861</v>
      </c>
      <c r="AH162" s="279">
        <f t="shared" si="138"/>
        <v>5966.6065346967944</v>
      </c>
      <c r="AI162" s="279">
        <f t="shared" si="138"/>
        <v>6390.235598660267</v>
      </c>
      <c r="AJ162" s="279">
        <f t="shared" si="138"/>
        <v>6843.9423261651455</v>
      </c>
      <c r="AK162" s="279">
        <f t="shared" si="138"/>
        <v>7329.8622313228707</v>
      </c>
      <c r="AL162" s="279">
        <f t="shared" si="138"/>
        <v>7850.2824497467946</v>
      </c>
      <c r="AM162" s="279">
        <f t="shared" si="138"/>
        <v>8407.6525036788171</v>
      </c>
      <c r="AN162" s="279">
        <f t="shared" si="138"/>
        <v>9004.5958314400123</v>
      </c>
      <c r="AO162" s="279">
        <f t="shared" si="138"/>
        <v>9643.9221354722522</v>
      </c>
      <c r="AP162" s="279">
        <f t="shared" si="138"/>
        <v>10328.640607090781</v>
      </c>
      <c r="AQ162" s="279">
        <f t="shared" si="138"/>
        <v>11061.974090194226</v>
      </c>
      <c r="AR162" s="279">
        <f t="shared" si="138"/>
        <v>11847.374250598015</v>
      </c>
      <c r="AS162" s="279">
        <f t="shared" si="138"/>
        <v>12688.537822390474</v>
      </c>
      <c r="AT162" s="279">
        <f t="shared" si="138"/>
        <v>13589.424007780197</v>
      </c>
      <c r="AU162" s="279">
        <f t="shared" si="138"/>
        <v>14554.27311233259</v>
      </c>
      <c r="AX162" s="280"/>
      <c r="AY162" s="280"/>
      <c r="AZ162" s="280"/>
      <c r="BA162" s="280"/>
      <c r="BB162" s="280"/>
      <c r="BC162" s="280"/>
      <c r="BD162" s="280"/>
      <c r="BE162" s="280"/>
      <c r="BF162" s="280"/>
      <c r="BG162" s="280"/>
      <c r="BH162" s="280"/>
      <c r="BI162" s="280"/>
      <c r="BJ162" s="280"/>
      <c r="BK162" s="280"/>
      <c r="BL162" s="280"/>
      <c r="BM162" s="280"/>
      <c r="BN162" s="280"/>
      <c r="BO162" s="280"/>
      <c r="BP162" s="280"/>
      <c r="BQ162" s="280"/>
      <c r="BR162" s="280"/>
      <c r="BS162" s="280"/>
      <c r="BT162" s="280"/>
      <c r="BU162" s="280"/>
      <c r="BV162" s="280"/>
      <c r="BW162" s="280"/>
      <c r="BX162" s="280"/>
      <c r="BY162" s="280"/>
      <c r="BZ162" s="280"/>
      <c r="CA162" s="280"/>
      <c r="CB162" s="280"/>
      <c r="CC162" s="280"/>
      <c r="CD162" s="280"/>
      <c r="CE162" s="280"/>
      <c r="CF162" s="280"/>
      <c r="CG162" s="280"/>
      <c r="CH162" s="280"/>
      <c r="CI162" s="280"/>
      <c r="CJ162" s="280"/>
      <c r="CL162" s="282"/>
      <c r="CM162" s="282"/>
      <c r="CN162" s="282"/>
      <c r="CO162" s="282"/>
      <c r="CP162" s="282"/>
      <c r="CQ162" s="282"/>
      <c r="CR162" s="282"/>
      <c r="CS162" s="282"/>
      <c r="CT162" s="282"/>
      <c r="CU162" s="282"/>
      <c r="CV162" s="282"/>
      <c r="CW162" s="282"/>
      <c r="CX162" s="282"/>
      <c r="CY162" s="282"/>
      <c r="CZ162" s="282"/>
      <c r="DA162" s="282"/>
      <c r="DB162" s="282"/>
      <c r="DC162" s="282"/>
      <c r="DD162" s="282"/>
      <c r="DE162" s="282"/>
      <c r="DF162" s="282"/>
      <c r="DG162" s="282"/>
      <c r="DH162" s="282"/>
      <c r="DI162" s="282"/>
      <c r="DJ162" s="282"/>
      <c r="DK162" s="282"/>
      <c r="DL162" s="282"/>
      <c r="DM162" s="282"/>
      <c r="DN162" s="282"/>
      <c r="DO162" s="282"/>
      <c r="DP162" s="282"/>
      <c r="DQ162" s="282"/>
      <c r="DR162" s="282"/>
      <c r="DS162" s="282"/>
      <c r="DT162" s="282"/>
      <c r="DU162" s="282"/>
      <c r="DV162" s="282"/>
      <c r="DW162" s="282"/>
      <c r="DX162" s="282"/>
    </row>
    <row r="163" spans="1:128" x14ac:dyDescent="0.3">
      <c r="A163" s="245" t="str">
        <f t="shared" si="136"/>
        <v>Other</v>
      </c>
      <c r="B163" s="245" t="str">
        <f t="shared" si="136"/>
        <v>Clarks Beach</v>
      </c>
      <c r="C163" s="245">
        <f t="shared" si="136"/>
        <v>2025</v>
      </c>
      <c r="D163" s="245">
        <f t="shared" si="136"/>
        <v>2021</v>
      </c>
      <c r="E163" s="245">
        <f t="shared" si="136"/>
        <v>2025</v>
      </c>
      <c r="F163" s="245">
        <f t="shared" si="136"/>
        <v>2029</v>
      </c>
      <c r="G163" s="245" t="str">
        <f t="shared" si="127"/>
        <v/>
      </c>
      <c r="H163" s="245" t="str">
        <f t="shared" si="108"/>
        <v>Glenbrook, Clarks Beach</v>
      </c>
      <c r="I163" s="279">
        <f t="shared" ref="I163:AU163" si="139">I103*I$114</f>
        <v>119.73684210526316</v>
      </c>
      <c r="J163" s="279">
        <f t="shared" si="139"/>
        <v>203.57105263157897</v>
      </c>
      <c r="K163" s="279">
        <f t="shared" si="139"/>
        <v>217.82102631578951</v>
      </c>
      <c r="L163" s="279">
        <f t="shared" si="139"/>
        <v>227.18733044736842</v>
      </c>
      <c r="M163" s="279">
        <f t="shared" si="139"/>
        <v>243.31763090913159</v>
      </c>
      <c r="N163" s="279">
        <f t="shared" si="139"/>
        <v>986.96421356210999</v>
      </c>
      <c r="O163" s="279">
        <f t="shared" si="139"/>
        <v>1057.0386727250198</v>
      </c>
      <c r="P163" s="279">
        <f t="shared" si="139"/>
        <v>1132.0884184884962</v>
      </c>
      <c r="Q163" s="279">
        <f t="shared" si="139"/>
        <v>1212.4666962011795</v>
      </c>
      <c r="R163" s="279">
        <f t="shared" si="139"/>
        <v>1298.5518316314633</v>
      </c>
      <c r="S163" s="279">
        <f t="shared" si="139"/>
        <v>1390.7490116772969</v>
      </c>
      <c r="T163" s="279">
        <f t="shared" si="139"/>
        <v>1489.4921915063851</v>
      </c>
      <c r="U163" s="279">
        <f t="shared" si="139"/>
        <v>1595.2461371033382</v>
      </c>
      <c r="V163" s="279">
        <f t="shared" si="139"/>
        <v>1708.5086128376752</v>
      </c>
      <c r="W163" s="279">
        <f t="shared" si="139"/>
        <v>1829.8127243491499</v>
      </c>
      <c r="X163" s="279">
        <f t="shared" si="139"/>
        <v>1959.7294277779395</v>
      </c>
      <c r="Y163" s="279">
        <f t="shared" si="139"/>
        <v>2098.8702171501732</v>
      </c>
      <c r="Z163" s="279">
        <f t="shared" si="139"/>
        <v>2247.8900025678349</v>
      </c>
      <c r="AA163" s="279">
        <f t="shared" si="139"/>
        <v>2407.4901927501514</v>
      </c>
      <c r="AB163" s="279">
        <f t="shared" si="139"/>
        <v>2578.421996435412</v>
      </c>
      <c r="AC163" s="279">
        <f t="shared" si="139"/>
        <v>2761.4899581823261</v>
      </c>
      <c r="AD163" s="279">
        <f t="shared" si="139"/>
        <v>2957.5557452132707</v>
      </c>
      <c r="AE163" s="279">
        <f t="shared" si="139"/>
        <v>3167.5422031234129</v>
      </c>
      <c r="AF163" s="279">
        <f t="shared" si="139"/>
        <v>3392.4376995451748</v>
      </c>
      <c r="AG163" s="279">
        <f t="shared" si="139"/>
        <v>3633.3007762128823</v>
      </c>
      <c r="AH163" s="279">
        <f t="shared" si="139"/>
        <v>3891.2651313239967</v>
      </c>
      <c r="AI163" s="279">
        <f t="shared" si="139"/>
        <v>4167.5449556479998</v>
      </c>
      <c r="AJ163" s="279">
        <f t="shared" si="139"/>
        <v>4463.4406474990083</v>
      </c>
      <c r="AK163" s="279">
        <f t="shared" si="139"/>
        <v>4780.3449334714378</v>
      </c>
      <c r="AL163" s="279">
        <f t="shared" si="139"/>
        <v>5119.7494237479095</v>
      </c>
      <c r="AM163" s="279">
        <f t="shared" si="139"/>
        <v>5483.2516328340107</v>
      </c>
      <c r="AN163" s="279">
        <f t="shared" si="139"/>
        <v>5872.5624987652254</v>
      </c>
      <c r="AO163" s="279">
        <f t="shared" si="139"/>
        <v>6289.5144361775556</v>
      </c>
      <c r="AP163" s="279">
        <f t="shared" si="139"/>
        <v>6736.0699611461614</v>
      </c>
      <c r="AQ163" s="279">
        <f t="shared" si="139"/>
        <v>7214.3309283875396</v>
      </c>
      <c r="AR163" s="279">
        <f t="shared" si="139"/>
        <v>7726.5484243030542</v>
      </c>
      <c r="AS163" s="279">
        <f t="shared" si="139"/>
        <v>8275.1333624285689</v>
      </c>
      <c r="AT163" s="279">
        <f t="shared" si="139"/>
        <v>8862.6678311609976</v>
      </c>
      <c r="AU163" s="279">
        <f t="shared" si="139"/>
        <v>9491.9172471734273</v>
      </c>
      <c r="AX163" s="280"/>
      <c r="AY163" s="280"/>
      <c r="AZ163" s="280"/>
      <c r="BA163" s="280"/>
      <c r="BB163" s="280"/>
      <c r="BC163" s="280"/>
      <c r="BD163" s="280"/>
      <c r="BE163" s="280"/>
      <c r="BF163" s="280"/>
      <c r="BG163" s="280"/>
      <c r="BH163" s="280"/>
      <c r="BI163" s="280"/>
      <c r="BJ163" s="280"/>
      <c r="BK163" s="280"/>
      <c r="BL163" s="280"/>
      <c r="BM163" s="280"/>
      <c r="BN163" s="280"/>
      <c r="BO163" s="280"/>
      <c r="BP163" s="280"/>
      <c r="BQ163" s="280"/>
      <c r="BR163" s="280"/>
      <c r="BS163" s="280"/>
      <c r="BT163" s="280"/>
      <c r="BU163" s="280"/>
      <c r="BV163" s="280"/>
      <c r="BW163" s="280"/>
      <c r="BX163" s="280"/>
      <c r="BY163" s="280"/>
      <c r="BZ163" s="280"/>
      <c r="CA163" s="280"/>
      <c r="CB163" s="280"/>
      <c r="CC163" s="280"/>
      <c r="CD163" s="280"/>
      <c r="CE163" s="280"/>
      <c r="CF163" s="280"/>
      <c r="CG163" s="280"/>
      <c r="CH163" s="280"/>
      <c r="CI163" s="280"/>
      <c r="CJ163" s="280"/>
      <c r="CL163" s="282"/>
      <c r="CM163" s="282"/>
      <c r="CN163" s="282"/>
      <c r="CO163" s="282"/>
      <c r="CP163" s="282"/>
      <c r="CQ163" s="282"/>
      <c r="CR163" s="282"/>
      <c r="CS163" s="282"/>
      <c r="CT163" s="282"/>
      <c r="CU163" s="282"/>
      <c r="CV163" s="282"/>
      <c r="CW163" s="282"/>
      <c r="CX163" s="282"/>
      <c r="CY163" s="282"/>
      <c r="CZ163" s="282"/>
      <c r="DA163" s="282"/>
      <c r="DB163" s="282"/>
      <c r="DC163" s="282"/>
      <c r="DD163" s="282"/>
      <c r="DE163" s="282"/>
      <c r="DF163" s="282"/>
      <c r="DG163" s="282"/>
      <c r="DH163" s="282"/>
      <c r="DI163" s="282"/>
      <c r="DJ163" s="282"/>
      <c r="DK163" s="282"/>
      <c r="DL163" s="282"/>
      <c r="DM163" s="282"/>
      <c r="DN163" s="282"/>
      <c r="DO163" s="282"/>
      <c r="DP163" s="282"/>
      <c r="DQ163" s="282"/>
      <c r="DR163" s="282"/>
      <c r="DS163" s="282"/>
      <c r="DT163" s="282"/>
      <c r="DU163" s="282"/>
      <c r="DV163" s="282"/>
      <c r="DW163" s="282"/>
      <c r="DX163" s="282"/>
    </row>
    <row r="164" spans="1:128" x14ac:dyDescent="0.3">
      <c r="A164" s="245" t="str">
        <f t="shared" si="136"/>
        <v>Other</v>
      </c>
      <c r="B164" s="245" t="str">
        <f t="shared" si="136"/>
        <v>Glenbrook Beach</v>
      </c>
      <c r="C164" s="245">
        <f t="shared" si="136"/>
        <v>2030</v>
      </c>
      <c r="D164" s="245">
        <f t="shared" si="136"/>
        <v>2026</v>
      </c>
      <c r="E164" s="245">
        <f t="shared" si="136"/>
        <v>2030</v>
      </c>
      <c r="F164" s="245">
        <f t="shared" si="136"/>
        <v>2034</v>
      </c>
      <c r="G164" s="245" t="str">
        <f t="shared" si="127"/>
        <v/>
      </c>
      <c r="H164" s="245" t="str">
        <f t="shared" si="108"/>
        <v>Glenbrook, Clarks Beach</v>
      </c>
      <c r="I164" s="279">
        <f t="shared" ref="I164:AU164" si="140">I104*I$114</f>
        <v>87.5</v>
      </c>
      <c r="J164" s="279">
        <f t="shared" si="140"/>
        <v>89.95</v>
      </c>
      <c r="K164" s="279">
        <f t="shared" si="140"/>
        <v>131.70573684210527</v>
      </c>
      <c r="L164" s="279">
        <f t="shared" si="140"/>
        <v>137.36908352631579</v>
      </c>
      <c r="M164" s="279">
        <f t="shared" si="140"/>
        <v>147.12228845668423</v>
      </c>
      <c r="N164" s="279">
        <f t="shared" si="140"/>
        <v>157.56797093710881</v>
      </c>
      <c r="O164" s="279">
        <f t="shared" si="140"/>
        <v>279.09529867564123</v>
      </c>
      <c r="P164" s="279">
        <f t="shared" si="140"/>
        <v>298.91106488161176</v>
      </c>
      <c r="Q164" s="279">
        <f t="shared" si="140"/>
        <v>320.1337504882062</v>
      </c>
      <c r="R164" s="279">
        <f t="shared" si="140"/>
        <v>342.86324677286882</v>
      </c>
      <c r="S164" s="279">
        <f t="shared" si="140"/>
        <v>1390.7490116772969</v>
      </c>
      <c r="T164" s="279">
        <f t="shared" si="140"/>
        <v>1489.4921915063851</v>
      </c>
      <c r="U164" s="279">
        <f t="shared" si="140"/>
        <v>1595.2461371033382</v>
      </c>
      <c r="V164" s="279">
        <f t="shared" si="140"/>
        <v>1708.5086128376752</v>
      </c>
      <c r="W164" s="279">
        <f t="shared" si="140"/>
        <v>1829.8127243491499</v>
      </c>
      <c r="X164" s="279">
        <f t="shared" si="140"/>
        <v>1959.7294277779395</v>
      </c>
      <c r="Y164" s="279">
        <f t="shared" si="140"/>
        <v>2098.8702171501732</v>
      </c>
      <c r="Z164" s="279">
        <f t="shared" si="140"/>
        <v>2247.8900025678349</v>
      </c>
      <c r="AA164" s="279">
        <f t="shared" si="140"/>
        <v>2407.4901927501514</v>
      </c>
      <c r="AB164" s="279">
        <f t="shared" si="140"/>
        <v>2578.421996435412</v>
      </c>
      <c r="AC164" s="279">
        <f t="shared" si="140"/>
        <v>2761.4899581823261</v>
      </c>
      <c r="AD164" s="279">
        <f t="shared" si="140"/>
        <v>2957.5557452132707</v>
      </c>
      <c r="AE164" s="279">
        <f t="shared" si="140"/>
        <v>3167.5422031234129</v>
      </c>
      <c r="AF164" s="279">
        <f t="shared" si="140"/>
        <v>3392.4376995451748</v>
      </c>
      <c r="AG164" s="279">
        <f t="shared" si="140"/>
        <v>3633.3007762128823</v>
      </c>
      <c r="AH164" s="279">
        <f t="shared" si="140"/>
        <v>3891.2651313239967</v>
      </c>
      <c r="AI164" s="279">
        <f t="shared" si="140"/>
        <v>4167.5449556479998</v>
      </c>
      <c r="AJ164" s="279">
        <f t="shared" si="140"/>
        <v>4463.4406474990083</v>
      </c>
      <c r="AK164" s="279">
        <f t="shared" si="140"/>
        <v>4780.3449334714378</v>
      </c>
      <c r="AL164" s="279">
        <f t="shared" si="140"/>
        <v>5119.7494237479095</v>
      </c>
      <c r="AM164" s="279">
        <f t="shared" si="140"/>
        <v>5483.2516328340107</v>
      </c>
      <c r="AN164" s="279">
        <f t="shared" si="140"/>
        <v>5872.5624987652254</v>
      </c>
      <c r="AO164" s="279">
        <f t="shared" si="140"/>
        <v>6289.5144361775556</v>
      </c>
      <c r="AP164" s="279">
        <f t="shared" si="140"/>
        <v>6736.0699611461614</v>
      </c>
      <c r="AQ164" s="279">
        <f t="shared" si="140"/>
        <v>7214.3309283875396</v>
      </c>
      <c r="AR164" s="279">
        <f t="shared" si="140"/>
        <v>7726.5484243030542</v>
      </c>
      <c r="AS164" s="279">
        <f t="shared" si="140"/>
        <v>8275.1333624285689</v>
      </c>
      <c r="AT164" s="279">
        <f t="shared" si="140"/>
        <v>8862.6678311609976</v>
      </c>
      <c r="AU164" s="279">
        <f t="shared" si="140"/>
        <v>9491.9172471734273</v>
      </c>
      <c r="AX164" s="280"/>
      <c r="AY164" s="280"/>
      <c r="AZ164" s="280"/>
      <c r="BA164" s="280"/>
      <c r="BB164" s="280"/>
      <c r="BC164" s="280"/>
      <c r="BD164" s="280"/>
      <c r="BE164" s="280"/>
      <c r="BF164" s="280"/>
      <c r="BG164" s="280"/>
      <c r="BH164" s="280"/>
      <c r="BI164" s="280"/>
      <c r="BJ164" s="280"/>
      <c r="BK164" s="280"/>
      <c r="BL164" s="280"/>
      <c r="BM164" s="280"/>
      <c r="BN164" s="280"/>
      <c r="BO164" s="280"/>
      <c r="BP164" s="280"/>
      <c r="BQ164" s="280"/>
      <c r="BR164" s="280"/>
      <c r="BS164" s="280"/>
      <c r="BT164" s="280"/>
      <c r="BU164" s="280"/>
      <c r="BV164" s="280"/>
      <c r="BW164" s="280"/>
      <c r="BX164" s="280"/>
      <c r="BY164" s="280"/>
      <c r="BZ164" s="280"/>
      <c r="CA164" s="280"/>
      <c r="CB164" s="280"/>
      <c r="CC164" s="280"/>
      <c r="CD164" s="280"/>
      <c r="CE164" s="280"/>
      <c r="CF164" s="280"/>
      <c r="CG164" s="280"/>
      <c r="CH164" s="280"/>
      <c r="CI164" s="280"/>
      <c r="CJ164" s="280"/>
      <c r="CL164" s="282"/>
      <c r="CM164" s="282"/>
      <c r="CN164" s="282"/>
      <c r="CO164" s="282"/>
      <c r="CP164" s="282"/>
      <c r="CQ164" s="282"/>
      <c r="CR164" s="282"/>
      <c r="CS164" s="282"/>
      <c r="CT164" s="282"/>
      <c r="CU164" s="282"/>
      <c r="CV164" s="282"/>
      <c r="CW164" s="282"/>
      <c r="CX164" s="282"/>
      <c r="CY164" s="282"/>
      <c r="CZ164" s="282"/>
      <c r="DA164" s="282"/>
      <c r="DB164" s="282"/>
      <c r="DC164" s="282"/>
      <c r="DD164" s="282"/>
      <c r="DE164" s="282"/>
      <c r="DF164" s="282"/>
      <c r="DG164" s="282"/>
      <c r="DH164" s="282"/>
      <c r="DI164" s="282"/>
      <c r="DJ164" s="282"/>
      <c r="DK164" s="282"/>
      <c r="DL164" s="282"/>
      <c r="DM164" s="282"/>
      <c r="DN164" s="282"/>
      <c r="DO164" s="282"/>
      <c r="DP164" s="282"/>
      <c r="DQ164" s="282"/>
      <c r="DR164" s="282"/>
      <c r="DS164" s="282"/>
      <c r="DT164" s="282"/>
      <c r="DU164" s="282"/>
      <c r="DV164" s="282"/>
      <c r="DW164" s="282"/>
      <c r="DX164" s="282"/>
    </row>
    <row r="165" spans="1:128" x14ac:dyDescent="0.3">
      <c r="A165" s="245" t="str">
        <f t="shared" si="136"/>
        <v>Other</v>
      </c>
      <c r="B165" s="245" t="str">
        <f t="shared" si="136"/>
        <v>Maraetai/Clevedon</v>
      </c>
      <c r="C165" s="245">
        <f t="shared" si="136"/>
        <v>2035</v>
      </c>
      <c r="D165" s="245">
        <f t="shared" si="136"/>
        <v>2031</v>
      </c>
      <c r="E165" s="245">
        <f t="shared" si="136"/>
        <v>2035</v>
      </c>
      <c r="F165" s="245">
        <f t="shared" si="136"/>
        <v>2039</v>
      </c>
      <c r="G165" s="245" t="str">
        <f t="shared" si="127"/>
        <v/>
      </c>
      <c r="H165" s="245" t="str">
        <f t="shared" si="108"/>
        <v>Maraetai/Clevedon</v>
      </c>
      <c r="I165" s="279">
        <f t="shared" ref="I165:AU165" si="141">I105*I$114</f>
        <v>121.51162790697674</v>
      </c>
      <c r="J165" s="279">
        <f t="shared" si="141"/>
        <v>124.91395348837209</v>
      </c>
      <c r="K165" s="279">
        <f t="shared" si="141"/>
        <v>133.65793023255813</v>
      </c>
      <c r="L165" s="279">
        <f t="shared" si="141"/>
        <v>139.40522123255812</v>
      </c>
      <c r="M165" s="279">
        <f t="shared" si="141"/>
        <v>149.30299194006977</v>
      </c>
      <c r="N165" s="279">
        <f t="shared" si="141"/>
        <v>159.90350436781472</v>
      </c>
      <c r="O165" s="279">
        <f t="shared" si="141"/>
        <v>171.25665317792956</v>
      </c>
      <c r="P165" s="279">
        <f t="shared" si="141"/>
        <v>250.99014549434875</v>
      </c>
      <c r="Q165" s="279">
        <f t="shared" si="141"/>
        <v>268.81044582444753</v>
      </c>
      <c r="R165" s="279">
        <f t="shared" si="141"/>
        <v>287.89598747798328</v>
      </c>
      <c r="S165" s="279">
        <f t="shared" si="141"/>
        <v>308.33660258892013</v>
      </c>
      <c r="T165" s="279">
        <f t="shared" si="141"/>
        <v>546.14713688567451</v>
      </c>
      <c r="U165" s="279">
        <f t="shared" si="141"/>
        <v>584.92358360455739</v>
      </c>
      <c r="V165" s="279">
        <f t="shared" si="141"/>
        <v>626.45315804048084</v>
      </c>
      <c r="W165" s="279">
        <f t="shared" si="141"/>
        <v>670.93133226135501</v>
      </c>
      <c r="X165" s="279">
        <f t="shared" si="141"/>
        <v>2650.4201133122342</v>
      </c>
      <c r="Y165" s="279">
        <f t="shared" si="141"/>
        <v>2838.5999413574027</v>
      </c>
      <c r="Z165" s="279">
        <f t="shared" si="141"/>
        <v>3040.1405371937781</v>
      </c>
      <c r="AA165" s="279">
        <f t="shared" si="141"/>
        <v>3255.9905153345367</v>
      </c>
      <c r="AB165" s="279">
        <f t="shared" si="141"/>
        <v>3487.1658419232881</v>
      </c>
      <c r="AC165" s="279">
        <f t="shared" si="141"/>
        <v>3734.7546166998413</v>
      </c>
      <c r="AD165" s="279">
        <f t="shared" si="141"/>
        <v>3999.9221944855299</v>
      </c>
      <c r="AE165" s="279">
        <f t="shared" si="141"/>
        <v>4283.916670294002</v>
      </c>
      <c r="AF165" s="279">
        <f t="shared" si="141"/>
        <v>4588.0747538848764</v>
      </c>
      <c r="AG165" s="279">
        <f t="shared" si="141"/>
        <v>4913.8280614107016</v>
      </c>
      <c r="AH165" s="279">
        <f t="shared" si="141"/>
        <v>5262.7098537708616</v>
      </c>
      <c r="AI165" s="279">
        <f t="shared" si="141"/>
        <v>5636.3622533885928</v>
      </c>
      <c r="AJ165" s="279">
        <f t="shared" si="141"/>
        <v>6036.5439733791818</v>
      </c>
      <c r="AK165" s="279">
        <f t="shared" si="141"/>
        <v>6465.1385954891039</v>
      </c>
      <c r="AL165" s="279">
        <f t="shared" si="141"/>
        <v>6924.1634357688299</v>
      </c>
      <c r="AM165" s="279">
        <f t="shared" si="141"/>
        <v>7415.7790397084163</v>
      </c>
      <c r="AN165" s="279">
        <f t="shared" si="141"/>
        <v>7942.299351527714</v>
      </c>
      <c r="AO165" s="279">
        <f t="shared" si="141"/>
        <v>8506.2026054861799</v>
      </c>
      <c r="AP165" s="279">
        <f t="shared" si="141"/>
        <v>9110.1429904756988</v>
      </c>
      <c r="AQ165" s="279">
        <f t="shared" si="141"/>
        <v>9756.9631427994736</v>
      </c>
      <c r="AR165" s="279">
        <f t="shared" si="141"/>
        <v>10449.707525938236</v>
      </c>
      <c r="AS165" s="279">
        <f t="shared" si="141"/>
        <v>11191.636760279849</v>
      </c>
      <c r="AT165" s="279">
        <f t="shared" si="141"/>
        <v>11986.242970259718</v>
      </c>
      <c r="AU165" s="279">
        <f t="shared" si="141"/>
        <v>12837.266221148157</v>
      </c>
      <c r="AX165" s="280"/>
      <c r="AY165" s="280"/>
      <c r="AZ165" s="280"/>
      <c r="BA165" s="280"/>
      <c r="BB165" s="280"/>
      <c r="BC165" s="280"/>
      <c r="BD165" s="280"/>
      <c r="BE165" s="280"/>
      <c r="BF165" s="280"/>
      <c r="BG165" s="280"/>
      <c r="BH165" s="280"/>
      <c r="BI165" s="280"/>
      <c r="BJ165" s="280"/>
      <c r="BK165" s="280"/>
      <c r="BL165" s="280"/>
      <c r="BM165" s="280"/>
      <c r="BN165" s="280"/>
      <c r="BO165" s="280"/>
      <c r="BP165" s="280"/>
      <c r="BQ165" s="280"/>
      <c r="BR165" s="280"/>
      <c r="BS165" s="280"/>
      <c r="BT165" s="280"/>
      <c r="BU165" s="280"/>
      <c r="BV165" s="280"/>
      <c r="BW165" s="280"/>
      <c r="BX165" s="280"/>
      <c r="BY165" s="280"/>
      <c r="BZ165" s="280"/>
      <c r="CA165" s="280"/>
      <c r="CB165" s="280"/>
      <c r="CC165" s="280"/>
      <c r="CD165" s="280"/>
      <c r="CE165" s="280"/>
      <c r="CF165" s="280"/>
      <c r="CG165" s="280"/>
      <c r="CH165" s="280"/>
      <c r="CI165" s="280"/>
      <c r="CJ165" s="280"/>
      <c r="CL165" s="282"/>
      <c r="CM165" s="282"/>
      <c r="CN165" s="282"/>
      <c r="CO165" s="282"/>
      <c r="CP165" s="282"/>
      <c r="CQ165" s="282"/>
      <c r="CR165" s="282"/>
      <c r="CS165" s="282"/>
      <c r="CT165" s="282"/>
      <c r="CU165" s="282"/>
      <c r="CV165" s="282"/>
      <c r="CW165" s="282"/>
      <c r="CX165" s="282"/>
      <c r="CY165" s="282"/>
      <c r="CZ165" s="282"/>
      <c r="DA165" s="282"/>
      <c r="DB165" s="282"/>
      <c r="DC165" s="282"/>
      <c r="DD165" s="282"/>
      <c r="DE165" s="282"/>
      <c r="DF165" s="282"/>
      <c r="DG165" s="282"/>
      <c r="DH165" s="282"/>
      <c r="DI165" s="282"/>
      <c r="DJ165" s="282"/>
      <c r="DK165" s="282"/>
      <c r="DL165" s="282"/>
      <c r="DM165" s="282"/>
      <c r="DN165" s="282"/>
      <c r="DO165" s="282"/>
      <c r="DP165" s="282"/>
      <c r="DQ165" s="282"/>
      <c r="DR165" s="282"/>
      <c r="DS165" s="282"/>
      <c r="DT165" s="282"/>
      <c r="DU165" s="282"/>
      <c r="DV165" s="282"/>
      <c r="DW165" s="282"/>
      <c r="DX165" s="282"/>
    </row>
    <row r="166" spans="1:128" x14ac:dyDescent="0.3">
      <c r="G166" s="245" t="str">
        <f t="shared" si="127"/>
        <v/>
      </c>
      <c r="I166" s="279"/>
      <c r="J166" s="279"/>
      <c r="K166" s="279"/>
      <c r="L166" s="279"/>
      <c r="M166" s="279"/>
      <c r="N166" s="279"/>
      <c r="O166" s="279"/>
      <c r="P166" s="279"/>
      <c r="Q166" s="279"/>
      <c r="R166" s="279"/>
      <c r="S166" s="279"/>
      <c r="T166" s="279"/>
      <c r="U166" s="279"/>
      <c r="V166" s="279"/>
      <c r="W166" s="279"/>
      <c r="X166" s="279"/>
      <c r="Y166" s="279"/>
      <c r="Z166" s="279"/>
      <c r="AA166" s="279"/>
      <c r="AB166" s="279"/>
      <c r="AC166" s="279"/>
      <c r="AD166" s="279"/>
      <c r="AE166" s="279"/>
      <c r="AF166" s="279"/>
      <c r="AG166" s="279"/>
      <c r="AH166" s="279"/>
      <c r="AI166" s="279"/>
      <c r="AJ166" s="279"/>
      <c r="AK166" s="279"/>
      <c r="AL166" s="279"/>
      <c r="AM166" s="279"/>
      <c r="AN166" s="279"/>
      <c r="AO166" s="279"/>
      <c r="AP166" s="279"/>
      <c r="AQ166" s="279"/>
      <c r="AR166" s="279"/>
      <c r="AS166" s="279"/>
      <c r="AT166" s="279"/>
      <c r="AU166" s="279"/>
      <c r="CL166" s="282"/>
      <c r="CM166" s="282"/>
      <c r="CN166" s="282"/>
      <c r="CO166" s="282"/>
      <c r="CP166" s="282"/>
      <c r="CQ166" s="282"/>
      <c r="CR166" s="282"/>
      <c r="CS166" s="282"/>
      <c r="CT166" s="282"/>
      <c r="CU166" s="282"/>
      <c r="CV166" s="282"/>
      <c r="CW166" s="282"/>
      <c r="CX166" s="282"/>
      <c r="CY166" s="282"/>
      <c r="CZ166" s="282"/>
      <c r="DA166" s="282"/>
      <c r="DB166" s="282"/>
      <c r="DC166" s="282"/>
      <c r="DD166" s="282"/>
      <c r="DE166" s="282"/>
      <c r="DF166" s="282"/>
      <c r="DG166" s="282"/>
      <c r="DH166" s="282"/>
      <c r="DI166" s="282"/>
      <c r="DJ166" s="282"/>
      <c r="DK166" s="282"/>
      <c r="DL166" s="282"/>
      <c r="DM166" s="282"/>
      <c r="DN166" s="282"/>
      <c r="DO166" s="282"/>
      <c r="DP166" s="282"/>
      <c r="DQ166" s="282"/>
      <c r="DR166" s="282"/>
      <c r="DS166" s="282"/>
      <c r="DT166" s="282"/>
      <c r="DU166" s="282"/>
      <c r="DV166" s="282"/>
      <c r="DW166" s="282"/>
      <c r="DX166" s="282"/>
    </row>
    <row r="167" spans="1:128" x14ac:dyDescent="0.3">
      <c r="A167" s="245" t="str">
        <f>A107</f>
        <v>Scenario 2 differences</v>
      </c>
      <c r="G167" s="245" t="str">
        <f t="shared" si="127"/>
        <v/>
      </c>
      <c r="I167" s="279"/>
      <c r="J167" s="279"/>
      <c r="K167" s="279"/>
      <c r="L167" s="279"/>
      <c r="M167" s="279"/>
      <c r="N167" s="279"/>
      <c r="O167" s="279"/>
      <c r="P167" s="279"/>
      <c r="Q167" s="279"/>
      <c r="R167" s="279"/>
      <c r="S167" s="279"/>
      <c r="T167" s="279"/>
      <c r="U167" s="279"/>
      <c r="V167" s="279"/>
      <c r="W167" s="279"/>
      <c r="X167" s="279"/>
      <c r="Y167" s="279"/>
      <c r="Z167" s="279"/>
      <c r="AA167" s="279"/>
      <c r="AB167" s="279"/>
      <c r="AC167" s="279"/>
      <c r="AD167" s="279"/>
      <c r="AE167" s="279"/>
      <c r="AF167" s="279"/>
      <c r="AG167" s="279"/>
      <c r="AH167" s="279"/>
      <c r="AI167" s="279"/>
      <c r="AJ167" s="279"/>
      <c r="AK167" s="279"/>
      <c r="AL167" s="279"/>
      <c r="AM167" s="279"/>
      <c r="AN167" s="279"/>
      <c r="AO167" s="279"/>
      <c r="AP167" s="279"/>
      <c r="AQ167" s="279"/>
      <c r="AR167" s="279"/>
      <c r="AS167" s="279"/>
      <c r="AT167" s="279"/>
      <c r="AU167" s="279"/>
      <c r="AX167" s="278"/>
      <c r="CL167" s="282"/>
      <c r="CM167" s="282"/>
      <c r="CN167" s="282"/>
      <c r="CO167" s="282"/>
      <c r="CP167" s="282"/>
      <c r="CQ167" s="282"/>
      <c r="CR167" s="282"/>
      <c r="CS167" s="282"/>
      <c r="CT167" s="282"/>
      <c r="CU167" s="282"/>
      <c r="CV167" s="282"/>
      <c r="CW167" s="282"/>
      <c r="CX167" s="282"/>
      <c r="CY167" s="282"/>
      <c r="CZ167" s="282"/>
      <c r="DA167" s="282"/>
      <c r="DB167" s="282"/>
      <c r="DC167" s="282"/>
      <c r="DD167" s="282"/>
      <c r="DE167" s="282"/>
      <c r="DF167" s="282"/>
      <c r="DG167" s="282"/>
      <c r="DH167" s="282"/>
      <c r="DI167" s="282"/>
      <c r="DJ167" s="282"/>
      <c r="DK167" s="282"/>
      <c r="DL167" s="282"/>
      <c r="DM167" s="282"/>
      <c r="DN167" s="282"/>
      <c r="DO167" s="282"/>
      <c r="DP167" s="282"/>
      <c r="DQ167" s="282"/>
      <c r="DR167" s="282"/>
      <c r="DS167" s="282"/>
      <c r="DT167" s="282"/>
      <c r="DU167" s="282"/>
      <c r="DV167" s="282"/>
      <c r="DW167" s="282"/>
      <c r="DX167" s="282"/>
    </row>
    <row r="168" spans="1:128" x14ac:dyDescent="0.3">
      <c r="A168" s="245" t="str">
        <f t="shared" ref="A168:H168" si="142">A108</f>
        <v>Inner North-West</v>
      </c>
      <c r="B168" s="245" t="str">
        <f t="shared" si="142"/>
        <v>Whenuapai North (Stage 1b)</v>
      </c>
      <c r="C168" s="245">
        <f t="shared" si="142"/>
        <v>2028</v>
      </c>
      <c r="D168" s="245">
        <f t="shared" si="142"/>
        <v>2024</v>
      </c>
      <c r="E168" s="245">
        <f t="shared" si="142"/>
        <v>2028</v>
      </c>
      <c r="F168" s="245">
        <f t="shared" si="142"/>
        <v>2032</v>
      </c>
      <c r="G168" s="245" t="str">
        <f t="shared" si="127"/>
        <v>earlier than Sc1</v>
      </c>
      <c r="H168" s="245" t="str">
        <f t="shared" si="142"/>
        <v>Whenuapai</v>
      </c>
      <c r="I168" s="279">
        <f t="shared" ref="I168:AU168" si="143">I108*I$114</f>
        <v>375</v>
      </c>
      <c r="J168" s="279">
        <f t="shared" si="143"/>
        <v>385.5</v>
      </c>
      <c r="K168" s="279">
        <f t="shared" si="143"/>
        <v>412.48500000000001</v>
      </c>
      <c r="L168" s="279">
        <f t="shared" si="143"/>
        <v>430.22185500000001</v>
      </c>
      <c r="M168" s="279">
        <f t="shared" si="143"/>
        <v>724.94103454920003</v>
      </c>
      <c r="N168" s="279">
        <f t="shared" si="143"/>
        <v>776.41184800219321</v>
      </c>
      <c r="O168" s="279">
        <f t="shared" si="143"/>
        <v>831.53708921034888</v>
      </c>
      <c r="P168" s="279">
        <f t="shared" si="143"/>
        <v>890.57622254428372</v>
      </c>
      <c r="Q168" s="279">
        <f t="shared" si="143"/>
        <v>2505.7645054824375</v>
      </c>
      <c r="R168" s="279">
        <f t="shared" si="143"/>
        <v>2683.6737853716904</v>
      </c>
      <c r="S168" s="279">
        <f t="shared" si="143"/>
        <v>2874.2146241330806</v>
      </c>
      <c r="T168" s="279">
        <f t="shared" si="143"/>
        <v>3078.2838624465294</v>
      </c>
      <c r="U168" s="279">
        <f t="shared" si="143"/>
        <v>3296.8420166802325</v>
      </c>
      <c r="V168" s="279">
        <f t="shared" si="143"/>
        <v>3530.9177998645287</v>
      </c>
      <c r="W168" s="279">
        <f t="shared" si="143"/>
        <v>3781.6129636549099</v>
      </c>
      <c r="X168" s="279">
        <f t="shared" si="143"/>
        <v>4050.1074840744081</v>
      </c>
      <c r="Y168" s="279">
        <f t="shared" si="143"/>
        <v>4337.6651154436904</v>
      </c>
      <c r="Z168" s="279">
        <f t="shared" si="143"/>
        <v>4645.6393386401924</v>
      </c>
      <c r="AA168" s="279">
        <f t="shared" si="143"/>
        <v>4975.4797316836466</v>
      </c>
      <c r="AB168" s="279">
        <f t="shared" si="143"/>
        <v>5328.7387926331849</v>
      </c>
      <c r="AC168" s="279">
        <f t="shared" si="143"/>
        <v>5707.0792469101398</v>
      </c>
      <c r="AD168" s="279">
        <f t="shared" si="143"/>
        <v>6112.2818734407592</v>
      </c>
      <c r="AE168" s="279">
        <f t="shared" si="143"/>
        <v>6546.2538864550534</v>
      </c>
      <c r="AF168" s="279">
        <f t="shared" si="143"/>
        <v>7011.0379123933617</v>
      </c>
      <c r="AG168" s="279">
        <f t="shared" si="143"/>
        <v>7508.8216041732894</v>
      </c>
      <c r="AH168" s="279">
        <f t="shared" si="143"/>
        <v>8041.947938069593</v>
      </c>
      <c r="AI168" s="279">
        <f t="shared" si="143"/>
        <v>8612.9262416725342</v>
      </c>
      <c r="AJ168" s="279">
        <f t="shared" si="143"/>
        <v>9224.4440048312827</v>
      </c>
      <c r="AK168" s="279">
        <f t="shared" si="143"/>
        <v>9879.3795291743045</v>
      </c>
      <c r="AL168" s="279">
        <f t="shared" si="143"/>
        <v>10580.81547574568</v>
      </c>
      <c r="AM168" s="279">
        <f t="shared" si="143"/>
        <v>11332.053374523623</v>
      </c>
      <c r="AN168" s="279">
        <f t="shared" si="143"/>
        <v>12136.629164114798</v>
      </c>
      <c r="AO168" s="279">
        <f t="shared" si="143"/>
        <v>12998.329834766948</v>
      </c>
      <c r="AP168" s="279">
        <f t="shared" si="143"/>
        <v>13921.211253035401</v>
      </c>
      <c r="AQ168" s="279">
        <f t="shared" si="143"/>
        <v>14909.617252000915</v>
      </c>
      <c r="AR168" s="279">
        <f t="shared" si="143"/>
        <v>15968.200076892977</v>
      </c>
      <c r="AS168" s="279">
        <f t="shared" si="143"/>
        <v>17101.942282352378</v>
      </c>
      <c r="AT168" s="279">
        <f t="shared" si="143"/>
        <v>18316.180184399396</v>
      </c>
      <c r="AU168" s="279">
        <f t="shared" si="143"/>
        <v>19616.62897749175</v>
      </c>
      <c r="AX168" s="280"/>
      <c r="AY168" s="280"/>
      <c r="AZ168" s="280"/>
      <c r="BA168" s="280"/>
      <c r="BB168" s="280"/>
      <c r="BC168" s="280"/>
      <c r="BD168" s="280"/>
      <c r="BE168" s="280"/>
      <c r="BF168" s="280"/>
      <c r="BG168" s="280"/>
      <c r="BH168" s="280"/>
      <c r="BI168" s="280"/>
      <c r="BJ168" s="280"/>
      <c r="BK168" s="280"/>
      <c r="BL168" s="280"/>
      <c r="BM168" s="280"/>
      <c r="BN168" s="280"/>
      <c r="BO168" s="280"/>
      <c r="BP168" s="280"/>
      <c r="BQ168" s="280"/>
      <c r="BR168" s="280"/>
      <c r="BS168" s="280"/>
      <c r="BT168" s="280"/>
      <c r="BU168" s="280"/>
      <c r="BV168" s="280"/>
      <c r="BW168" s="280"/>
      <c r="BX168" s="280"/>
      <c r="BY168" s="280"/>
      <c r="BZ168" s="280"/>
      <c r="CA168" s="280"/>
      <c r="CB168" s="280"/>
      <c r="CC168" s="280"/>
      <c r="CD168" s="280"/>
      <c r="CE168" s="280"/>
      <c r="CF168" s="280"/>
      <c r="CG168" s="280"/>
      <c r="CH168" s="280"/>
      <c r="CI168" s="280"/>
      <c r="CJ168" s="280"/>
      <c r="CL168" s="282"/>
      <c r="CM168" s="282"/>
      <c r="CN168" s="282"/>
      <c r="CO168" s="282"/>
      <c r="CP168" s="282"/>
      <c r="CQ168" s="282"/>
      <c r="CR168" s="282"/>
      <c r="CS168" s="282"/>
      <c r="CT168" s="282"/>
      <c r="CU168" s="282"/>
      <c r="CV168" s="282"/>
      <c r="CW168" s="282"/>
      <c r="CX168" s="282"/>
      <c r="CY168" s="282"/>
      <c r="CZ168" s="282"/>
      <c r="DA168" s="282"/>
      <c r="DB168" s="282"/>
      <c r="DC168" s="282"/>
      <c r="DD168" s="282"/>
      <c r="DE168" s="282"/>
      <c r="DF168" s="282"/>
      <c r="DG168" s="282"/>
      <c r="DH168" s="282"/>
      <c r="DI168" s="282"/>
      <c r="DJ168" s="282"/>
      <c r="DK168" s="282"/>
      <c r="DL168" s="282"/>
      <c r="DM168" s="282"/>
      <c r="DN168" s="282"/>
      <c r="DO168" s="282"/>
      <c r="DP168" s="282"/>
      <c r="DQ168" s="282"/>
      <c r="DR168" s="282"/>
      <c r="DS168" s="282"/>
      <c r="DT168" s="282"/>
      <c r="DU168" s="282"/>
      <c r="DV168" s="282"/>
      <c r="DW168" s="282"/>
      <c r="DX168" s="282"/>
    </row>
    <row r="169" spans="1:128" x14ac:dyDescent="0.3">
      <c r="A169" s="245" t="str">
        <f t="shared" ref="A169:H169" si="144">A109</f>
        <v>Inner North-West</v>
      </c>
      <c r="B169" s="245" t="str">
        <f t="shared" si="144"/>
        <v>Whenuapai North (Stage 2)</v>
      </c>
      <c r="C169" s="245">
        <f t="shared" si="144"/>
        <v>2028</v>
      </c>
      <c r="D169" s="245">
        <f t="shared" si="144"/>
        <v>2024</v>
      </c>
      <c r="E169" s="245">
        <f t="shared" si="144"/>
        <v>2028</v>
      </c>
      <c r="F169" s="245">
        <f t="shared" si="144"/>
        <v>2032</v>
      </c>
      <c r="G169" s="245" t="str">
        <f t="shared" si="127"/>
        <v>earlier than Sc1</v>
      </c>
      <c r="H169" s="245" t="str">
        <f t="shared" si="144"/>
        <v>Whenuapai</v>
      </c>
      <c r="I169" s="279">
        <f t="shared" ref="I169:AU169" si="145">I109*I$114</f>
        <v>375</v>
      </c>
      <c r="J169" s="279">
        <f t="shared" si="145"/>
        <v>385.5</v>
      </c>
      <c r="K169" s="279">
        <f t="shared" si="145"/>
        <v>412.48500000000001</v>
      </c>
      <c r="L169" s="279">
        <f t="shared" si="145"/>
        <v>430.22185500000001</v>
      </c>
      <c r="M169" s="279">
        <f t="shared" si="145"/>
        <v>724.94103454920003</v>
      </c>
      <c r="N169" s="279">
        <f t="shared" si="145"/>
        <v>776.41184800219321</v>
      </c>
      <c r="O169" s="279">
        <f t="shared" si="145"/>
        <v>831.53708921034888</v>
      </c>
      <c r="P169" s="279">
        <f t="shared" si="145"/>
        <v>890.57622254428372</v>
      </c>
      <c r="Q169" s="279">
        <f t="shared" si="145"/>
        <v>2505.7645054824375</v>
      </c>
      <c r="R169" s="279">
        <f t="shared" si="145"/>
        <v>2683.6737853716904</v>
      </c>
      <c r="S169" s="279">
        <f t="shared" si="145"/>
        <v>2874.2146241330806</v>
      </c>
      <c r="T169" s="279">
        <f t="shared" si="145"/>
        <v>3078.2838624465294</v>
      </c>
      <c r="U169" s="279">
        <f t="shared" si="145"/>
        <v>3296.8420166802325</v>
      </c>
      <c r="V169" s="279">
        <f t="shared" si="145"/>
        <v>3530.9177998645287</v>
      </c>
      <c r="W169" s="279">
        <f t="shared" si="145"/>
        <v>3781.6129636549099</v>
      </c>
      <c r="X169" s="279">
        <f t="shared" si="145"/>
        <v>4050.1074840744081</v>
      </c>
      <c r="Y169" s="279">
        <f t="shared" si="145"/>
        <v>4337.6651154436904</v>
      </c>
      <c r="Z169" s="279">
        <f t="shared" si="145"/>
        <v>4645.6393386401924</v>
      </c>
      <c r="AA169" s="279">
        <f t="shared" si="145"/>
        <v>4975.4797316836466</v>
      </c>
      <c r="AB169" s="279">
        <f t="shared" si="145"/>
        <v>5328.7387926331849</v>
      </c>
      <c r="AC169" s="279">
        <f t="shared" si="145"/>
        <v>5707.0792469101398</v>
      </c>
      <c r="AD169" s="279">
        <f t="shared" si="145"/>
        <v>6112.2818734407592</v>
      </c>
      <c r="AE169" s="279">
        <f t="shared" si="145"/>
        <v>6546.2538864550534</v>
      </c>
      <c r="AF169" s="279">
        <f t="shared" si="145"/>
        <v>7011.0379123933617</v>
      </c>
      <c r="AG169" s="279">
        <f t="shared" si="145"/>
        <v>7508.8216041732894</v>
      </c>
      <c r="AH169" s="279">
        <f t="shared" si="145"/>
        <v>8041.947938069593</v>
      </c>
      <c r="AI169" s="279">
        <f t="shared" si="145"/>
        <v>8612.9262416725342</v>
      </c>
      <c r="AJ169" s="279">
        <f t="shared" si="145"/>
        <v>9224.4440048312827</v>
      </c>
      <c r="AK169" s="279">
        <f t="shared" si="145"/>
        <v>9879.3795291743045</v>
      </c>
      <c r="AL169" s="279">
        <f t="shared" si="145"/>
        <v>10580.81547574568</v>
      </c>
      <c r="AM169" s="279">
        <f t="shared" si="145"/>
        <v>11332.053374523623</v>
      </c>
      <c r="AN169" s="279">
        <f t="shared" si="145"/>
        <v>12136.629164114798</v>
      </c>
      <c r="AO169" s="279">
        <f t="shared" si="145"/>
        <v>12998.329834766948</v>
      </c>
      <c r="AP169" s="279">
        <f t="shared" si="145"/>
        <v>13921.211253035401</v>
      </c>
      <c r="AQ169" s="279">
        <f t="shared" si="145"/>
        <v>14909.617252000915</v>
      </c>
      <c r="AR169" s="279">
        <f t="shared" si="145"/>
        <v>15968.200076892977</v>
      </c>
      <c r="AS169" s="279">
        <f t="shared" si="145"/>
        <v>17101.942282352378</v>
      </c>
      <c r="AT169" s="279">
        <f t="shared" si="145"/>
        <v>18316.180184399396</v>
      </c>
      <c r="AU169" s="279">
        <f t="shared" si="145"/>
        <v>19616.62897749175</v>
      </c>
      <c r="AX169" s="280"/>
      <c r="AY169" s="280"/>
      <c r="AZ169" s="280"/>
      <c r="BA169" s="280"/>
      <c r="BB169" s="280"/>
      <c r="BC169" s="280"/>
      <c r="BD169" s="280"/>
      <c r="BE169" s="280"/>
      <c r="BF169" s="280"/>
      <c r="BG169" s="280"/>
      <c r="BH169" s="280"/>
      <c r="BI169" s="280"/>
      <c r="BJ169" s="280"/>
      <c r="BK169" s="280"/>
      <c r="BL169" s="280"/>
      <c r="BM169" s="280"/>
      <c r="BN169" s="280"/>
      <c r="BO169" s="280"/>
      <c r="BP169" s="280"/>
      <c r="BQ169" s="280"/>
      <c r="BR169" s="280"/>
      <c r="BS169" s="280"/>
      <c r="BT169" s="280"/>
      <c r="BU169" s="280"/>
      <c r="BV169" s="280"/>
      <c r="BW169" s="280"/>
      <c r="BX169" s="280"/>
      <c r="BY169" s="280"/>
      <c r="BZ169" s="280"/>
      <c r="CA169" s="280"/>
      <c r="CB169" s="280"/>
      <c r="CC169" s="280"/>
      <c r="CD169" s="280"/>
      <c r="CE169" s="280"/>
      <c r="CF169" s="280"/>
      <c r="CG169" s="280"/>
      <c r="CH169" s="280"/>
      <c r="CI169" s="280"/>
      <c r="CJ169" s="280"/>
      <c r="CL169" s="282"/>
      <c r="CM169" s="282"/>
      <c r="CN169" s="282"/>
      <c r="CO169" s="282"/>
      <c r="CP169" s="282"/>
      <c r="CQ169" s="282"/>
      <c r="CR169" s="282"/>
      <c r="CS169" s="282"/>
      <c r="CT169" s="282"/>
      <c r="CU169" s="282"/>
      <c r="CV169" s="282"/>
      <c r="CW169" s="282"/>
      <c r="CX169" s="282"/>
      <c r="CY169" s="282"/>
      <c r="CZ169" s="282"/>
      <c r="DA169" s="282"/>
      <c r="DB169" s="282"/>
      <c r="DC169" s="282"/>
      <c r="DD169" s="282"/>
      <c r="DE169" s="282"/>
      <c r="DF169" s="282"/>
      <c r="DG169" s="282"/>
      <c r="DH169" s="282"/>
      <c r="DI169" s="282"/>
      <c r="DJ169" s="282"/>
      <c r="DK169" s="282"/>
      <c r="DL169" s="282"/>
      <c r="DM169" s="282"/>
      <c r="DN169" s="282"/>
      <c r="DO169" s="282"/>
      <c r="DP169" s="282"/>
      <c r="DQ169" s="282"/>
      <c r="DR169" s="282"/>
      <c r="DS169" s="282"/>
      <c r="DT169" s="282"/>
      <c r="DU169" s="282"/>
      <c r="DV169" s="282"/>
      <c r="DW169" s="282"/>
      <c r="DX169" s="282"/>
    </row>
    <row r="170" spans="1:128" x14ac:dyDescent="0.3">
      <c r="A170" s="245" t="str">
        <f t="shared" ref="A170:H170" si="146">A110</f>
        <v>Inner North-West</v>
      </c>
      <c r="B170" s="245" t="str">
        <f t="shared" si="146"/>
        <v>Whenuapai East/South</v>
      </c>
      <c r="C170" s="245">
        <f t="shared" si="146"/>
        <v>2028</v>
      </c>
      <c r="D170" s="245">
        <f t="shared" si="146"/>
        <v>2024</v>
      </c>
      <c r="E170" s="245">
        <f t="shared" si="146"/>
        <v>2028</v>
      </c>
      <c r="F170" s="245">
        <f t="shared" si="146"/>
        <v>2032</v>
      </c>
      <c r="G170" s="245" t="str">
        <f t="shared" si="127"/>
        <v>earlier than Sc1</v>
      </c>
      <c r="H170" s="245" t="str">
        <f t="shared" si="146"/>
        <v>Whenuapai</v>
      </c>
      <c r="I170" s="279">
        <f t="shared" ref="I170:AU170" si="147">I110*I$114</f>
        <v>375</v>
      </c>
      <c r="J170" s="279">
        <f t="shared" si="147"/>
        <v>385.5</v>
      </c>
      <c r="K170" s="279">
        <f t="shared" si="147"/>
        <v>412.48500000000001</v>
      </c>
      <c r="L170" s="279">
        <f t="shared" si="147"/>
        <v>430.22185500000001</v>
      </c>
      <c r="M170" s="279">
        <f t="shared" si="147"/>
        <v>724.94103454920003</v>
      </c>
      <c r="N170" s="279">
        <f t="shared" si="147"/>
        <v>776.41184800219321</v>
      </c>
      <c r="O170" s="279">
        <f t="shared" si="147"/>
        <v>831.53708921034888</v>
      </c>
      <c r="P170" s="279">
        <f t="shared" si="147"/>
        <v>890.57622254428372</v>
      </c>
      <c r="Q170" s="279">
        <f t="shared" si="147"/>
        <v>2505.7645054824375</v>
      </c>
      <c r="R170" s="279">
        <f t="shared" si="147"/>
        <v>2683.6737853716904</v>
      </c>
      <c r="S170" s="279">
        <f t="shared" si="147"/>
        <v>2874.2146241330806</v>
      </c>
      <c r="T170" s="279">
        <f t="shared" si="147"/>
        <v>3078.2838624465294</v>
      </c>
      <c r="U170" s="279">
        <f t="shared" si="147"/>
        <v>3296.8420166802325</v>
      </c>
      <c r="V170" s="279">
        <f t="shared" si="147"/>
        <v>3530.9177998645287</v>
      </c>
      <c r="W170" s="279">
        <f t="shared" si="147"/>
        <v>3781.6129636549099</v>
      </c>
      <c r="X170" s="279">
        <f t="shared" si="147"/>
        <v>4050.1074840744081</v>
      </c>
      <c r="Y170" s="279">
        <f t="shared" si="147"/>
        <v>4337.6651154436904</v>
      </c>
      <c r="Z170" s="279">
        <f t="shared" si="147"/>
        <v>4645.6393386401924</v>
      </c>
      <c r="AA170" s="279">
        <f t="shared" si="147"/>
        <v>4975.4797316836466</v>
      </c>
      <c r="AB170" s="279">
        <f t="shared" si="147"/>
        <v>5328.7387926331849</v>
      </c>
      <c r="AC170" s="279">
        <f t="shared" si="147"/>
        <v>5707.0792469101398</v>
      </c>
      <c r="AD170" s="279">
        <f t="shared" si="147"/>
        <v>6112.2818734407592</v>
      </c>
      <c r="AE170" s="279">
        <f t="shared" si="147"/>
        <v>6546.2538864550534</v>
      </c>
      <c r="AF170" s="279">
        <f t="shared" si="147"/>
        <v>7011.0379123933617</v>
      </c>
      <c r="AG170" s="279">
        <f t="shared" si="147"/>
        <v>7508.8216041732894</v>
      </c>
      <c r="AH170" s="279">
        <f t="shared" si="147"/>
        <v>8041.947938069593</v>
      </c>
      <c r="AI170" s="279">
        <f t="shared" si="147"/>
        <v>8612.9262416725342</v>
      </c>
      <c r="AJ170" s="279">
        <f t="shared" si="147"/>
        <v>9224.4440048312827</v>
      </c>
      <c r="AK170" s="279">
        <f t="shared" si="147"/>
        <v>9879.3795291743045</v>
      </c>
      <c r="AL170" s="279">
        <f t="shared" si="147"/>
        <v>10580.81547574568</v>
      </c>
      <c r="AM170" s="279">
        <f t="shared" si="147"/>
        <v>11332.053374523623</v>
      </c>
      <c r="AN170" s="279">
        <f t="shared" si="147"/>
        <v>12136.629164114798</v>
      </c>
      <c r="AO170" s="279">
        <f t="shared" si="147"/>
        <v>12998.329834766948</v>
      </c>
      <c r="AP170" s="279">
        <f t="shared" si="147"/>
        <v>13921.211253035401</v>
      </c>
      <c r="AQ170" s="279">
        <f t="shared" si="147"/>
        <v>14909.617252000915</v>
      </c>
      <c r="AR170" s="279">
        <f t="shared" si="147"/>
        <v>15968.200076892977</v>
      </c>
      <c r="AS170" s="279">
        <f t="shared" si="147"/>
        <v>17101.942282352378</v>
      </c>
      <c r="AT170" s="279">
        <f t="shared" si="147"/>
        <v>18316.180184399396</v>
      </c>
      <c r="AU170" s="279">
        <f t="shared" si="147"/>
        <v>19616.62897749175</v>
      </c>
      <c r="AX170" s="280"/>
      <c r="AY170" s="280"/>
      <c r="AZ170" s="280"/>
      <c r="BA170" s="280"/>
      <c r="BB170" s="280"/>
      <c r="BC170" s="280"/>
      <c r="BD170" s="280"/>
      <c r="BE170" s="280"/>
      <c r="BF170" s="280"/>
      <c r="BG170" s="280"/>
      <c r="BH170" s="280"/>
      <c r="BI170" s="280"/>
      <c r="BJ170" s="280"/>
      <c r="BK170" s="280"/>
      <c r="BL170" s="280"/>
      <c r="BM170" s="280"/>
      <c r="BN170" s="280"/>
      <c r="BO170" s="280"/>
      <c r="BP170" s="280"/>
      <c r="BQ170" s="280"/>
      <c r="BR170" s="280"/>
      <c r="BS170" s="280"/>
      <c r="BT170" s="280"/>
      <c r="BU170" s="280"/>
      <c r="BV170" s="280"/>
      <c r="BW170" s="280"/>
      <c r="BX170" s="280"/>
      <c r="BY170" s="280"/>
      <c r="BZ170" s="280"/>
      <c r="CA170" s="280"/>
      <c r="CB170" s="280"/>
      <c r="CC170" s="280"/>
      <c r="CD170" s="280"/>
      <c r="CE170" s="280"/>
      <c r="CF170" s="280"/>
      <c r="CG170" s="280"/>
      <c r="CH170" s="280"/>
      <c r="CI170" s="280"/>
      <c r="CJ170" s="280"/>
      <c r="CL170" s="282"/>
      <c r="CM170" s="282"/>
      <c r="CN170" s="282"/>
      <c r="CO170" s="282"/>
      <c r="CP170" s="282"/>
      <c r="CQ170" s="282"/>
      <c r="CR170" s="282"/>
      <c r="CS170" s="282"/>
      <c r="CT170" s="282"/>
      <c r="CU170" s="282"/>
      <c r="CV170" s="282"/>
      <c r="CW170" s="282"/>
      <c r="CX170" s="282"/>
      <c r="CY170" s="282"/>
      <c r="CZ170" s="282"/>
      <c r="DA170" s="282"/>
      <c r="DB170" s="282"/>
      <c r="DC170" s="282"/>
      <c r="DD170" s="282"/>
      <c r="DE170" s="282"/>
      <c r="DF170" s="282"/>
      <c r="DG170" s="282"/>
      <c r="DH170" s="282"/>
      <c r="DI170" s="282"/>
      <c r="DJ170" s="282"/>
      <c r="DK170" s="282"/>
      <c r="DL170" s="282"/>
      <c r="DM170" s="282"/>
      <c r="DN170" s="282"/>
      <c r="DO170" s="282"/>
      <c r="DP170" s="282"/>
      <c r="DQ170" s="282"/>
      <c r="DR170" s="282"/>
      <c r="DS170" s="282"/>
      <c r="DT170" s="282"/>
      <c r="DU170" s="282"/>
      <c r="DV170" s="282"/>
      <c r="DW170" s="282"/>
      <c r="DX170" s="282"/>
    </row>
  </sheetData>
  <sheetProtection algorithmName="SHA-512" hashValue="7qaAvC1tqb3b7utBkQtSSzy05A5yf2ldgSCpzRJKFV1o14RnTI2D/avdeNwz3b2Y3QYbGtKMmguYHnshKUikwQ==" saltValue="LPoeBF2jCzKMnEsa215jSw==" spinCount="100000" sheet="1" objects="1" scenarios="1"/>
  <mergeCells count="1">
    <mergeCell ref="B2:G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EF624-17CE-4726-A0BB-CA37A3AF8354}">
  <dimension ref="A1:EC498"/>
  <sheetViews>
    <sheetView zoomScale="90" zoomScaleNormal="90" workbookViewId="0">
      <pane xSplit="5" ySplit="7" topLeftCell="F8" activePane="bottomRight" state="frozen"/>
      <selection pane="topRight" activeCell="F1" sqref="F1"/>
      <selection pane="bottomLeft" activeCell="A8" sqref="A8"/>
      <selection pane="bottomRight" activeCell="T8" sqref="T8"/>
    </sheetView>
  </sheetViews>
  <sheetFormatPr defaultColWidth="9.109375" defaultRowHeight="13.8" x14ac:dyDescent="0.3"/>
  <cols>
    <col min="1" max="1" width="9.109375" style="2"/>
    <col min="2" max="2" width="19.109375" style="2" customWidth="1"/>
    <col min="3" max="3" width="6" style="2" customWidth="1"/>
    <col min="4" max="4" width="24" style="2" customWidth="1"/>
    <col min="5" max="5" width="16" style="2" customWidth="1"/>
    <col min="6" max="6" width="4.6640625" style="2" customWidth="1"/>
    <col min="7" max="9" width="3.88671875" style="2" customWidth="1"/>
    <col min="10" max="10" width="4.5546875" style="2" customWidth="1"/>
    <col min="11" max="13" width="3.88671875" style="2" customWidth="1"/>
    <col min="14" max="14" width="8" style="2" customWidth="1"/>
    <col min="15" max="15" width="6.6640625" style="2" customWidth="1"/>
    <col min="16" max="16" width="7.6640625" style="2" customWidth="1"/>
    <col min="17" max="17" width="7" style="2" customWidth="1"/>
    <col min="18" max="18" width="7.109375" style="2" customWidth="1"/>
    <col min="19" max="19" width="5.5546875" style="2" customWidth="1"/>
    <col min="20" max="21" width="4.88671875" style="2" customWidth="1"/>
    <col min="22" max="22" width="5.33203125" style="2" customWidth="1"/>
    <col min="23" max="23" width="6.5546875" style="2" customWidth="1"/>
    <col min="24" max="24" width="5.33203125" style="2" customWidth="1"/>
    <col min="25" max="25" width="5.88671875" style="2" customWidth="1"/>
    <col min="26" max="26" width="5.33203125" style="2" customWidth="1"/>
    <col min="27" max="27" width="5.5546875" style="2" customWidth="1"/>
    <col min="28" max="62" width="5.88671875" style="2" customWidth="1"/>
    <col min="63" max="63" width="6.5546875" style="2" customWidth="1"/>
    <col min="64" max="95" width="6.109375" style="2" customWidth="1"/>
    <col min="96" max="96" width="7.44140625" style="2" customWidth="1"/>
    <col min="97" max="97" width="6.33203125" style="18" customWidth="1"/>
    <col min="98" max="100" width="5.33203125" style="18" customWidth="1"/>
    <col min="101" max="101" width="5.33203125" style="2" customWidth="1"/>
    <col min="102" max="104" width="5.88671875" style="2" customWidth="1"/>
    <col min="105" max="106" width="6.33203125" style="2" customWidth="1"/>
    <col min="107" max="107" width="5.5546875" style="2" customWidth="1"/>
    <col min="108" max="131" width="9.109375" style="2"/>
    <col min="132" max="132" width="10" style="2" bestFit="1" customWidth="1"/>
    <col min="133" max="134" width="9.109375" style="2"/>
    <col min="135" max="135" width="15.88671875" style="2" customWidth="1"/>
    <col min="136" max="136" width="9.109375" style="2"/>
    <col min="137" max="137" width="3.6640625" style="2" customWidth="1"/>
    <col min="138" max="16384" width="9.109375" style="2"/>
  </cols>
  <sheetData>
    <row r="1" spans="1:133" x14ac:dyDescent="0.3">
      <c r="A1" s="5" t="s">
        <v>134</v>
      </c>
      <c r="F1" s="66"/>
      <c r="Y1" s="10"/>
      <c r="Z1" s="10"/>
      <c r="AB1" s="87"/>
      <c r="AC1" s="87"/>
      <c r="AD1" s="87"/>
      <c r="AE1" s="87"/>
      <c r="AF1" s="87"/>
      <c r="AG1" s="87"/>
      <c r="AH1" s="87"/>
      <c r="AI1" s="87"/>
      <c r="AJ1" s="87"/>
      <c r="AK1" s="87"/>
      <c r="AL1" s="10">
        <f>AL3-AL4</f>
        <v>3.0190368241365206</v>
      </c>
      <c r="AM1" s="10">
        <f t="shared" ref="AM1:AV1" si="0">AM3-AM4</f>
        <v>3.2337209563991109</v>
      </c>
      <c r="AN1" s="10">
        <f t="shared" si="0"/>
        <v>3.4633861453883412</v>
      </c>
      <c r="AO1" s="10">
        <f t="shared" si="0"/>
        <v>3.7092987008375076</v>
      </c>
      <c r="AP1" s="10">
        <f t="shared" si="0"/>
        <v>3.9758017604400209</v>
      </c>
      <c r="AQ1" s="10">
        <f t="shared" si="0"/>
        <v>4.2622408209286107</v>
      </c>
      <c r="AR1" s="10">
        <f t="shared" si="0"/>
        <v>-15.334877743007183</v>
      </c>
      <c r="AS1" s="10">
        <f t="shared" si="0"/>
        <v>-81.126508860077479</v>
      </c>
      <c r="AT1" s="10">
        <f t="shared" si="0"/>
        <v>-148.36679222295862</v>
      </c>
      <c r="AU1" s="10">
        <f t="shared" si="0"/>
        <v>-128.78225654392207</v>
      </c>
      <c r="AV1" s="10">
        <f t="shared" si="0"/>
        <v>-167.28455380806068</v>
      </c>
    </row>
    <row r="2" spans="1:133" x14ac:dyDescent="0.3">
      <c r="A2" s="2" t="s">
        <v>200</v>
      </c>
      <c r="F2" s="10"/>
      <c r="G2" s="10"/>
      <c r="H2" s="10"/>
      <c r="I2" s="10"/>
      <c r="Y2" s="10">
        <f>SUM(AB2:AK2)</f>
        <v>396.73458321999999</v>
      </c>
      <c r="AA2" s="2" t="s">
        <v>361</v>
      </c>
      <c r="AB2" s="10">
        <f t="shared" ref="AB2:AK2" si="1">AB105</f>
        <v>33.453160579999995</v>
      </c>
      <c r="AC2" s="10">
        <f t="shared" si="1"/>
        <v>24.039469839999999</v>
      </c>
      <c r="AD2" s="10">
        <f t="shared" si="1"/>
        <v>25.906675280000002</v>
      </c>
      <c r="AE2" s="10">
        <f t="shared" si="1"/>
        <v>30.168247409999999</v>
      </c>
      <c r="AF2" s="10">
        <f t="shared" si="1"/>
        <v>37.667599000000003</v>
      </c>
      <c r="AG2" s="10">
        <f t="shared" si="1"/>
        <v>61.372845659999996</v>
      </c>
      <c r="AH2" s="10">
        <f t="shared" si="1"/>
        <v>51.77722181</v>
      </c>
      <c r="AI2" s="10">
        <f t="shared" si="1"/>
        <v>50.05862192</v>
      </c>
      <c r="AJ2" s="10">
        <f t="shared" si="1"/>
        <v>45.234551759999995</v>
      </c>
      <c r="AK2" s="10">
        <f t="shared" si="1"/>
        <v>37.056189959999998</v>
      </c>
    </row>
    <row r="3" spans="1:133" x14ac:dyDescent="0.3">
      <c r="A3" s="2" t="s">
        <v>201</v>
      </c>
      <c r="Y3" s="10">
        <f>SUM(AB3:AK3)</f>
        <v>396.73453993936749</v>
      </c>
      <c r="AA3" s="7" t="s">
        <v>399</v>
      </c>
      <c r="AB3" s="10">
        <f t="shared" ref="AB3:BG3" si="2">AB382</f>
        <v>33.453160579999995</v>
      </c>
      <c r="AC3" s="10">
        <f t="shared" si="2"/>
        <v>24.039469839999995</v>
      </c>
      <c r="AD3" s="10">
        <f t="shared" si="2"/>
        <v>25.906675280000012</v>
      </c>
      <c r="AE3" s="10">
        <f t="shared" si="2"/>
        <v>30.168247409999999</v>
      </c>
      <c r="AF3" s="10">
        <f t="shared" si="2"/>
        <v>37.667599000000024</v>
      </c>
      <c r="AG3" s="10">
        <f t="shared" si="2"/>
        <v>61.372845659999982</v>
      </c>
      <c r="AH3" s="10">
        <f t="shared" si="2"/>
        <v>51.777209506680123</v>
      </c>
      <c r="AI3" s="10">
        <f t="shared" si="2"/>
        <v>50.058611997174225</v>
      </c>
      <c r="AJ3" s="10">
        <f t="shared" si="2"/>
        <v>45.234530705513109</v>
      </c>
      <c r="AK3" s="10">
        <f t="shared" si="2"/>
        <v>37.056189959999998</v>
      </c>
      <c r="AL3" s="10">
        <f t="shared" si="2"/>
        <v>154.25693541399977</v>
      </c>
      <c r="AM3" s="10">
        <f t="shared" si="2"/>
        <v>165.20951034614262</v>
      </c>
      <c r="AN3" s="10">
        <f t="shared" si="2"/>
        <v>176.93945658180363</v>
      </c>
      <c r="AO3" s="10">
        <f t="shared" si="2"/>
        <v>189.50217013823828</v>
      </c>
      <c r="AP3" s="10">
        <f t="shared" si="2"/>
        <v>202.95996706989621</v>
      </c>
      <c r="AQ3" s="10">
        <f t="shared" si="2"/>
        <v>217.37428186735616</v>
      </c>
      <c r="AR3" s="10">
        <f t="shared" si="2"/>
        <v>212.90811821771675</v>
      </c>
      <c r="AS3" s="10">
        <f t="shared" si="2"/>
        <v>163.32173981385782</v>
      </c>
      <c r="AT3" s="10">
        <f t="shared" si="2"/>
        <v>113.43728210682605</v>
      </c>
      <c r="AU3" s="10">
        <f t="shared" si="2"/>
        <v>151.60990706327732</v>
      </c>
      <c r="AV3" s="10">
        <f t="shared" si="2"/>
        <v>133.01545341524982</v>
      </c>
      <c r="AW3" s="10">
        <f t="shared" si="2"/>
        <v>145.5764820936123</v>
      </c>
      <c r="AX3" s="10">
        <f t="shared" si="2"/>
        <v>89.873140630306011</v>
      </c>
      <c r="AY3" s="10">
        <f t="shared" si="2"/>
        <v>96.236699078268998</v>
      </c>
      <c r="AZ3" s="10">
        <f t="shared" si="2"/>
        <v>118.31824956456752</v>
      </c>
      <c r="BA3" s="10">
        <f t="shared" si="2"/>
        <v>143.92650794912518</v>
      </c>
      <c r="BB3" s="10">
        <f t="shared" si="2"/>
        <v>154.12175506035223</v>
      </c>
      <c r="BC3" s="10">
        <f t="shared" si="2"/>
        <v>129.89804231913206</v>
      </c>
      <c r="BD3" s="10">
        <f t="shared" si="2"/>
        <v>139.10045708913614</v>
      </c>
      <c r="BE3" s="10">
        <f t="shared" si="2"/>
        <v>601.95470451661504</v>
      </c>
      <c r="BF3" s="10">
        <f t="shared" si="2"/>
        <v>644.65093323673022</v>
      </c>
      <c r="BG3" s="10">
        <f t="shared" si="2"/>
        <v>690.3776579793614</v>
      </c>
      <c r="BH3" s="10"/>
    </row>
    <row r="4" spans="1:133" x14ac:dyDescent="0.3">
      <c r="F4" s="305" t="s">
        <v>285</v>
      </c>
      <c r="G4" s="305"/>
      <c r="H4" s="305"/>
      <c r="I4" s="305"/>
      <c r="J4" s="305" t="s">
        <v>286</v>
      </c>
      <c r="K4" s="305"/>
      <c r="L4" s="305"/>
      <c r="M4" s="305"/>
      <c r="N4" s="53"/>
      <c r="U4" s="2">
        <v>2018</v>
      </c>
      <c r="V4" s="2">
        <v>50</v>
      </c>
      <c r="Z4" s="7" t="s">
        <v>400</v>
      </c>
      <c r="AA4" s="13">
        <f>V4*1.07^6</f>
        <v>75.036517592449997</v>
      </c>
      <c r="AB4" s="13">
        <f>$AA$4*'Land Price Phase Sc1&amp;2'!J115</f>
        <v>78.164837043544097</v>
      </c>
      <c r="AC4" s="13">
        <f>$AA$4*'Land Price Phase Sc1&amp;2'!K115</f>
        <v>82.134566553897983</v>
      </c>
      <c r="AD4" s="13">
        <f>$AA$4*'Land Price Phase Sc1&amp;2'!L115</f>
        <v>87.366485905279006</v>
      </c>
      <c r="AE4" s="13">
        <f>$AA$4*'Land Price Phase Sc1&amp;2'!M115</f>
        <v>93.56950640455382</v>
      </c>
      <c r="AF4" s="13">
        <f>$AA$4*'Land Price Phase Sc1&amp;2'!N115</f>
        <v>100.21294135927714</v>
      </c>
      <c r="AG4" s="13">
        <f>$AA$4*'Land Price Phase Sc1&amp;2'!O115</f>
        <v>107.32806019578581</v>
      </c>
      <c r="AH4" s="13">
        <f>$AA$4*'Land Price Phase Sc1&amp;2'!P115</f>
        <v>114.9483524696866</v>
      </c>
      <c r="AI4" s="13">
        <f>$AA$4*'Land Price Phase Sc1&amp;2'!Q115</f>
        <v>123.10968549503434</v>
      </c>
      <c r="AJ4" s="13">
        <f>$AA$4*'Land Price Phase Sc1&amp;2'!R115</f>
        <v>131.85047316518177</v>
      </c>
      <c r="AK4" s="13">
        <f>$AA$4*'Land Price Phase Sc1&amp;2'!S115</f>
        <v>141.21185675990967</v>
      </c>
      <c r="AL4" s="13">
        <f>$AA$4*'Land Price Phase Sc1&amp;2'!T115</f>
        <v>151.23789858986325</v>
      </c>
      <c r="AM4" s="13">
        <f>$AA$4*'Land Price Phase Sc1&amp;2'!U115</f>
        <v>161.97578938974351</v>
      </c>
      <c r="AN4" s="13">
        <f>$AA$4*'Land Price Phase Sc1&amp;2'!V115</f>
        <v>173.47607043641528</v>
      </c>
      <c r="AO4" s="13">
        <f>$AA$4*'Land Price Phase Sc1&amp;2'!W115</f>
        <v>185.79287143740078</v>
      </c>
      <c r="AP4" s="13">
        <f>$AA$4*'Land Price Phase Sc1&amp;2'!X115</f>
        <v>198.98416530945619</v>
      </c>
      <c r="AQ4" s="13">
        <f>$AA$4*'Land Price Phase Sc1&amp;2'!Y115</f>
        <v>213.11204104642755</v>
      </c>
      <c r="AR4" s="13">
        <f>$AA$4*'Land Price Phase Sc1&amp;2'!Z115</f>
        <v>228.24299596072393</v>
      </c>
      <c r="AS4" s="13">
        <f>$AA$4*'Land Price Phase Sc1&amp;2'!AA115</f>
        <v>244.4482486739353</v>
      </c>
      <c r="AT4" s="13">
        <f>$AA$4*'Land Price Phase Sc1&amp;2'!AB115</f>
        <v>261.80407432978467</v>
      </c>
      <c r="AU4" s="13">
        <f>$AA$4*'Land Price Phase Sc1&amp;2'!AC115</f>
        <v>280.39216360719939</v>
      </c>
      <c r="AV4" s="13">
        <f>$AA$4*'Land Price Phase Sc1&amp;2'!AD115</f>
        <v>300.3000072233105</v>
      </c>
      <c r="AW4" s="13">
        <f>$AA$4*'Land Price Phase Sc1&amp;2'!AE115</f>
        <v>321.62130773616559</v>
      </c>
      <c r="AX4" s="13">
        <f>$AA$4*'Land Price Phase Sc1&amp;2'!AF115</f>
        <v>344.45642058543331</v>
      </c>
      <c r="AY4" s="13">
        <f>$AA$4*'Land Price Phase Sc1&amp;2'!AG115</f>
        <v>368.91282644699902</v>
      </c>
      <c r="AZ4" s="13">
        <f>$AA$4*'Land Price Phase Sc1&amp;2'!AH115</f>
        <v>395.10563712473595</v>
      </c>
      <c r="BA4" s="13">
        <f>$AA$4*'Land Price Phase Sc1&amp;2'!AI115</f>
        <v>423.15813736059221</v>
      </c>
      <c r="BB4" s="13">
        <f>$AA$4*'Land Price Phase Sc1&amp;2'!AJ115</f>
        <v>453.20236511319422</v>
      </c>
      <c r="BC4" s="13">
        <f>$AA$4*'Land Price Phase Sc1&amp;2'!AK115</f>
        <v>485.37973303623096</v>
      </c>
      <c r="BD4" s="13">
        <f>$AA$4*'Land Price Phase Sc1&amp;2'!AL115</f>
        <v>519.84169408180333</v>
      </c>
      <c r="BE4" s="13">
        <f>$AA$4*'Land Price Phase Sc1&amp;2'!AM115</f>
        <v>556.75045436161145</v>
      </c>
      <c r="BF4" s="13">
        <f>$AA$4*'Land Price Phase Sc1&amp;2'!AN115</f>
        <v>596.27973662128579</v>
      </c>
      <c r="BG4" s="13">
        <f>$AA$4*'Land Price Phase Sc1&amp;2'!AO115</f>
        <v>638.61559792139701</v>
      </c>
      <c r="BH4" s="13"/>
      <c r="DC4" s="18"/>
    </row>
    <row r="5" spans="1:133" x14ac:dyDescent="0.3">
      <c r="E5" s="283" t="s">
        <v>342</v>
      </c>
      <c r="F5" s="285">
        <f>'Park spec inputs'!B4</f>
        <v>4000</v>
      </c>
      <c r="G5" s="285">
        <f>'Park spec inputs'!B3</f>
        <v>30000</v>
      </c>
      <c r="H5" s="285">
        <f>'Park spec inputs'!B5</f>
        <v>100000</v>
      </c>
      <c r="I5" s="285">
        <v>2000</v>
      </c>
      <c r="J5" s="53"/>
      <c r="K5" s="53"/>
      <c r="L5" s="53"/>
      <c r="M5" s="53"/>
      <c r="N5" s="53"/>
      <c r="BK5" s="2">
        <f>SUM(BK8:BK100)/10000</f>
        <v>210.84129999999999</v>
      </c>
      <c r="BL5" s="15">
        <f t="shared" ref="BL5:CR5" si="3">SUM(BL8:BL100)</f>
        <v>33.198016766820068</v>
      </c>
      <c r="BM5" s="15">
        <f t="shared" si="3"/>
        <v>23.842828767753694</v>
      </c>
      <c r="BN5" s="15">
        <f t="shared" si="3"/>
        <v>25.740603082567059</v>
      </c>
      <c r="BO5" s="15">
        <f t="shared" si="3"/>
        <v>30.059586773258037</v>
      </c>
      <c r="BP5" s="15">
        <f t="shared" si="3"/>
        <v>37.554150605496503</v>
      </c>
      <c r="BQ5" s="15">
        <f t="shared" si="3"/>
        <v>61.19659410134846</v>
      </c>
      <c r="BR5" s="15">
        <f t="shared" si="3"/>
        <v>51.582913698562379</v>
      </c>
      <c r="BS5" s="15">
        <f t="shared" si="3"/>
        <v>49.820060762264866</v>
      </c>
      <c r="BT5" s="15">
        <f t="shared" si="3"/>
        <v>45.016020878518972</v>
      </c>
      <c r="BU5" s="15">
        <f t="shared" si="3"/>
        <v>36.842771721536408</v>
      </c>
      <c r="BV5" s="15">
        <f t="shared" si="3"/>
        <v>153.68739263475888</v>
      </c>
      <c r="BW5" s="15">
        <f t="shared" si="3"/>
        <v>164.58764952246867</v>
      </c>
      <c r="BX5" s="15">
        <f t="shared" si="3"/>
        <v>176.32662556315466</v>
      </c>
      <c r="BY5" s="15">
        <f t="shared" si="3"/>
        <v>188.85063594074981</v>
      </c>
      <c r="BZ5" s="15">
        <f t="shared" si="3"/>
        <v>202.37143992270543</v>
      </c>
      <c r="CA5" s="15">
        <f t="shared" si="3"/>
        <v>216.7180623147004</v>
      </c>
      <c r="CB5" s="15">
        <f t="shared" si="3"/>
        <v>212.2469644350796</v>
      </c>
      <c r="CC5" s="15">
        <f t="shared" si="3"/>
        <v>162.83739158656434</v>
      </c>
      <c r="CD5" s="15">
        <f t="shared" si="3"/>
        <v>112.9941732776818</v>
      </c>
      <c r="CE5" s="15">
        <f t="shared" si="3"/>
        <v>151.10754897871993</v>
      </c>
      <c r="CF5" s="15">
        <f t="shared" si="3"/>
        <v>132.58201522838951</v>
      </c>
      <c r="CG5" s="15">
        <f t="shared" si="3"/>
        <v>145.03326342506347</v>
      </c>
      <c r="CH5" s="15">
        <f t="shared" si="3"/>
        <v>89.517333757066567</v>
      </c>
      <c r="CI5" s="15">
        <f t="shared" si="3"/>
        <v>95.873064453818259</v>
      </c>
      <c r="CJ5" s="15">
        <f t="shared" si="3"/>
        <v>117.91046375404146</v>
      </c>
      <c r="CK5" s="15">
        <f t="shared" si="3"/>
        <v>143.44620278257821</v>
      </c>
      <c r="CL5" s="15">
        <f t="shared" si="3"/>
        <v>153.63088318014127</v>
      </c>
      <c r="CM5" s="15">
        <f t="shared" si="3"/>
        <v>129.4828130404741</v>
      </c>
      <c r="CN5" s="15">
        <f t="shared" si="3"/>
        <v>138.67609276634778</v>
      </c>
      <c r="CO5" s="15">
        <f t="shared" si="3"/>
        <v>601.08622899489285</v>
      </c>
      <c r="CP5" s="15">
        <f t="shared" si="3"/>
        <v>643.76335125353012</v>
      </c>
      <c r="CQ5" s="15">
        <f t="shared" si="3"/>
        <v>689.4705491925306</v>
      </c>
      <c r="CR5" s="15">
        <f t="shared" si="3"/>
        <v>5217.0536931635843</v>
      </c>
      <c r="DC5" s="18"/>
      <c r="DK5" s="15"/>
      <c r="DL5" s="15"/>
      <c r="DM5" s="15"/>
      <c r="DN5" s="15"/>
      <c r="DO5" s="15"/>
      <c r="DP5" s="15"/>
      <c r="DQ5" s="15"/>
      <c r="DR5" s="15"/>
      <c r="DS5" s="15"/>
      <c r="DT5" s="15"/>
    </row>
    <row r="6" spans="1:133" x14ac:dyDescent="0.3">
      <c r="A6" s="5" t="s">
        <v>230</v>
      </c>
      <c r="E6" s="2" t="s">
        <v>284</v>
      </c>
      <c r="F6" s="10">
        <f>SUM(F8:F31,F32:F82,F83:F92,F93:F100)</f>
        <v>240.73625000000001</v>
      </c>
      <c r="G6" s="10">
        <f t="shared" ref="G6:M6" si="4">SUM(G8:G31,G32:G82,G83:G92,G93:G100)</f>
        <v>32.914833333333334</v>
      </c>
      <c r="H6" s="10">
        <f t="shared" si="4"/>
        <v>1.4802300000000002</v>
      </c>
      <c r="I6" s="10">
        <f t="shared" si="4"/>
        <v>5</v>
      </c>
      <c r="J6" s="10">
        <f t="shared" si="4"/>
        <v>240.73625000000001</v>
      </c>
      <c r="K6" s="10">
        <f t="shared" si="4"/>
        <v>33</v>
      </c>
      <c r="L6" s="10">
        <f t="shared" si="4"/>
        <v>2</v>
      </c>
      <c r="M6" s="10">
        <f t="shared" si="4"/>
        <v>5</v>
      </c>
      <c r="N6" s="10"/>
      <c r="R6" s="104"/>
      <c r="S6" s="2" t="s">
        <v>336</v>
      </c>
      <c r="W6" s="5" t="s">
        <v>363</v>
      </c>
      <c r="X6" s="5" t="s">
        <v>295</v>
      </c>
      <c r="AB6" s="7" t="s">
        <v>334</v>
      </c>
      <c r="AC6" s="7" t="s">
        <v>334</v>
      </c>
      <c r="AD6" s="7" t="s">
        <v>334</v>
      </c>
      <c r="AE6" s="7" t="s">
        <v>334</v>
      </c>
      <c r="AF6" s="7" t="s">
        <v>334</v>
      </c>
      <c r="AG6" s="7" t="s">
        <v>334</v>
      </c>
      <c r="AH6" s="7" t="s">
        <v>334</v>
      </c>
      <c r="AI6" s="7" t="s">
        <v>334</v>
      </c>
      <c r="AJ6" s="7" t="s">
        <v>334</v>
      </c>
      <c r="AK6" s="7" t="s">
        <v>334</v>
      </c>
      <c r="AL6" s="7" t="s">
        <v>334</v>
      </c>
      <c r="AM6" s="7" t="s">
        <v>334</v>
      </c>
      <c r="AN6" s="7" t="s">
        <v>334</v>
      </c>
      <c r="AO6" s="7" t="s">
        <v>334</v>
      </c>
      <c r="AP6" s="7" t="s">
        <v>334</v>
      </c>
      <c r="AQ6" s="7" t="s">
        <v>334</v>
      </c>
      <c r="AR6" s="7" t="s">
        <v>334</v>
      </c>
      <c r="AS6" s="7" t="s">
        <v>334</v>
      </c>
      <c r="AT6" s="7" t="s">
        <v>334</v>
      </c>
      <c r="AU6" s="7" t="s">
        <v>334</v>
      </c>
      <c r="AV6" s="7" t="s">
        <v>334</v>
      </c>
      <c r="AW6" s="7" t="s">
        <v>334</v>
      </c>
      <c r="AX6" s="7" t="s">
        <v>334</v>
      </c>
      <c r="AY6" s="7" t="s">
        <v>334</v>
      </c>
      <c r="AZ6" s="7" t="s">
        <v>334</v>
      </c>
      <c r="BA6" s="7" t="s">
        <v>334</v>
      </c>
      <c r="BB6" s="7" t="s">
        <v>334</v>
      </c>
      <c r="BC6" s="7" t="s">
        <v>334</v>
      </c>
      <c r="BD6" s="7" t="s">
        <v>334</v>
      </c>
      <c r="BE6" s="7" t="s">
        <v>334</v>
      </c>
      <c r="BF6" s="7" t="s">
        <v>334</v>
      </c>
      <c r="BG6" s="7" t="s">
        <v>334</v>
      </c>
      <c r="BH6" s="7" t="s">
        <v>474</v>
      </c>
      <c r="BI6" s="7"/>
      <c r="BJ6" s="7"/>
      <c r="BK6" s="7" t="s">
        <v>342</v>
      </c>
      <c r="BL6" s="2" t="s">
        <v>340</v>
      </c>
      <c r="BM6" s="2" t="s">
        <v>340</v>
      </c>
      <c r="BN6" s="2" t="s">
        <v>340</v>
      </c>
      <c r="BO6" s="2" t="s">
        <v>340</v>
      </c>
      <c r="BP6" s="2" t="s">
        <v>340</v>
      </c>
      <c r="BQ6" s="2" t="s">
        <v>340</v>
      </c>
      <c r="BR6" s="2" t="s">
        <v>340</v>
      </c>
      <c r="BS6" s="2" t="s">
        <v>340</v>
      </c>
      <c r="BT6" s="2" t="s">
        <v>340</v>
      </c>
      <c r="BU6" s="2" t="s">
        <v>340</v>
      </c>
      <c r="BV6" s="2" t="s">
        <v>340</v>
      </c>
      <c r="BW6" s="2" t="s">
        <v>340</v>
      </c>
      <c r="BX6" s="2" t="s">
        <v>340</v>
      </c>
      <c r="BY6" s="2" t="s">
        <v>340</v>
      </c>
      <c r="BZ6" s="2" t="s">
        <v>340</v>
      </c>
      <c r="CA6" s="2" t="s">
        <v>340</v>
      </c>
      <c r="CB6" s="2" t="s">
        <v>340</v>
      </c>
      <c r="CC6" s="2" t="s">
        <v>340</v>
      </c>
      <c r="CD6" s="2" t="s">
        <v>340</v>
      </c>
      <c r="CE6" s="2" t="s">
        <v>340</v>
      </c>
      <c r="CF6" s="2" t="s">
        <v>340</v>
      </c>
      <c r="CG6" s="2" t="s">
        <v>340</v>
      </c>
      <c r="CH6" s="2" t="s">
        <v>340</v>
      </c>
      <c r="CI6" s="2" t="s">
        <v>340</v>
      </c>
      <c r="CJ6" s="2" t="s">
        <v>340</v>
      </c>
      <c r="CK6" s="2" t="s">
        <v>340</v>
      </c>
      <c r="CL6" s="2" t="s">
        <v>340</v>
      </c>
      <c r="CM6" s="2" t="s">
        <v>340</v>
      </c>
      <c r="CN6" s="2" t="s">
        <v>340</v>
      </c>
      <c r="CO6" s="2" t="s">
        <v>340</v>
      </c>
      <c r="CP6" s="2" t="s">
        <v>340</v>
      </c>
      <c r="CQ6" s="2" t="s">
        <v>340</v>
      </c>
      <c r="CR6" s="2" t="s">
        <v>341</v>
      </c>
      <c r="CW6" s="18"/>
      <c r="CX6" s="18"/>
      <c r="CY6" s="18"/>
      <c r="CZ6" s="18"/>
      <c r="DC6" s="18"/>
    </row>
    <row r="7" spans="1:133" x14ac:dyDescent="0.3">
      <c r="A7" s="5" t="s">
        <v>231</v>
      </c>
      <c r="B7" s="5" t="s">
        <v>202</v>
      </c>
      <c r="C7" s="5" t="s">
        <v>258</v>
      </c>
      <c r="D7" s="5" t="s">
        <v>203</v>
      </c>
      <c r="E7" s="5" t="s">
        <v>227</v>
      </c>
      <c r="F7" s="5" t="s">
        <v>204</v>
      </c>
      <c r="G7" s="5" t="s">
        <v>205</v>
      </c>
      <c r="H7" s="5" t="s">
        <v>206</v>
      </c>
      <c r="I7" s="5" t="s">
        <v>207</v>
      </c>
      <c r="J7" s="5" t="s">
        <v>204</v>
      </c>
      <c r="K7" s="5" t="s">
        <v>205</v>
      </c>
      <c r="L7" s="5" t="s">
        <v>206</v>
      </c>
      <c r="M7" s="5" t="s">
        <v>207</v>
      </c>
      <c r="N7" s="5" t="s">
        <v>287</v>
      </c>
      <c r="O7" s="8" t="s">
        <v>224</v>
      </c>
      <c r="P7" s="8" t="s">
        <v>225</v>
      </c>
      <c r="Q7" s="8" t="s">
        <v>226</v>
      </c>
      <c r="R7" s="284" t="s">
        <v>335</v>
      </c>
      <c r="S7" s="8" t="s">
        <v>42</v>
      </c>
      <c r="T7" s="8" t="s">
        <v>43</v>
      </c>
      <c r="U7" s="8" t="s">
        <v>44</v>
      </c>
      <c r="V7" s="8" t="s">
        <v>45</v>
      </c>
      <c r="W7" s="8" t="s">
        <v>363</v>
      </c>
      <c r="X7" s="8" t="s">
        <v>364</v>
      </c>
      <c r="Y7" s="8" t="s">
        <v>371</v>
      </c>
      <c r="Z7" s="8" t="s">
        <v>368</v>
      </c>
      <c r="AA7" s="2" t="s">
        <v>369</v>
      </c>
      <c r="AB7" s="5">
        <v>2025</v>
      </c>
      <c r="AC7" s="5">
        <v>2026</v>
      </c>
      <c r="AD7" s="5">
        <v>2027</v>
      </c>
      <c r="AE7" s="5">
        <v>2028</v>
      </c>
      <c r="AF7" s="5">
        <v>2029</v>
      </c>
      <c r="AG7" s="5">
        <v>2030</v>
      </c>
      <c r="AH7" s="5">
        <v>2031</v>
      </c>
      <c r="AI7" s="5">
        <v>2032</v>
      </c>
      <c r="AJ7" s="5">
        <v>2033</v>
      </c>
      <c r="AK7" s="5">
        <v>2034</v>
      </c>
      <c r="AL7" s="5">
        <v>2035</v>
      </c>
      <c r="AM7" s="5">
        <v>2036</v>
      </c>
      <c r="AN7" s="5">
        <v>2037</v>
      </c>
      <c r="AO7" s="5">
        <v>2038</v>
      </c>
      <c r="AP7" s="5">
        <v>2039</v>
      </c>
      <c r="AQ7" s="5">
        <v>2040</v>
      </c>
      <c r="AR7" s="5">
        <v>2041</v>
      </c>
      <c r="AS7" s="5">
        <v>2042</v>
      </c>
      <c r="AT7" s="5">
        <v>2043</v>
      </c>
      <c r="AU7" s="5">
        <v>2044</v>
      </c>
      <c r="AV7" s="5">
        <v>2045</v>
      </c>
      <c r="AW7" s="5">
        <v>2046</v>
      </c>
      <c r="AX7" s="5">
        <v>2047</v>
      </c>
      <c r="AY7" s="5">
        <v>2048</v>
      </c>
      <c r="AZ7" s="5">
        <v>2049</v>
      </c>
      <c r="BA7" s="5">
        <v>2050</v>
      </c>
      <c r="BB7" s="5">
        <v>2051</v>
      </c>
      <c r="BC7" s="5">
        <v>2052</v>
      </c>
      <c r="BD7" s="5">
        <v>2053</v>
      </c>
      <c r="BE7" s="5">
        <v>2054</v>
      </c>
      <c r="BF7" s="5">
        <v>2055</v>
      </c>
      <c r="BG7" s="5">
        <v>2056</v>
      </c>
      <c r="BH7" s="5" t="s">
        <v>475</v>
      </c>
      <c r="BI7" s="5" t="s">
        <v>476</v>
      </c>
      <c r="BJ7" s="5" t="s">
        <v>335</v>
      </c>
      <c r="BK7" s="5" t="s">
        <v>343</v>
      </c>
      <c r="BL7" s="5">
        <f t="shared" ref="BL7:CP7" si="5">AB7</f>
        <v>2025</v>
      </c>
      <c r="BM7" s="5">
        <f t="shared" si="5"/>
        <v>2026</v>
      </c>
      <c r="BN7" s="5">
        <f t="shared" si="5"/>
        <v>2027</v>
      </c>
      <c r="BO7" s="5">
        <f t="shared" si="5"/>
        <v>2028</v>
      </c>
      <c r="BP7" s="5">
        <f t="shared" si="5"/>
        <v>2029</v>
      </c>
      <c r="BQ7" s="5">
        <f t="shared" si="5"/>
        <v>2030</v>
      </c>
      <c r="BR7" s="5">
        <f t="shared" si="5"/>
        <v>2031</v>
      </c>
      <c r="BS7" s="5">
        <f t="shared" si="5"/>
        <v>2032</v>
      </c>
      <c r="BT7" s="5">
        <f t="shared" si="5"/>
        <v>2033</v>
      </c>
      <c r="BU7" s="5">
        <f t="shared" si="5"/>
        <v>2034</v>
      </c>
      <c r="BV7" s="5">
        <f t="shared" si="5"/>
        <v>2035</v>
      </c>
      <c r="BW7" s="5">
        <f t="shared" si="5"/>
        <v>2036</v>
      </c>
      <c r="BX7" s="5">
        <f t="shared" si="5"/>
        <v>2037</v>
      </c>
      <c r="BY7" s="5">
        <f t="shared" si="5"/>
        <v>2038</v>
      </c>
      <c r="BZ7" s="5">
        <f t="shared" si="5"/>
        <v>2039</v>
      </c>
      <c r="CA7" s="5">
        <f t="shared" si="5"/>
        <v>2040</v>
      </c>
      <c r="CB7" s="5">
        <f t="shared" si="5"/>
        <v>2041</v>
      </c>
      <c r="CC7" s="5">
        <f t="shared" si="5"/>
        <v>2042</v>
      </c>
      <c r="CD7" s="5">
        <f t="shared" si="5"/>
        <v>2043</v>
      </c>
      <c r="CE7" s="5">
        <f t="shared" si="5"/>
        <v>2044</v>
      </c>
      <c r="CF7" s="5">
        <f t="shared" si="5"/>
        <v>2045</v>
      </c>
      <c r="CG7" s="5">
        <f t="shared" si="5"/>
        <v>2046</v>
      </c>
      <c r="CH7" s="5">
        <f t="shared" si="5"/>
        <v>2047</v>
      </c>
      <c r="CI7" s="5">
        <f t="shared" si="5"/>
        <v>2048</v>
      </c>
      <c r="CJ7" s="5">
        <f t="shared" si="5"/>
        <v>2049</v>
      </c>
      <c r="CK7" s="5">
        <f t="shared" si="5"/>
        <v>2050</v>
      </c>
      <c r="CL7" s="5">
        <f t="shared" si="5"/>
        <v>2051</v>
      </c>
      <c r="CM7" s="5">
        <f t="shared" si="5"/>
        <v>2052</v>
      </c>
      <c r="CN7" s="5">
        <f t="shared" si="5"/>
        <v>2053</v>
      </c>
      <c r="CO7" s="5">
        <f t="shared" si="5"/>
        <v>2054</v>
      </c>
      <c r="CP7" s="5">
        <f t="shared" si="5"/>
        <v>2055</v>
      </c>
      <c r="CQ7" s="5">
        <f t="shared" ref="CQ7" si="6">BG7</f>
        <v>2056</v>
      </c>
      <c r="CR7" s="5" t="s">
        <v>284</v>
      </c>
      <c r="CS7" s="21"/>
      <c r="CT7" s="21"/>
      <c r="CU7" s="21"/>
      <c r="CV7" s="21"/>
      <c r="CW7" s="21"/>
      <c r="CX7" s="21"/>
      <c r="CY7" s="21"/>
      <c r="CZ7" s="21"/>
      <c r="DA7" s="21"/>
      <c r="DB7" s="21"/>
      <c r="DC7" s="21"/>
    </row>
    <row r="8" spans="1:133" x14ac:dyDescent="0.3">
      <c r="A8" s="104" t="s">
        <v>20</v>
      </c>
      <c r="B8" s="104" t="s">
        <v>181</v>
      </c>
      <c r="C8" s="104"/>
      <c r="D8" s="104" t="s">
        <v>20</v>
      </c>
      <c r="E8" s="104"/>
      <c r="F8" s="105">
        <v>3</v>
      </c>
      <c r="G8" s="105"/>
      <c r="H8" s="105"/>
      <c r="I8" s="105"/>
      <c r="J8" s="105">
        <f>F8</f>
        <v>3</v>
      </c>
      <c r="K8" s="105"/>
      <c r="L8" s="105"/>
      <c r="M8" s="105"/>
      <c r="N8" s="105"/>
      <c r="O8" s="104">
        <f>VLOOKUP($D8,'Land Price Phase Sc1&amp;2'!$B$4:$F$50,3,0)</f>
        <v>2026</v>
      </c>
      <c r="P8" s="104">
        <f>VLOOKUP($D8,'Land Price Phase Sc1&amp;2'!$B$4:$F$50,4,0)</f>
        <v>2030</v>
      </c>
      <c r="Q8" s="104">
        <f>VLOOKUP($D8,'Land Price Phase Sc1&amp;2'!$B$4:$F$50,5,0)</f>
        <v>2034</v>
      </c>
      <c r="R8" s="106">
        <f>SUM(AB8:BG8)</f>
        <v>0.99999999999999989</v>
      </c>
      <c r="S8" s="106"/>
      <c r="T8" s="107">
        <f>'Park spec inputs'!H$22</f>
        <v>0.2</v>
      </c>
      <c r="U8" s="107">
        <f>'Park spec inputs'!I$22</f>
        <v>0.3</v>
      </c>
      <c r="V8" s="107">
        <f>'Park spec inputs'!J$22</f>
        <v>0.5</v>
      </c>
      <c r="W8" s="107">
        <f t="shared" ref="W8:W53" si="7">VLOOKUP($B8,$B$317:$M$346,12,0)</f>
        <v>0.21355808788157429</v>
      </c>
      <c r="X8" s="107">
        <f t="shared" ref="X8:X21" si="8">VLOOKUP($B8,$B$317:$M$346,11,0)</f>
        <v>2.0614236497755116</v>
      </c>
      <c r="Y8" s="107">
        <f t="shared" ref="Y8:Y53" si="9">VLOOKUP($B8,$B$353:$V$381,21,0)</f>
        <v>1.679071231603749</v>
      </c>
      <c r="Z8" s="104">
        <v>2026</v>
      </c>
      <c r="AA8" s="108">
        <f>SUM(BL8:BU8)</f>
        <v>0.83444940700637815</v>
      </c>
      <c r="AB8" s="109"/>
      <c r="AC8" s="109"/>
      <c r="AD8" s="109"/>
      <c r="AE8" s="109"/>
      <c r="AF8" s="109"/>
      <c r="AG8" s="109"/>
      <c r="AH8" s="109"/>
      <c r="AI8" s="109"/>
      <c r="AJ8" s="109"/>
      <c r="AK8" s="109">
        <f>$T8/4</f>
        <v>0.05</v>
      </c>
      <c r="AL8" s="109">
        <f>$T8/4</f>
        <v>0.05</v>
      </c>
      <c r="AM8" s="109">
        <f>AL8</f>
        <v>0.05</v>
      </c>
      <c r="AN8" s="109">
        <f>AM8</f>
        <v>0.05</v>
      </c>
      <c r="AO8" s="109">
        <f>AN8</f>
        <v>0.05</v>
      </c>
      <c r="AP8" s="109">
        <v>0.05</v>
      </c>
      <c r="AQ8" s="109">
        <v>0.05</v>
      </c>
      <c r="AR8" s="109">
        <v>7.4999999999999997E-2</v>
      </c>
      <c r="AS8" s="109">
        <v>7.4999999999999997E-2</v>
      </c>
      <c r="AT8" s="109">
        <f>$V8/3</f>
        <v>0.16666666666666666</v>
      </c>
      <c r="AU8" s="109">
        <f>AT8</f>
        <v>0.16666666666666666</v>
      </c>
      <c r="AV8" s="109">
        <f>AU8</f>
        <v>0.16666666666666666</v>
      </c>
      <c r="AW8" s="104"/>
      <c r="AX8" s="104"/>
      <c r="AY8" s="104"/>
      <c r="AZ8" s="104"/>
      <c r="BA8" s="104"/>
      <c r="BB8" s="104"/>
      <c r="BC8" s="104"/>
      <c r="BD8" s="104"/>
      <c r="BE8" s="104"/>
      <c r="BF8" s="104"/>
      <c r="BG8" s="104"/>
      <c r="BH8" s="109">
        <f t="shared" ref="BH8:BH71" si="10">SUM(AB8:AK8)</f>
        <v>0.05</v>
      </c>
      <c r="BI8" s="109">
        <f t="shared" ref="BI8:BI71" si="11">SUM(AL8:BG8)</f>
        <v>0.95</v>
      </c>
      <c r="BJ8" s="109"/>
      <c r="BK8" s="104">
        <f t="shared" ref="BK8:BK9" si="12">SUMPRODUCT(F8:I8,$F$5:$I$5)</f>
        <v>12000</v>
      </c>
      <c r="BL8" s="108">
        <f>AB8*$BK8*VLOOKUP($D8,'Land Price Phase Sc1&amp;2'!$B$119:$AU$165,9+BL$7-$BL$7,0)/1000000</f>
        <v>0</v>
      </c>
      <c r="BM8" s="108">
        <f>AC8*$BK8*VLOOKUP($D8,'Land Price Phase Sc1&amp;2'!$B$119:$AU$165,9+BM$7-$BL$7,0)/1000000</f>
        <v>0</v>
      </c>
      <c r="BN8" s="108">
        <f>AD8*$BK8*VLOOKUP($D8,'Land Price Phase Sc1&amp;2'!$B$119:$AU$165,9+BN$7-$BL$7,0)/1000000</f>
        <v>0</v>
      </c>
      <c r="BO8" s="108">
        <f>AE8*$BK8*VLOOKUP($D8,'Land Price Phase Sc1&amp;2'!$B$119:$AU$165,9+BO$7-$BL$7,0)/1000000</f>
        <v>0</v>
      </c>
      <c r="BP8" s="108">
        <f>AF8*$BK8*VLOOKUP($D8,'Land Price Phase Sc1&amp;2'!$B$119:$AU$165,9+BP$7-$BL$7,0)/1000000</f>
        <v>0</v>
      </c>
      <c r="BQ8" s="108">
        <f>AG8*$BK8*VLOOKUP($D8,'Land Price Phase Sc1&amp;2'!$B$119:$AU$165,9+BQ$7-$BL$7,0)/1000000</f>
        <v>0</v>
      </c>
      <c r="BR8" s="108">
        <f>AH8*$BK8*VLOOKUP($D8,'Land Price Phase Sc1&amp;2'!$B$119:$AU$165,9+BR$7-$BL$7,0)/1000000</f>
        <v>0</v>
      </c>
      <c r="BS8" s="108">
        <f>AI8*$BK8*VLOOKUP($D8,'Land Price Phase Sc1&amp;2'!$B$119:$AU$165,9+BS$7-$BL$7,0)/1000000</f>
        <v>0</v>
      </c>
      <c r="BT8" s="108">
        <f>AJ8*$BK8*VLOOKUP($D8,'Land Price Phase Sc1&amp;2'!$B$119:$AU$165,9+BT$7-$BL$7,0)/1000000</f>
        <v>0</v>
      </c>
      <c r="BU8" s="108">
        <f>AK8*$BK8*VLOOKUP($D8,'Land Price Phase Sc1&amp;2'!$B$119:$AU$165,9+BU$7-$BL$7,0)/1000000</f>
        <v>0.83444940700637815</v>
      </c>
      <c r="BV8" s="108">
        <f>AL8*$BK8*VLOOKUP($D8,'Land Price Phase Sc1&amp;2'!$B$119:$AU$165,9+BV$7-$BL$7,0)/1000000</f>
        <v>0.89369531490383114</v>
      </c>
      <c r="BW8" s="108">
        <f>AM8*$BK8*VLOOKUP($D8,'Land Price Phase Sc1&amp;2'!$B$119:$AU$165,9+BW$7-$BL$7,0)/1000000</f>
        <v>0.95714768226200297</v>
      </c>
      <c r="BX8" s="108">
        <f>AN8*$BK8*VLOOKUP($D8,'Land Price Phase Sc1&amp;2'!$B$119:$AU$165,9+BX$7-$BL$7,0)/1000000</f>
        <v>1.0251051677026051</v>
      </c>
      <c r="BY8" s="108">
        <f>AO8*$BK8*VLOOKUP($D8,'Land Price Phase Sc1&amp;2'!$B$119:$AU$165,9+BY$7-$BL$7,0)/1000000</f>
        <v>1.0978876346094899</v>
      </c>
      <c r="BZ8" s="108">
        <f>AP8*$BK8*VLOOKUP($D8,'Land Price Phase Sc1&amp;2'!$B$119:$AU$165,9+BZ$7-$BL$7,0)/1000000</f>
        <v>1.1758376566667637</v>
      </c>
      <c r="CA8" s="108">
        <f>AQ8*$BK8*VLOOKUP($D8,'Land Price Phase Sc1&amp;2'!$B$119:$AU$165,9+CA$7-$BL$7,0)/1000000</f>
        <v>1.2593221302901039</v>
      </c>
      <c r="CB8" s="108">
        <f>AR8*$BK8*VLOOKUP($D8,'Land Price Phase Sc1&amp;2'!$B$119:$AU$165,9+CB$7-$BL$7,0)/1000000</f>
        <v>2.0231010023110514</v>
      </c>
      <c r="CC8" s="108">
        <f>AS8*$BK8*VLOOKUP($D8,'Land Price Phase Sc1&amp;2'!$B$119:$AU$165,9+CC$7-$BL$7,0)/1000000</f>
        <v>2.1667411734751365</v>
      </c>
      <c r="CD8" s="108">
        <f>AT8*$BK8*VLOOKUP($D8,'Land Price Phase Sc1&amp;2'!$B$119:$AU$165,9+CD$7-$BL$7,0)/1000000</f>
        <v>5.1568439928708241</v>
      </c>
      <c r="CE8" s="108">
        <f>AU8*$BK8*VLOOKUP($D8,'Land Price Phase Sc1&amp;2'!$B$119:$AU$165,9+CE$7-$BL$7,0)/1000000</f>
        <v>5.522979916364652</v>
      </c>
      <c r="CF8" s="108">
        <f>AV8*$BK8*VLOOKUP($D8,'Land Price Phase Sc1&amp;2'!$B$119:$AU$165,9+CF$7-$BL$7,0)/1000000</f>
        <v>5.9151114904265416</v>
      </c>
      <c r="CG8" s="108">
        <f>AW8*$BK8*VLOOKUP($D8,'Land Price Phase Sc1&amp;2'!$B$119:$AU$165,9+CG$7-$BL$7,0)/1000000</f>
        <v>0</v>
      </c>
      <c r="CH8" s="108">
        <f>AX8*$BK8*VLOOKUP($D8,'Land Price Phase Sc1&amp;2'!$B$119:$AU$165,9+CH$7-$BL$7,0)/1000000</f>
        <v>0</v>
      </c>
      <c r="CI8" s="108">
        <f>AY8*$BK8*VLOOKUP($D8,'Land Price Phase Sc1&amp;2'!$B$119:$AU$165,9+CI$7-$BL$7,0)/1000000</f>
        <v>0</v>
      </c>
      <c r="CJ8" s="108">
        <f>AZ8*$BK8*VLOOKUP($D8,'Land Price Phase Sc1&amp;2'!$B$119:$AU$165,9+CJ$7-$BL$7,0)/1000000</f>
        <v>0</v>
      </c>
      <c r="CK8" s="108">
        <f>BA8*$BK8*VLOOKUP($D8,'Land Price Phase Sc1&amp;2'!$B$119:$AU$165,9+CK$7-$BL$7,0)/1000000</f>
        <v>0</v>
      </c>
      <c r="CL8" s="108">
        <f>BB8*$BK8*VLOOKUP($D8,'Land Price Phase Sc1&amp;2'!$B$119:$AU$165,9+CL$7-$BL$7,0)/1000000</f>
        <v>0</v>
      </c>
      <c r="CM8" s="108">
        <f>BC8*$BK8*VLOOKUP($D8,'Land Price Phase Sc1&amp;2'!$B$119:$AU$165,9+CM$7-$BL$7,0)/1000000</f>
        <v>0</v>
      </c>
      <c r="CN8" s="108">
        <f>BD8*$BK8*VLOOKUP($D8,'Land Price Phase Sc1&amp;2'!$B$119:$AU$165,9+CN$7-$BL$7,0)/1000000</f>
        <v>0</v>
      </c>
      <c r="CO8" s="108">
        <f>BE8*$BK8*VLOOKUP($D8,'Land Price Phase Sc1&amp;2'!$B$119:$AU$165,9+CO$7-$BL$7,0)/1000000</f>
        <v>0</v>
      </c>
      <c r="CP8" s="108">
        <f>BF8*$BK8*VLOOKUP($D8,'Land Price Phase Sc1&amp;2'!$B$119:$AU$165,9+CP$7-$BL$7,0)/1000000</f>
        <v>0</v>
      </c>
      <c r="CQ8" s="108">
        <f>BG8*$BK8*VLOOKUP($D8,'Land Price Phase Sc1&amp;2'!$B$119:$AU$165,9+CQ$7-$BL$7,0)/1000000</f>
        <v>0</v>
      </c>
      <c r="CR8" s="108">
        <f t="shared" ref="CR8:CR35" si="13">SUM(BL8:CQ8)</f>
        <v>28.028222568889376</v>
      </c>
      <c r="CS8" s="19"/>
      <c r="CT8" s="19"/>
      <c r="CU8" s="19"/>
      <c r="CV8" s="19"/>
      <c r="CW8" s="18"/>
      <c r="CX8" s="18"/>
      <c r="CY8" s="18"/>
      <c r="CZ8" s="18"/>
      <c r="DA8" s="20"/>
      <c r="DB8" s="20"/>
      <c r="DC8" s="20"/>
      <c r="DK8" s="10"/>
      <c r="DL8" s="10"/>
      <c r="DM8" s="10"/>
      <c r="DN8" s="10"/>
      <c r="DO8" s="10"/>
      <c r="DP8" s="10"/>
      <c r="DQ8" s="10"/>
      <c r="DR8" s="10"/>
      <c r="DS8" s="10"/>
      <c r="DT8" s="10"/>
      <c r="EB8" s="84"/>
      <c r="EC8" s="84"/>
    </row>
    <row r="9" spans="1:133" x14ac:dyDescent="0.3">
      <c r="A9" s="104" t="s">
        <v>24</v>
      </c>
      <c r="B9" s="104" t="s">
        <v>181</v>
      </c>
      <c r="C9" s="104"/>
      <c r="D9" s="104" t="s">
        <v>96</v>
      </c>
      <c r="E9" s="104"/>
      <c r="F9" s="105">
        <v>1</v>
      </c>
      <c r="G9" s="105"/>
      <c r="H9" s="105"/>
      <c r="I9" s="105"/>
      <c r="J9" s="105">
        <f t="shared" ref="J9:K17" si="14">F9</f>
        <v>1</v>
      </c>
      <c r="K9" s="105"/>
      <c r="L9" s="105"/>
      <c r="M9" s="105"/>
      <c r="N9" s="105"/>
      <c r="O9" s="104">
        <f>VLOOKUP($D9,'Land Price Phase Sc1&amp;2'!$B$4:$F$50,3,0)</f>
        <v>2021</v>
      </c>
      <c r="P9" s="104">
        <f>VLOOKUP($D9,'Land Price Phase Sc1&amp;2'!$B$4:$F$50,4,0)</f>
        <v>2025</v>
      </c>
      <c r="Q9" s="104">
        <f>VLOOKUP($D9,'Land Price Phase Sc1&amp;2'!$B$4:$F$50,5,0)</f>
        <v>2029</v>
      </c>
      <c r="R9" s="106">
        <f>SUM(AB9:BG9)</f>
        <v>1</v>
      </c>
      <c r="S9" s="106"/>
      <c r="T9" s="107"/>
      <c r="U9" s="107">
        <f>'Park spec inputs'!L$22</f>
        <v>0.37499999999999994</v>
      </c>
      <c r="V9" s="106">
        <f>'Park spec inputs'!M$22</f>
        <v>0.625</v>
      </c>
      <c r="W9" s="107">
        <f t="shared" si="7"/>
        <v>0.21355808788157429</v>
      </c>
      <c r="X9" s="107">
        <f t="shared" si="8"/>
        <v>2.0614236497755116</v>
      </c>
      <c r="Y9" s="107">
        <f t="shared" si="9"/>
        <v>1.679071231603749</v>
      </c>
      <c r="Z9" s="104">
        <v>2025</v>
      </c>
      <c r="AA9" s="108">
        <f>SUM(BL9:BU9)</f>
        <v>0.83444940700637804</v>
      </c>
      <c r="AB9" s="109"/>
      <c r="AC9" s="109"/>
      <c r="AD9" s="109"/>
      <c r="AE9" s="109"/>
      <c r="AF9" s="109"/>
      <c r="AG9" s="109"/>
      <c r="AH9" s="109"/>
      <c r="AI9" s="109"/>
      <c r="AJ9" s="109"/>
      <c r="AK9" s="109">
        <f>$U9/4</f>
        <v>9.3749999999999986E-2</v>
      </c>
      <c r="AL9" s="109">
        <f>AK9</f>
        <v>9.3749999999999986E-2</v>
      </c>
      <c r="AM9" s="109">
        <f>AL9</f>
        <v>9.3749999999999986E-2</v>
      </c>
      <c r="AN9" s="109">
        <f>AM9</f>
        <v>9.3749999999999986E-2</v>
      </c>
      <c r="AO9" s="109">
        <f>$V9/3</f>
        <v>0.20833333333333334</v>
      </c>
      <c r="AP9" s="109">
        <f>AO9</f>
        <v>0.20833333333333334</v>
      </c>
      <c r="AQ9" s="109">
        <f>AP9</f>
        <v>0.20833333333333334</v>
      </c>
      <c r="AR9" s="109"/>
      <c r="AS9" s="109"/>
      <c r="AT9" s="109"/>
      <c r="AU9" s="109"/>
      <c r="AV9" s="104"/>
      <c r="AW9" s="104"/>
      <c r="AX9" s="104"/>
      <c r="AY9" s="104"/>
      <c r="AZ9" s="104"/>
      <c r="BA9" s="104"/>
      <c r="BB9" s="104"/>
      <c r="BC9" s="104"/>
      <c r="BD9" s="104"/>
      <c r="BE9" s="104"/>
      <c r="BF9" s="104"/>
      <c r="BG9" s="104"/>
      <c r="BH9" s="109">
        <f t="shared" si="10"/>
        <v>9.3749999999999986E-2</v>
      </c>
      <c r="BI9" s="109">
        <f t="shared" si="11"/>
        <v>0.90625</v>
      </c>
      <c r="BJ9" s="109"/>
      <c r="BK9" s="104">
        <f t="shared" si="12"/>
        <v>4000</v>
      </c>
      <c r="BL9" s="108">
        <f>AB9*$BK9*VLOOKUP($D9,'Land Price Phase Sc1&amp;2'!$B$119:$AU$165,9+BL$7-$BL$7,0)/1000000</f>
        <v>0</v>
      </c>
      <c r="BM9" s="108">
        <f>AC9*$BK9*VLOOKUP($D9,'Land Price Phase Sc1&amp;2'!$B$119:$AU$165,9+BM$7-$BL$7,0)/1000000</f>
        <v>0</v>
      </c>
      <c r="BN9" s="108">
        <f>AD9*$BK9*VLOOKUP($D9,'Land Price Phase Sc1&amp;2'!$B$119:$AU$165,9+BN$7-$BL$7,0)/1000000</f>
        <v>0</v>
      </c>
      <c r="BO9" s="108">
        <f>AE9*$BK9*VLOOKUP($D9,'Land Price Phase Sc1&amp;2'!$B$119:$AU$165,9+BO$7-$BL$7,0)/1000000</f>
        <v>0</v>
      </c>
      <c r="BP9" s="108">
        <f>AF9*$BK9*VLOOKUP($D9,'Land Price Phase Sc1&amp;2'!$B$119:$AU$165,9+BP$7-$BL$7,0)/1000000</f>
        <v>0</v>
      </c>
      <c r="BQ9" s="108">
        <f>AG9*$BK9*VLOOKUP($D9,'Land Price Phase Sc1&amp;2'!$B$119:$AU$165,9+BQ$7-$BL$7,0)/1000000</f>
        <v>0</v>
      </c>
      <c r="BR9" s="108">
        <f>AH9*$BK9*VLOOKUP($D9,'Land Price Phase Sc1&amp;2'!$B$119:$AU$165,9+BR$7-$BL$7,0)/1000000</f>
        <v>0</v>
      </c>
      <c r="BS9" s="108">
        <f>AI9*$BK9*VLOOKUP($D9,'Land Price Phase Sc1&amp;2'!$B$119:$AU$165,9+BS$7-$BL$7,0)/1000000</f>
        <v>0</v>
      </c>
      <c r="BT9" s="108">
        <f>AJ9*$BK9*VLOOKUP($D9,'Land Price Phase Sc1&amp;2'!$B$119:$AU$165,9+BT$7-$BL$7,0)/1000000</f>
        <v>0</v>
      </c>
      <c r="BU9" s="108">
        <f>AK9*$BK9*VLOOKUP($D9,'Land Price Phase Sc1&amp;2'!$B$119:$AU$165,9+BU$7-$BL$7,0)/1000000</f>
        <v>0.83444940700637804</v>
      </c>
      <c r="BV9" s="108">
        <f>AL9*$BK9*VLOOKUP($D9,'Land Price Phase Sc1&amp;2'!$B$119:$AU$165,9+BV$7-$BL$7,0)/1000000</f>
        <v>0.89369531490383092</v>
      </c>
      <c r="BW9" s="108">
        <f>AM9*$BK9*VLOOKUP($D9,'Land Price Phase Sc1&amp;2'!$B$119:$AU$165,9+BW$7-$BL$7,0)/1000000</f>
        <v>0.95714768226200286</v>
      </c>
      <c r="BX9" s="108">
        <f>AN9*$BK9*VLOOKUP($D9,'Land Price Phase Sc1&amp;2'!$B$119:$AU$165,9+BX$7-$BL$7,0)/1000000</f>
        <v>1.0251051677026048</v>
      </c>
      <c r="BY9" s="108">
        <f>AO9*$BK9*VLOOKUP($D9,'Land Price Phase Sc1&amp;2'!$B$119:$AU$165,9+BY$7-$BL$7,0)/1000000</f>
        <v>2.4397502991322004</v>
      </c>
      <c r="BZ9" s="108">
        <f>AP9*$BK9*VLOOKUP($D9,'Land Price Phase Sc1&amp;2'!$B$119:$AU$165,9+BZ$7-$BL$7,0)/1000000</f>
        <v>2.6129725703705859</v>
      </c>
      <c r="CA9" s="108">
        <f>AQ9*$BK9*VLOOKUP($D9,'Land Price Phase Sc1&amp;2'!$B$119:$AU$165,9+CA$7-$BL$7,0)/1000000</f>
        <v>2.7984936228668973</v>
      </c>
      <c r="CB9" s="108">
        <f>AR9*$BK9*VLOOKUP($D9,'Land Price Phase Sc1&amp;2'!$B$119:$AU$165,9+CB$7-$BL$7,0)/1000000</f>
        <v>0</v>
      </c>
      <c r="CC9" s="108">
        <f>AS9*$BK9*VLOOKUP($D9,'Land Price Phase Sc1&amp;2'!$B$119:$AU$165,9+CC$7-$BL$7,0)/1000000</f>
        <v>0</v>
      </c>
      <c r="CD9" s="108">
        <f>AT9*$BK9*VLOOKUP($D9,'Land Price Phase Sc1&amp;2'!$B$119:$AU$165,9+CD$7-$BL$7,0)/1000000</f>
        <v>0</v>
      </c>
      <c r="CE9" s="108">
        <f>AU9*$BK9*VLOOKUP($D9,'Land Price Phase Sc1&amp;2'!$B$119:$AU$165,9+CE$7-$BL$7,0)/1000000</f>
        <v>0</v>
      </c>
      <c r="CF9" s="108">
        <f>AV9*$BK9*VLOOKUP($D9,'Land Price Phase Sc1&amp;2'!$B$119:$AU$165,9+CF$7-$BL$7,0)/1000000</f>
        <v>0</v>
      </c>
      <c r="CG9" s="108">
        <f>AW9*$BK9*VLOOKUP($D9,'Land Price Phase Sc1&amp;2'!$B$119:$AU$165,9+CG$7-$BL$7,0)/1000000</f>
        <v>0</v>
      </c>
      <c r="CH9" s="108">
        <f>AX9*$BK9*VLOOKUP($D9,'Land Price Phase Sc1&amp;2'!$B$119:$AU$165,9+CH$7-$BL$7,0)/1000000</f>
        <v>0</v>
      </c>
      <c r="CI9" s="108">
        <f>AY9*$BK9*VLOOKUP($D9,'Land Price Phase Sc1&amp;2'!$B$119:$AU$165,9+CI$7-$BL$7,0)/1000000</f>
        <v>0</v>
      </c>
      <c r="CJ9" s="108">
        <f>AZ9*$BK9*VLOOKUP($D9,'Land Price Phase Sc1&amp;2'!$B$119:$AU$165,9+CJ$7-$BL$7,0)/1000000</f>
        <v>0</v>
      </c>
      <c r="CK9" s="108">
        <f>BA9*$BK9*VLOOKUP($D9,'Land Price Phase Sc1&amp;2'!$B$119:$AU$165,9+CK$7-$BL$7,0)/1000000</f>
        <v>0</v>
      </c>
      <c r="CL9" s="108">
        <f>BB9*$BK9*VLOOKUP($D9,'Land Price Phase Sc1&amp;2'!$B$119:$AU$165,9+CL$7-$BL$7,0)/1000000</f>
        <v>0</v>
      </c>
      <c r="CM9" s="108">
        <f>BC9*$BK9*VLOOKUP($D9,'Land Price Phase Sc1&amp;2'!$B$119:$AU$165,9+CM$7-$BL$7,0)/1000000</f>
        <v>0</v>
      </c>
      <c r="CN9" s="108">
        <f>BD9*$BK9*VLOOKUP($D9,'Land Price Phase Sc1&amp;2'!$B$119:$AU$165,9+CN$7-$BL$7,0)/1000000</f>
        <v>0</v>
      </c>
      <c r="CO9" s="108">
        <f>BE9*$BK9*VLOOKUP($D9,'Land Price Phase Sc1&amp;2'!$B$119:$AU$165,9+CO$7-$BL$7,0)/1000000</f>
        <v>0</v>
      </c>
      <c r="CP9" s="108">
        <f>BF9*$BK9*VLOOKUP($D9,'Land Price Phase Sc1&amp;2'!$B$119:$AU$165,9+CP$7-$BL$7,0)/1000000</f>
        <v>0</v>
      </c>
      <c r="CQ9" s="108">
        <f>BG9*$BK9*VLOOKUP($D9,'Land Price Phase Sc1&amp;2'!$B$119:$AU$165,9+CQ$7-$BL$7,0)/1000000</f>
        <v>0</v>
      </c>
      <c r="CR9" s="108">
        <f t="shared" si="13"/>
        <v>11.561614064244498</v>
      </c>
      <c r="CS9" s="19"/>
      <c r="CT9" s="19"/>
      <c r="CU9" s="19"/>
      <c r="CV9" s="19"/>
      <c r="CW9" s="18"/>
      <c r="CX9" s="18"/>
      <c r="CY9" s="18"/>
      <c r="CZ9" s="18"/>
      <c r="DA9" s="20"/>
      <c r="DB9" s="20"/>
      <c r="DC9" s="20"/>
      <c r="DK9" s="10"/>
      <c r="DL9" s="10"/>
      <c r="DM9" s="10"/>
      <c r="DN9" s="10"/>
      <c r="DO9" s="10"/>
      <c r="DP9" s="10"/>
      <c r="DQ9" s="10"/>
      <c r="DR9" s="10"/>
      <c r="DS9" s="10"/>
      <c r="DT9" s="10"/>
      <c r="EB9" s="84"/>
      <c r="EC9" s="84"/>
    </row>
    <row r="10" spans="1:133" x14ac:dyDescent="0.3">
      <c r="A10" s="104" t="s">
        <v>22</v>
      </c>
      <c r="B10" s="104" t="s">
        <v>22</v>
      </c>
      <c r="C10" s="104" t="s">
        <v>362</v>
      </c>
      <c r="D10" s="104" t="s">
        <v>228</v>
      </c>
      <c r="E10" s="104" t="s">
        <v>251</v>
      </c>
      <c r="F10" s="105">
        <v>1</v>
      </c>
      <c r="G10" s="105"/>
      <c r="H10" s="105"/>
      <c r="I10" s="105"/>
      <c r="J10" s="105">
        <f t="shared" si="14"/>
        <v>1</v>
      </c>
      <c r="K10" s="105"/>
      <c r="L10" s="105"/>
      <c r="M10" s="105"/>
      <c r="N10" s="105"/>
      <c r="O10" s="104">
        <v>2022</v>
      </c>
      <c r="P10" s="104">
        <v>2026</v>
      </c>
      <c r="Q10" s="104">
        <f>P10+4</f>
        <v>2030</v>
      </c>
      <c r="R10" s="106">
        <f t="shared" ref="R10:R18" si="15">SUM(AB10:BG10)</f>
        <v>1</v>
      </c>
      <c r="S10" s="106"/>
      <c r="T10" s="106"/>
      <c r="U10" s="107">
        <f>'Park spec inputs'!L$22</f>
        <v>0.37499999999999994</v>
      </c>
      <c r="V10" s="106">
        <f>'Park spec inputs'!M$22</f>
        <v>0.625</v>
      </c>
      <c r="W10" s="107">
        <f t="shared" si="7"/>
        <v>0.711860292938581</v>
      </c>
      <c r="X10" s="107">
        <f t="shared" si="8"/>
        <v>4.7381243299543616</v>
      </c>
      <c r="Y10" s="107">
        <f t="shared" si="9"/>
        <v>4.6524672891379275</v>
      </c>
      <c r="Z10" s="104">
        <v>2026</v>
      </c>
      <c r="AA10" s="108">
        <f t="shared" ref="AA10:AA69" si="16">SUM(BL10:BU10)</f>
        <v>2.9215121168733904</v>
      </c>
      <c r="AB10" s="110"/>
      <c r="AC10" s="111"/>
      <c r="AD10" s="111"/>
      <c r="AE10" s="111"/>
      <c r="AF10" s="111"/>
      <c r="AG10" s="111">
        <f>$U10/4</f>
        <v>9.3749999999999986E-2</v>
      </c>
      <c r="AH10" s="111">
        <f>AG10</f>
        <v>9.3749999999999986E-2</v>
      </c>
      <c r="AI10" s="111">
        <f t="shared" ref="AI10" si="17">AH10</f>
        <v>9.3749999999999986E-2</v>
      </c>
      <c r="AJ10" s="111">
        <f t="shared" ref="AJ10" si="18">AI10</f>
        <v>9.3749999999999986E-2</v>
      </c>
      <c r="AK10" s="111">
        <f>$V10/3</f>
        <v>0.20833333333333334</v>
      </c>
      <c r="AL10" s="111">
        <f>AK10</f>
        <v>0.20833333333333334</v>
      </c>
      <c r="AM10" s="111">
        <f>AL10</f>
        <v>0.20833333333333334</v>
      </c>
      <c r="AN10" s="111"/>
      <c r="AO10" s="111"/>
      <c r="AP10" s="111"/>
      <c r="AQ10" s="111"/>
      <c r="AR10" s="111"/>
      <c r="AS10" s="111"/>
      <c r="AT10" s="111"/>
      <c r="AU10" s="111"/>
      <c r="AV10" s="111"/>
      <c r="AW10" s="111"/>
      <c r="AX10" s="111"/>
      <c r="AY10" s="111"/>
      <c r="AZ10" s="111"/>
      <c r="BA10" s="111"/>
      <c r="BB10" s="111"/>
      <c r="BC10" s="104"/>
      <c r="BD10" s="104"/>
      <c r="BE10" s="104"/>
      <c r="BF10" s="104"/>
      <c r="BG10" s="104"/>
      <c r="BH10" s="109">
        <f t="shared" si="10"/>
        <v>0.58333333333333326</v>
      </c>
      <c r="BI10" s="109">
        <f t="shared" si="11"/>
        <v>0.41666666666666669</v>
      </c>
      <c r="BJ10" s="109"/>
      <c r="BK10" s="104">
        <f t="shared" ref="BK10:BK18" si="19">SUMPRODUCT(F10:I10,$F$5:$I$5)</f>
        <v>4000</v>
      </c>
      <c r="BL10" s="108">
        <f>AB10*$BK10*VLOOKUP($D10,'Land Price Phase Sc1&amp;2'!$B$119:$AU$165,9+BL$7-$BL$7,0)/1000000</f>
        <v>0</v>
      </c>
      <c r="BM10" s="108">
        <f>AC10*$BK10*VLOOKUP($D10,'Land Price Phase Sc1&amp;2'!$B$119:$AU$165,9+BM$7-$BL$7,0)/1000000</f>
        <v>0</v>
      </c>
      <c r="BN10" s="108">
        <f>AD10*$BK10*VLOOKUP($D10,'Land Price Phase Sc1&amp;2'!$B$119:$AU$165,9+BN$7-$BL$7,0)/1000000</f>
        <v>0</v>
      </c>
      <c r="BO10" s="108">
        <f>AE10*$BK10*VLOOKUP($D10,'Land Price Phase Sc1&amp;2'!$B$119:$AU$165,9+BO$7-$BL$7,0)/1000000</f>
        <v>0</v>
      </c>
      <c r="BP10" s="108">
        <f>AF10*$BK10*VLOOKUP($D10,'Land Price Phase Sc1&amp;2'!$B$119:$AU$165,9+BP$7-$BL$7,0)/1000000</f>
        <v>0</v>
      </c>
      <c r="BQ10" s="108">
        <f>AG10*$BK10*VLOOKUP($D10,'Land Price Phase Sc1&amp;2'!$B$119:$AU$165,9+BQ$7-$BL$7,0)/1000000</f>
        <v>0.39638950227188235</v>
      </c>
      <c r="BR10" s="108">
        <f>AH10*$BK10*VLOOKUP($D10,'Land Price Phase Sc1&amp;2'!$B$119:$AU$165,9+BR$7-$BL$7,0)/1000000</f>
        <v>0.42453315693318605</v>
      </c>
      <c r="BS10" s="108">
        <f>AI10*$BK10*VLOOKUP($D10,'Land Price Phase Sc1&amp;2'!$B$119:$AU$165,9+BS$7-$BL$7,0)/1000000</f>
        <v>0.45467501107544223</v>
      </c>
      <c r="BT10" s="108">
        <f>AJ10*$BK10*VLOOKUP($D10,'Land Price Phase Sc1&amp;2'!$B$119:$AU$165,9+BT$7-$BL$7,0)/1000000</f>
        <v>0.48695693686179869</v>
      </c>
      <c r="BU10" s="108">
        <f>AK10*$BK10*VLOOKUP($D10,'Land Price Phase Sc1&amp;2'!$B$119:$AU$165,9+BU$7-$BL$7,0)/1000000</f>
        <v>1.1589575097310809</v>
      </c>
      <c r="BV10" s="108">
        <f>AL10*$BK10*VLOOKUP($D10,'Land Price Phase Sc1&amp;2'!$B$119:$AU$165,9+BV$7-$BL$7,0)/1000000</f>
        <v>1.2412434929219875</v>
      </c>
      <c r="BW10" s="108">
        <f>AM10*$BK10*VLOOKUP($D10,'Land Price Phase Sc1&amp;2'!$B$119:$AU$165,9+BW$7-$BL$7,0)/1000000</f>
        <v>1.3293717809194487</v>
      </c>
      <c r="BX10" s="108">
        <f>AN10*$BK10*VLOOKUP($D10,'Land Price Phase Sc1&amp;2'!$B$119:$AU$165,9+BX$7-$BL$7,0)/1000000</f>
        <v>0</v>
      </c>
      <c r="BY10" s="108">
        <f>AO10*$BK10*VLOOKUP($D10,'Land Price Phase Sc1&amp;2'!$B$119:$AU$165,9+BY$7-$BL$7,0)/1000000</f>
        <v>0</v>
      </c>
      <c r="BZ10" s="108">
        <f>AP10*$BK10*VLOOKUP($D10,'Land Price Phase Sc1&amp;2'!$B$119:$AU$165,9+BZ$7-$BL$7,0)/1000000</f>
        <v>0</v>
      </c>
      <c r="CA10" s="108">
        <f>AQ10*$BK10*VLOOKUP($D10,'Land Price Phase Sc1&amp;2'!$B$119:$AU$165,9+CA$7-$BL$7,0)/1000000</f>
        <v>0</v>
      </c>
      <c r="CB10" s="108">
        <f>AR10*$BK10*VLOOKUP($D10,'Land Price Phase Sc1&amp;2'!$B$119:$AU$165,9+CB$7-$BL$7,0)/1000000</f>
        <v>0</v>
      </c>
      <c r="CC10" s="108">
        <f>AS10*$BK10*VLOOKUP($D10,'Land Price Phase Sc1&amp;2'!$B$119:$AU$165,9+CC$7-$BL$7,0)/1000000</f>
        <v>0</v>
      </c>
      <c r="CD10" s="108">
        <f>AT10*$BK10*VLOOKUP($D10,'Land Price Phase Sc1&amp;2'!$B$119:$AU$165,9+CD$7-$BL$7,0)/1000000</f>
        <v>0</v>
      </c>
      <c r="CE10" s="108">
        <f>AU10*$BK10*VLOOKUP($D10,'Land Price Phase Sc1&amp;2'!$B$119:$AU$165,9+CE$7-$BL$7,0)/1000000</f>
        <v>0</v>
      </c>
      <c r="CF10" s="108">
        <f>AV10*$BK10*VLOOKUP($D10,'Land Price Phase Sc1&amp;2'!$B$119:$AU$165,9+CF$7-$BL$7,0)/1000000</f>
        <v>0</v>
      </c>
      <c r="CG10" s="108">
        <f>AW10*$BK10*VLOOKUP($D10,'Land Price Phase Sc1&amp;2'!$B$119:$AU$165,9+CG$7-$BL$7,0)/1000000</f>
        <v>0</v>
      </c>
      <c r="CH10" s="108">
        <f>AX10*$BK10*VLOOKUP($D10,'Land Price Phase Sc1&amp;2'!$B$119:$AU$165,9+CH$7-$BL$7,0)/1000000</f>
        <v>0</v>
      </c>
      <c r="CI10" s="108">
        <f>AY10*$BK10*VLOOKUP($D10,'Land Price Phase Sc1&amp;2'!$B$119:$AU$165,9+CI$7-$BL$7,0)/1000000</f>
        <v>0</v>
      </c>
      <c r="CJ10" s="108">
        <f>AZ10*$BK10*VLOOKUP($D10,'Land Price Phase Sc1&amp;2'!$B$119:$AU$165,9+CJ$7-$BL$7,0)/1000000</f>
        <v>0</v>
      </c>
      <c r="CK10" s="108">
        <f>BA10*$BK10*VLOOKUP($D10,'Land Price Phase Sc1&amp;2'!$B$119:$AU$165,9+CK$7-$BL$7,0)/1000000</f>
        <v>0</v>
      </c>
      <c r="CL10" s="108">
        <f>BB10*$BK10*VLOOKUP($D10,'Land Price Phase Sc1&amp;2'!$B$119:$AU$165,9+CL$7-$BL$7,0)/1000000</f>
        <v>0</v>
      </c>
      <c r="CM10" s="108">
        <f>BC10*$BK10*VLOOKUP($D10,'Land Price Phase Sc1&amp;2'!$B$119:$AU$165,9+CM$7-$BL$7,0)/1000000</f>
        <v>0</v>
      </c>
      <c r="CN10" s="108">
        <f>BD10*$BK10*VLOOKUP($D10,'Land Price Phase Sc1&amp;2'!$B$119:$AU$165,9+CN$7-$BL$7,0)/1000000</f>
        <v>0</v>
      </c>
      <c r="CO10" s="108">
        <f>BE10*$BK10*VLOOKUP($D10,'Land Price Phase Sc1&amp;2'!$B$119:$AU$165,9+CO$7-$BL$7,0)/1000000</f>
        <v>0</v>
      </c>
      <c r="CP10" s="108">
        <f>BF10*$BK10*VLOOKUP($D10,'Land Price Phase Sc1&amp;2'!$B$119:$AU$165,9+CP$7-$BL$7,0)/1000000</f>
        <v>0</v>
      </c>
      <c r="CQ10" s="108">
        <f>BG10*$BK10*VLOOKUP($D10,'Land Price Phase Sc1&amp;2'!$B$119:$AU$165,9+CQ$7-$BL$7,0)/1000000</f>
        <v>0</v>
      </c>
      <c r="CR10" s="108">
        <f t="shared" si="13"/>
        <v>5.4921273907148258</v>
      </c>
      <c r="CS10" s="19"/>
      <c r="CT10" s="19"/>
      <c r="CU10" s="19"/>
      <c r="CV10" s="19"/>
      <c r="CW10" s="18"/>
      <c r="CX10" s="18"/>
      <c r="CY10" s="18"/>
      <c r="CZ10" s="18"/>
      <c r="DA10" s="20"/>
      <c r="DB10" s="20"/>
      <c r="DC10" s="20"/>
      <c r="DK10" s="10"/>
      <c r="DL10" s="10"/>
      <c r="DM10" s="10"/>
      <c r="DN10" s="10"/>
      <c r="DO10" s="10"/>
      <c r="DP10" s="10"/>
      <c r="DQ10" s="10"/>
      <c r="DR10" s="10"/>
      <c r="DS10" s="10"/>
      <c r="DT10" s="10"/>
      <c r="EB10" s="84"/>
      <c r="EC10" s="84"/>
    </row>
    <row r="11" spans="1:133" x14ac:dyDescent="0.3">
      <c r="A11" s="104" t="s">
        <v>22</v>
      </c>
      <c r="B11" s="104" t="s">
        <v>22</v>
      </c>
      <c r="C11" s="104" t="s">
        <v>362</v>
      </c>
      <c r="D11" s="104" t="s">
        <v>229</v>
      </c>
      <c r="E11" s="104" t="str">
        <f>E10</f>
        <v>phased by sat inspection</v>
      </c>
      <c r="F11" s="105">
        <v>1</v>
      </c>
      <c r="G11" s="105"/>
      <c r="H11" s="105"/>
      <c r="I11" s="105"/>
      <c r="J11" s="105">
        <f t="shared" si="14"/>
        <v>1</v>
      </c>
      <c r="K11" s="105"/>
      <c r="L11" s="105"/>
      <c r="M11" s="105"/>
      <c r="N11" s="105"/>
      <c r="O11" s="104">
        <f>O10+1</f>
        <v>2023</v>
      </c>
      <c r="P11" s="104">
        <f t="shared" ref="P11:Q11" si="20">P10+1</f>
        <v>2027</v>
      </c>
      <c r="Q11" s="104">
        <f t="shared" si="20"/>
        <v>2031</v>
      </c>
      <c r="R11" s="106">
        <f>SUM(AB11:BG11)</f>
        <v>0.99999999999999989</v>
      </c>
      <c r="S11" s="106"/>
      <c r="T11" s="107">
        <f>'Park spec inputs'!H$22</f>
        <v>0.2</v>
      </c>
      <c r="U11" s="107">
        <f>'Park spec inputs'!I$22</f>
        <v>0.3</v>
      </c>
      <c r="V11" s="107">
        <f>'Park spec inputs'!J$22</f>
        <v>0.5</v>
      </c>
      <c r="W11" s="107">
        <f t="shared" si="7"/>
        <v>0.711860292938581</v>
      </c>
      <c r="X11" s="107">
        <f t="shared" si="8"/>
        <v>4.7381243299543616</v>
      </c>
      <c r="Y11" s="107">
        <f t="shared" si="9"/>
        <v>4.6524672891379275</v>
      </c>
      <c r="Z11" s="104">
        <v>2025</v>
      </c>
      <c r="AA11" s="108">
        <f t="shared" si="16"/>
        <v>1.3362350810290393</v>
      </c>
      <c r="AB11" s="111"/>
      <c r="AC11" s="111"/>
      <c r="AD11" s="111"/>
      <c r="AE11" s="111"/>
      <c r="AF11" s="111">
        <f>$T11/4</f>
        <v>0.05</v>
      </c>
      <c r="AG11" s="111">
        <f>AF11</f>
        <v>0.05</v>
      </c>
      <c r="AH11" s="111">
        <f>AG11</f>
        <v>0.05</v>
      </c>
      <c r="AI11" s="111">
        <f>AF11</f>
        <v>0.05</v>
      </c>
      <c r="AJ11" s="111">
        <f>$U11/4</f>
        <v>7.4999999999999997E-2</v>
      </c>
      <c r="AK11" s="111">
        <f>AJ11</f>
        <v>7.4999999999999997E-2</v>
      </c>
      <c r="AL11" s="111">
        <f>AK11</f>
        <v>7.4999999999999997E-2</v>
      </c>
      <c r="AM11" s="111">
        <f>AL11</f>
        <v>7.4999999999999997E-2</v>
      </c>
      <c r="AN11" s="111">
        <f>$V11/3</f>
        <v>0.16666666666666666</v>
      </c>
      <c r="AO11" s="111">
        <f>AN11</f>
        <v>0.16666666666666666</v>
      </c>
      <c r="AP11" s="111">
        <f>AO11</f>
        <v>0.16666666666666666</v>
      </c>
      <c r="AQ11" s="111"/>
      <c r="AR11" s="111"/>
      <c r="AS11" s="111"/>
      <c r="AT11" s="111"/>
      <c r="AU11" s="111"/>
      <c r="AV11" s="111"/>
      <c r="AW11" s="111"/>
      <c r="AX11" s="111"/>
      <c r="AY11" s="111"/>
      <c r="AZ11" s="111"/>
      <c r="BA11" s="111"/>
      <c r="BB11" s="111"/>
      <c r="BC11" s="104"/>
      <c r="BD11" s="104"/>
      <c r="BE11" s="104"/>
      <c r="BF11" s="104"/>
      <c r="BG11" s="104"/>
      <c r="BH11" s="109">
        <f t="shared" si="10"/>
        <v>0.35000000000000003</v>
      </c>
      <c r="BI11" s="109">
        <f t="shared" si="11"/>
        <v>0.64999999999999991</v>
      </c>
      <c r="BJ11" s="109"/>
      <c r="BK11" s="104">
        <f t="shared" si="19"/>
        <v>4000</v>
      </c>
      <c r="BL11" s="108">
        <f>AB11*$BK11*VLOOKUP($D11,'Land Price Phase Sc1&amp;2'!$B$119:$AU$165,9+BL$7-$BL$7,0)/1000000</f>
        <v>0</v>
      </c>
      <c r="BM11" s="108">
        <f>AC11*$BK11*VLOOKUP($D11,'Land Price Phase Sc1&amp;2'!$B$119:$AU$165,9+BM$7-$BL$7,0)/1000000</f>
        <v>0</v>
      </c>
      <c r="BN11" s="108">
        <f>AD11*$BK11*VLOOKUP($D11,'Land Price Phase Sc1&amp;2'!$B$119:$AU$165,9+BN$7-$BL$7,0)/1000000</f>
        <v>0</v>
      </c>
      <c r="BO11" s="108">
        <f>AE11*$BK11*VLOOKUP($D11,'Land Price Phase Sc1&amp;2'!$B$119:$AU$165,9+BO$7-$BL$7,0)/1000000</f>
        <v>0</v>
      </c>
      <c r="BP11" s="108">
        <f>AF11*$BK11*VLOOKUP($D11,'Land Price Phase Sc1&amp;2'!$B$119:$AU$165,9+BP$7-$BL$7,0)/1000000</f>
        <v>6.0533805098476078E-2</v>
      </c>
      <c r="BQ11" s="108">
        <f>AE11*$BK11*VLOOKUP($D11,'Land Price Phase Sc1&amp;2'!$B$119:$AU$165,9+BQ$7-$BL$7,0)/1000000</f>
        <v>0</v>
      </c>
      <c r="BR11" s="108">
        <f>AH11*$BK11*VLOOKUP($D11,'Land Price Phase Sc1&amp;2'!$B$119:$AU$165,9+BR$7-$BL$7,0)/1000000</f>
        <v>0.22641768369769924</v>
      </c>
      <c r="BS11" s="108">
        <f>AI11*$BK11*VLOOKUP($D11,'Land Price Phase Sc1&amp;2'!$B$119:$AU$165,9+BS$7-$BL$7,0)/1000000</f>
        <v>0.24249333924023589</v>
      </c>
      <c r="BT11" s="108">
        <f>AJ11*$BK11*VLOOKUP($D11,'Land Price Phase Sc1&amp;2'!$B$119:$AU$165,9+BT$7-$BL$7,0)/1000000</f>
        <v>0.389565549489439</v>
      </c>
      <c r="BU11" s="108">
        <f>AK11*$BK11*VLOOKUP($D11,'Land Price Phase Sc1&amp;2'!$B$119:$AU$165,9+BU$7-$BL$7,0)/1000000</f>
        <v>0.41722470350318908</v>
      </c>
      <c r="BV11" s="108">
        <f>AL11*$BK11*VLOOKUP($D11,'Land Price Phase Sc1&amp;2'!$B$119:$AU$165,9+BV$7-$BL$7,0)/1000000</f>
        <v>0.44684765745191557</v>
      </c>
      <c r="BW11" s="108">
        <f>AM11*$BK11*VLOOKUP($D11,'Land Price Phase Sc1&amp;2'!$B$119:$AU$165,9+BW$7-$BL$7,0)/1000000</f>
        <v>0.47857384113100149</v>
      </c>
      <c r="BX11" s="108">
        <f>AN11*$BK11*VLOOKUP($D11,'Land Price Phase Sc1&amp;2'!$B$119:$AU$165,9+BX$7-$BL$7,0)/1000000</f>
        <v>1.1390057418917834</v>
      </c>
      <c r="BY11" s="108">
        <f>AO11*$BK11*VLOOKUP($D11,'Land Price Phase Sc1&amp;2'!$B$119:$AU$165,9+BY$7-$BL$7,0)/1000000</f>
        <v>1.2198751495661</v>
      </c>
      <c r="BZ11" s="108">
        <f>AP11*$BK11*VLOOKUP($D11,'Land Price Phase Sc1&amp;2'!$B$119:$AU$165,9+BZ$7-$BL$7,0)/1000000</f>
        <v>1.3064862851852928</v>
      </c>
      <c r="CA11" s="108">
        <f>AQ11*$BK11*VLOOKUP($D11,'Land Price Phase Sc1&amp;2'!$B$119:$AU$165,9+CA$7-$BL$7,0)/1000000</f>
        <v>0</v>
      </c>
      <c r="CB11" s="108">
        <f>AR11*$BK11*VLOOKUP($D11,'Land Price Phase Sc1&amp;2'!$B$119:$AU$165,9+CB$7-$BL$7,0)/1000000</f>
        <v>0</v>
      </c>
      <c r="CC11" s="108">
        <f>AS11*$BK11*VLOOKUP($D11,'Land Price Phase Sc1&amp;2'!$B$119:$AU$165,9+CC$7-$BL$7,0)/1000000</f>
        <v>0</v>
      </c>
      <c r="CD11" s="108">
        <f>AT11*$BK11*VLOOKUP($D11,'Land Price Phase Sc1&amp;2'!$B$119:$AU$165,9+CD$7-$BL$7,0)/1000000</f>
        <v>0</v>
      </c>
      <c r="CE11" s="108">
        <f>AU11*$BK11*VLOOKUP($D11,'Land Price Phase Sc1&amp;2'!$B$119:$AU$165,9+CE$7-$BL$7,0)/1000000</f>
        <v>0</v>
      </c>
      <c r="CF11" s="108">
        <f>AV11*$BK11*VLOOKUP($D11,'Land Price Phase Sc1&amp;2'!$B$119:$AU$165,9+CF$7-$BL$7,0)/1000000</f>
        <v>0</v>
      </c>
      <c r="CG11" s="108">
        <f>AW11*$BK11*VLOOKUP($D11,'Land Price Phase Sc1&amp;2'!$B$119:$AU$165,9+CG$7-$BL$7,0)/1000000</f>
        <v>0</v>
      </c>
      <c r="CH11" s="108">
        <f>AX11*$BK11*VLOOKUP($D11,'Land Price Phase Sc1&amp;2'!$B$119:$AU$165,9+CH$7-$BL$7,0)/1000000</f>
        <v>0</v>
      </c>
      <c r="CI11" s="108">
        <f>AY11*$BK11*VLOOKUP($D11,'Land Price Phase Sc1&amp;2'!$B$119:$AU$165,9+CI$7-$BL$7,0)/1000000</f>
        <v>0</v>
      </c>
      <c r="CJ11" s="108">
        <f>AZ11*$BK11*VLOOKUP($D11,'Land Price Phase Sc1&amp;2'!$B$119:$AU$165,9+CJ$7-$BL$7,0)/1000000</f>
        <v>0</v>
      </c>
      <c r="CK11" s="108">
        <f>BA11*$BK11*VLOOKUP($D11,'Land Price Phase Sc1&amp;2'!$B$119:$AU$165,9+CK$7-$BL$7,0)/1000000</f>
        <v>0</v>
      </c>
      <c r="CL11" s="108">
        <f>BB11*$BK11*VLOOKUP($D11,'Land Price Phase Sc1&amp;2'!$B$119:$AU$165,9+CL$7-$BL$7,0)/1000000</f>
        <v>0</v>
      </c>
      <c r="CM11" s="108">
        <f>BC11*$BK11*VLOOKUP($D11,'Land Price Phase Sc1&amp;2'!$B$119:$AU$165,9+CM$7-$BL$7,0)/1000000</f>
        <v>0</v>
      </c>
      <c r="CN11" s="108">
        <f>BD11*$BK11*VLOOKUP($D11,'Land Price Phase Sc1&amp;2'!$B$119:$AU$165,9+CN$7-$BL$7,0)/1000000</f>
        <v>0</v>
      </c>
      <c r="CO11" s="108">
        <f>BE11*$BK11*VLOOKUP($D11,'Land Price Phase Sc1&amp;2'!$B$119:$AU$165,9+CO$7-$BL$7,0)/1000000</f>
        <v>0</v>
      </c>
      <c r="CP11" s="108">
        <f>BF11*$BK11*VLOOKUP($D11,'Land Price Phase Sc1&amp;2'!$B$119:$AU$165,9+CP$7-$BL$7,0)/1000000</f>
        <v>0</v>
      </c>
      <c r="CQ11" s="108">
        <f>BG11*$BK11*VLOOKUP($D11,'Land Price Phase Sc1&amp;2'!$B$119:$AU$165,9+CQ$7-$BL$7,0)/1000000</f>
        <v>0</v>
      </c>
      <c r="CR11" s="108">
        <f t="shared" si="13"/>
        <v>5.9270237562551324</v>
      </c>
      <c r="CS11" s="19"/>
      <c r="CT11" s="19"/>
      <c r="CU11" s="19"/>
      <c r="CV11" s="19"/>
      <c r="CW11" s="18"/>
      <c r="CX11" s="18"/>
      <c r="CY11" s="18"/>
      <c r="CZ11" s="18"/>
      <c r="DA11" s="20"/>
      <c r="DB11" s="20"/>
      <c r="DC11" s="20"/>
      <c r="DK11" s="10"/>
      <c r="DL11" s="10"/>
      <c r="DM11" s="10"/>
      <c r="DN11" s="10"/>
      <c r="DO11" s="10"/>
      <c r="DP11" s="10"/>
      <c r="DQ11" s="10"/>
      <c r="DR11" s="10"/>
      <c r="DS11" s="10"/>
      <c r="DT11" s="10"/>
      <c r="EB11" s="84"/>
      <c r="EC11" s="84"/>
    </row>
    <row r="12" spans="1:133" x14ac:dyDescent="0.3">
      <c r="A12" s="104" t="s">
        <v>22</v>
      </c>
      <c r="B12" s="104" t="s">
        <v>22</v>
      </c>
      <c r="C12" s="104" t="s">
        <v>362</v>
      </c>
      <c r="D12" s="104" t="str">
        <f>'Land Price Phase Sc1&amp;2'!B15</f>
        <v>Warkworth North (remainder)</v>
      </c>
      <c r="E12" s="104"/>
      <c r="F12" s="105">
        <v>2</v>
      </c>
      <c r="G12" s="105"/>
      <c r="H12" s="105"/>
      <c r="I12" s="105"/>
      <c r="J12" s="105">
        <f t="shared" si="14"/>
        <v>2</v>
      </c>
      <c r="K12" s="105"/>
      <c r="L12" s="105"/>
      <c r="M12" s="105"/>
      <c r="N12" s="105"/>
      <c r="O12" s="104">
        <f>VLOOKUP($D12,'Land Price Phase Sc1&amp;2'!$B$4:$F$50,3,0)</f>
        <v>2031</v>
      </c>
      <c r="P12" s="104">
        <f>VLOOKUP($D12,'Land Price Phase Sc1&amp;2'!$B$4:$F$50,4,0)</f>
        <v>2035</v>
      </c>
      <c r="Q12" s="104">
        <f>VLOOKUP($D12,'Land Price Phase Sc1&amp;2'!$B$4:$F$50,5,0)</f>
        <v>2039</v>
      </c>
      <c r="R12" s="106">
        <f t="shared" si="15"/>
        <v>0.99999999999999989</v>
      </c>
      <c r="S12" s="106"/>
      <c r="T12" s="107">
        <f>'Park spec inputs'!H$22</f>
        <v>0.2</v>
      </c>
      <c r="U12" s="107">
        <f>'Park spec inputs'!I$22</f>
        <v>0.3</v>
      </c>
      <c r="V12" s="107">
        <f>'Park spec inputs'!J$22</f>
        <v>0.5</v>
      </c>
      <c r="W12" s="107">
        <f t="shared" si="7"/>
        <v>0.711860292938581</v>
      </c>
      <c r="X12" s="107">
        <f t="shared" si="8"/>
        <v>4.7381243299543616</v>
      </c>
      <c r="Y12" s="107">
        <f t="shared" si="9"/>
        <v>4.6524672891379275</v>
      </c>
      <c r="Z12" s="104">
        <v>2031</v>
      </c>
      <c r="AA12" s="108">
        <f t="shared" si="16"/>
        <v>0.34901401308789154</v>
      </c>
      <c r="AB12" s="111"/>
      <c r="AC12" s="111"/>
      <c r="AD12" s="111"/>
      <c r="AE12" s="111"/>
      <c r="AF12" s="111"/>
      <c r="AG12" s="111"/>
      <c r="AH12" s="104"/>
      <c r="AI12" s="104"/>
      <c r="AJ12" s="111">
        <f>$T12/4</f>
        <v>0.05</v>
      </c>
      <c r="AK12" s="111">
        <f>AJ12</f>
        <v>0.05</v>
      </c>
      <c r="AL12" s="111">
        <f t="shared" ref="AL12" si="21">AK12</f>
        <v>0.05</v>
      </c>
      <c r="AM12" s="111">
        <f t="shared" ref="AM12" si="22">AL12</f>
        <v>0.05</v>
      </c>
      <c r="AN12" s="111">
        <f>$U12/4</f>
        <v>7.4999999999999997E-2</v>
      </c>
      <c r="AO12" s="111">
        <f>AN12</f>
        <v>7.4999999999999997E-2</v>
      </c>
      <c r="AP12" s="111">
        <f>AO12</f>
        <v>7.4999999999999997E-2</v>
      </c>
      <c r="AQ12" s="111">
        <f>AP12</f>
        <v>7.4999999999999997E-2</v>
      </c>
      <c r="AR12" s="111">
        <f>$V12/3</f>
        <v>0.16666666666666666</v>
      </c>
      <c r="AS12" s="111">
        <f>AR12</f>
        <v>0.16666666666666666</v>
      </c>
      <c r="AT12" s="111">
        <f>AS12</f>
        <v>0.16666666666666666</v>
      </c>
      <c r="AU12" s="111"/>
      <c r="AV12" s="111"/>
      <c r="AW12" s="111"/>
      <c r="AX12" s="111"/>
      <c r="AY12" s="111"/>
      <c r="AZ12" s="111"/>
      <c r="BA12" s="111"/>
      <c r="BB12" s="111"/>
      <c r="BC12" s="104"/>
      <c r="BD12" s="104"/>
      <c r="BE12" s="104"/>
      <c r="BF12" s="104"/>
      <c r="BG12" s="104"/>
      <c r="BH12" s="109">
        <f t="shared" si="10"/>
        <v>0.1</v>
      </c>
      <c r="BI12" s="109">
        <f t="shared" si="11"/>
        <v>0.89999999999999991</v>
      </c>
      <c r="BJ12" s="109"/>
      <c r="BK12" s="104">
        <f t="shared" si="19"/>
        <v>8000</v>
      </c>
      <c r="BL12" s="108">
        <f>AB12*$BK12*VLOOKUP($D12,'Land Price Phase Sc1&amp;2'!$B$119:$AU$165,9+BL$7-$BL$7,0)/1000000</f>
        <v>0</v>
      </c>
      <c r="BM12" s="108">
        <f>AC12*$BK12*VLOOKUP($D12,'Land Price Phase Sc1&amp;2'!$B$119:$AU$165,9+BM$7-$BL$7,0)/1000000</f>
        <v>0</v>
      </c>
      <c r="BN12" s="108">
        <f>AD12*$BK12*VLOOKUP($D12,'Land Price Phase Sc1&amp;2'!$B$119:$AU$165,9+BN$7-$BL$7,0)/1000000</f>
        <v>0</v>
      </c>
      <c r="BO12" s="108">
        <f>AE12*$BK12*VLOOKUP($D12,'Land Price Phase Sc1&amp;2'!$B$119:$AU$165,9+BO$7-$BL$7,0)/1000000</f>
        <v>0</v>
      </c>
      <c r="BP12" s="108">
        <f>AF12*$BK12*VLOOKUP($D12,'Land Price Phase Sc1&amp;2'!$B$119:$AU$165,9+BP$7-$BL$7,0)/1000000</f>
        <v>0</v>
      </c>
      <c r="BQ12" s="108">
        <f>AG12*$BK12*VLOOKUP($D12,'Land Price Phase Sc1&amp;2'!$B$119:$AU$165,9+BQ$7-$BL$7,0)/1000000</f>
        <v>0</v>
      </c>
      <c r="BR12" s="108">
        <f>AJ12*$BK12*VLOOKUP($D12,'Land Price Phase Sc1&amp;2'!$B$119:$AU$165,9+BR$7-$BL$7,0)/1000000</f>
        <v>7.8491463681869073E-2</v>
      </c>
      <c r="BS12" s="108">
        <f>AK12*$BK12*VLOOKUP($D12,'Land Price Phase Sc1&amp;2'!$B$119:$AU$165,9+BS$7-$BL$7,0)/1000000</f>
        <v>8.4064357603281778E-2</v>
      </c>
      <c r="BT12" s="108">
        <f>AL12*$BK12*VLOOKUP($D12,'Land Price Phase Sc1&amp;2'!$B$119:$AU$165,9+BT$7-$BL$7,0)/1000000</f>
        <v>9.0032926993114784E-2</v>
      </c>
      <c r="BU12" s="108">
        <f>AM12*$BK12*VLOOKUP($D12,'Land Price Phase Sc1&amp;2'!$B$119:$AU$165,9+BU$7-$BL$7,0)/1000000</f>
        <v>9.6425264809625919E-2</v>
      </c>
      <c r="BV12" s="108">
        <f>AN12*$BK12*VLOOKUP($D12,'Land Price Phase Sc1&amp;2'!$B$119:$AU$165,9+BV$7-$BL$7,0)/1000000</f>
        <v>0.27406656323717488</v>
      </c>
      <c r="BW12" s="108">
        <f>AO12*$BK12*VLOOKUP($D12,'Land Price Phase Sc1&amp;2'!$B$119:$AU$165,9+BW$7-$BL$7,0)/1000000</f>
        <v>0.29352528922701421</v>
      </c>
      <c r="BX12" s="108">
        <f>AP12*$BK12*VLOOKUP($D12,'Land Price Phase Sc1&amp;2'!$B$119:$AU$165,9+BX$7-$BL$7,0)/1000000</f>
        <v>0.31436558476213228</v>
      </c>
      <c r="BY12" s="108">
        <f>AQ12*$BK12*VLOOKUP($D12,'Land Price Phase Sc1&amp;2'!$B$119:$AU$165,9+BY$7-$BL$7,0)/1000000</f>
        <v>0.33668554128024358</v>
      </c>
      <c r="BZ12" s="108">
        <f>AR12*$BK12*VLOOKUP($D12,'Land Price Phase Sc1&amp;2'!$B$119:$AU$165,9+BZ$7-$BL$7,0)/1000000</f>
        <v>2.6129725703705855</v>
      </c>
      <c r="CA12" s="108">
        <f>AS12*$BK12*VLOOKUP($D12,'Land Price Phase Sc1&amp;2'!$B$119:$AU$165,9+CA$7-$BL$7,0)/1000000</f>
        <v>2.7984936228668973</v>
      </c>
      <c r="CB12" s="108">
        <f>AT12*$BK12*VLOOKUP($D12,'Land Price Phase Sc1&amp;2'!$B$119:$AU$165,9+CB$7-$BL$7,0)/1000000</f>
        <v>2.9971866700904464</v>
      </c>
      <c r="CC12" s="108">
        <f>AU12*$BK12*VLOOKUP($D12,'Land Price Phase Sc1&amp;2'!$B$119:$AU$165,9+CC$7-$BL$7,0)/1000000</f>
        <v>0</v>
      </c>
      <c r="CD12" s="108">
        <f>AV12*$BK12*VLOOKUP($D12,'Land Price Phase Sc1&amp;2'!$B$119:$AU$165,9+CD$7-$BL$7,0)/1000000</f>
        <v>0</v>
      </c>
      <c r="CE12" s="108">
        <f>AW12*$BK12*VLOOKUP($D12,'Land Price Phase Sc1&amp;2'!$B$119:$AU$165,9+CE$7-$BL$7,0)/1000000</f>
        <v>0</v>
      </c>
      <c r="CF12" s="108">
        <f>AX12*$BK12*VLOOKUP($D12,'Land Price Phase Sc1&amp;2'!$B$119:$AU$165,9+CF$7-$BL$7,0)/1000000</f>
        <v>0</v>
      </c>
      <c r="CG12" s="108">
        <f>AW12*$BK12*VLOOKUP($D12,'Land Price Phase Sc1&amp;2'!$B$119:$AU$165,9+CG$7-$BL$7,0)/1000000</f>
        <v>0</v>
      </c>
      <c r="CH12" s="108">
        <f>AX12*$BK12*VLOOKUP($D12,'Land Price Phase Sc1&amp;2'!$B$119:$AU$165,9+CH$7-$BL$7,0)/1000000</f>
        <v>0</v>
      </c>
      <c r="CI12" s="108">
        <f>AY12*$BK12*VLOOKUP($D12,'Land Price Phase Sc1&amp;2'!$B$119:$AU$165,9+CI$7-$BL$7,0)/1000000</f>
        <v>0</v>
      </c>
      <c r="CJ12" s="108">
        <f>AZ12*$BK12*VLOOKUP($D12,'Land Price Phase Sc1&amp;2'!$B$119:$AU$165,9+CJ$7-$BL$7,0)/1000000</f>
        <v>0</v>
      </c>
      <c r="CK12" s="108">
        <f>BA12*$BK12*VLOOKUP($D12,'Land Price Phase Sc1&amp;2'!$B$119:$AU$165,9+CK$7-$BL$7,0)/1000000</f>
        <v>0</v>
      </c>
      <c r="CL12" s="108">
        <f>BB12*$BK12*VLOOKUP($D12,'Land Price Phase Sc1&amp;2'!$B$119:$AU$165,9+CL$7-$BL$7,0)/1000000</f>
        <v>0</v>
      </c>
      <c r="CM12" s="108">
        <f>BC12*$BK12*VLOOKUP($D12,'Land Price Phase Sc1&amp;2'!$B$119:$AU$165,9+CM$7-$BL$7,0)/1000000</f>
        <v>0</v>
      </c>
      <c r="CN12" s="108">
        <f>BD12*$BK12*VLOOKUP($D12,'Land Price Phase Sc1&amp;2'!$B$119:$AU$165,9+CN$7-$BL$7,0)/1000000</f>
        <v>0</v>
      </c>
      <c r="CO12" s="108">
        <f>BE12*$BK12*VLOOKUP($D12,'Land Price Phase Sc1&amp;2'!$B$119:$AU$165,9+CO$7-$BL$7,0)/1000000</f>
        <v>0</v>
      </c>
      <c r="CP12" s="108">
        <f>BF12*$BK12*VLOOKUP($D12,'Land Price Phase Sc1&amp;2'!$B$119:$AU$165,9+CP$7-$BL$7,0)/1000000</f>
        <v>0</v>
      </c>
      <c r="CQ12" s="108">
        <f>BG12*$BK12*VLOOKUP($D12,'Land Price Phase Sc1&amp;2'!$B$119:$AU$165,9+CQ$7-$BL$7,0)/1000000</f>
        <v>0</v>
      </c>
      <c r="CR12" s="108">
        <f t="shared" si="13"/>
        <v>9.9763098549223859</v>
      </c>
      <c r="CS12" s="19"/>
      <c r="CT12" s="19"/>
      <c r="CU12" s="19"/>
      <c r="CV12" s="19"/>
      <c r="CW12" s="18"/>
      <c r="CX12" s="18"/>
      <c r="CY12" s="18"/>
      <c r="CZ12" s="18"/>
      <c r="DA12" s="20"/>
      <c r="DB12" s="20"/>
      <c r="DC12" s="20"/>
      <c r="DK12" s="10"/>
      <c r="DL12" s="10"/>
      <c r="DM12" s="10"/>
      <c r="DN12" s="10"/>
      <c r="DO12" s="10"/>
      <c r="DP12" s="10"/>
      <c r="DQ12" s="10"/>
      <c r="DR12" s="10"/>
      <c r="DS12" s="10"/>
      <c r="DT12" s="10"/>
      <c r="EB12" s="84"/>
      <c r="EC12" s="84"/>
    </row>
    <row r="13" spans="1:133" x14ac:dyDescent="0.3">
      <c r="A13" s="104" t="str">
        <f>A12</f>
        <v>Warkworth</v>
      </c>
      <c r="B13" s="104" t="s">
        <v>22</v>
      </c>
      <c r="C13" s="104" t="s">
        <v>362</v>
      </c>
      <c r="D13" s="104" t="str">
        <f>'Land Price Phase Sc1&amp;2'!B16</f>
        <v>Warkworth West (remainder)</v>
      </c>
      <c r="E13" s="104"/>
      <c r="F13" s="105">
        <v>3</v>
      </c>
      <c r="G13" s="105"/>
      <c r="H13" s="105"/>
      <c r="I13" s="105"/>
      <c r="J13" s="105">
        <f t="shared" si="14"/>
        <v>3</v>
      </c>
      <c r="K13" s="105"/>
      <c r="L13" s="105"/>
      <c r="M13" s="105"/>
      <c r="N13" s="105"/>
      <c r="O13" s="104">
        <f>VLOOKUP($D13,'Land Price Phase Sc1&amp;2'!$B$4:$F$50,3,0)</f>
        <v>2036</v>
      </c>
      <c r="P13" s="104">
        <f>VLOOKUP($D13,'Land Price Phase Sc1&amp;2'!$B$4:$F$50,4,0)</f>
        <v>2040</v>
      </c>
      <c r="Q13" s="104">
        <f>VLOOKUP($D13,'Land Price Phase Sc1&amp;2'!$B$4:$F$50,5,0)</f>
        <v>2044</v>
      </c>
      <c r="R13" s="106">
        <f t="shared" si="15"/>
        <v>0.99999999999999989</v>
      </c>
      <c r="S13" s="106"/>
      <c r="T13" s="107">
        <f>'Park spec inputs'!H$22</f>
        <v>0.2</v>
      </c>
      <c r="U13" s="107">
        <f>'Park spec inputs'!I$22</f>
        <v>0.3</v>
      </c>
      <c r="V13" s="107">
        <f>'Park spec inputs'!J$22</f>
        <v>0.5</v>
      </c>
      <c r="W13" s="107">
        <f t="shared" si="7"/>
        <v>0.711860292938581</v>
      </c>
      <c r="X13" s="107">
        <f t="shared" si="8"/>
        <v>4.7381243299543616</v>
      </c>
      <c r="Y13" s="107">
        <f t="shared" si="9"/>
        <v>4.6524672891379275</v>
      </c>
      <c r="Z13" s="104" t="s">
        <v>370</v>
      </c>
      <c r="AA13" s="108">
        <f t="shared" si="16"/>
        <v>0</v>
      </c>
      <c r="AB13" s="111"/>
      <c r="AC13" s="111"/>
      <c r="AD13" s="111"/>
      <c r="AE13" s="111"/>
      <c r="AF13" s="111"/>
      <c r="AG13" s="111"/>
      <c r="AH13" s="111"/>
      <c r="AI13" s="111"/>
      <c r="AJ13" s="111"/>
      <c r="AK13" s="111"/>
      <c r="AL13" s="111"/>
      <c r="AM13" s="111">
        <f>$T13/4</f>
        <v>0.05</v>
      </c>
      <c r="AN13" s="111">
        <f>AM13</f>
        <v>0.05</v>
      </c>
      <c r="AO13" s="111">
        <f t="shared" ref="AO13" si="23">AN13</f>
        <v>0.05</v>
      </c>
      <c r="AP13" s="111">
        <f t="shared" ref="AP13" si="24">AO13</f>
        <v>0.05</v>
      </c>
      <c r="AQ13" s="111">
        <f>$U13/4</f>
        <v>7.4999999999999997E-2</v>
      </c>
      <c r="AR13" s="111">
        <f>AQ13</f>
        <v>7.4999999999999997E-2</v>
      </c>
      <c r="AS13" s="111">
        <f>AR13</f>
        <v>7.4999999999999997E-2</v>
      </c>
      <c r="AT13" s="111">
        <f>AS13</f>
        <v>7.4999999999999997E-2</v>
      </c>
      <c r="AU13" s="111">
        <f>$V13/3</f>
        <v>0.16666666666666666</v>
      </c>
      <c r="AV13" s="111">
        <f>AU13</f>
        <v>0.16666666666666666</v>
      </c>
      <c r="AW13" s="111">
        <f>AV13</f>
        <v>0.16666666666666666</v>
      </c>
      <c r="AX13" s="111"/>
      <c r="AY13" s="111"/>
      <c r="AZ13" s="111"/>
      <c r="BA13" s="111"/>
      <c r="BB13" s="111"/>
      <c r="BC13" s="104"/>
      <c r="BD13" s="104"/>
      <c r="BE13" s="104"/>
      <c r="BF13" s="104"/>
      <c r="BG13" s="104"/>
      <c r="BH13" s="109">
        <f t="shared" si="10"/>
        <v>0</v>
      </c>
      <c r="BI13" s="109">
        <f t="shared" si="11"/>
        <v>0.99999999999999989</v>
      </c>
      <c r="BJ13" s="109"/>
      <c r="BK13" s="104">
        <f t="shared" si="19"/>
        <v>12000</v>
      </c>
      <c r="BL13" s="108">
        <f>AB13*$BK13*VLOOKUP($D13,'Land Price Phase Sc1&amp;2'!$B$119:$AU$165,9+BL$7-$BL$7,0)/1000000</f>
        <v>0</v>
      </c>
      <c r="BM13" s="108">
        <f>AC13*$BK13*VLOOKUP($D13,'Land Price Phase Sc1&amp;2'!$B$119:$AU$165,9+BM$7-$BL$7,0)/1000000</f>
        <v>0</v>
      </c>
      <c r="BN13" s="108">
        <f>AD13*$BK13*VLOOKUP($D13,'Land Price Phase Sc1&amp;2'!$B$119:$AU$165,9+BN$7-$BL$7,0)/1000000</f>
        <v>0</v>
      </c>
      <c r="BO13" s="108">
        <f>AE13*$BK13*VLOOKUP($D13,'Land Price Phase Sc1&amp;2'!$B$119:$AU$165,9+BO$7-$BL$7,0)/1000000</f>
        <v>0</v>
      </c>
      <c r="BP13" s="108">
        <f>AF13*$BK13*VLOOKUP($D13,'Land Price Phase Sc1&amp;2'!$B$119:$AU$165,9+BP$7-$BL$7,0)/1000000</f>
        <v>0</v>
      </c>
      <c r="BQ13" s="108">
        <f>AG13*$BK13*VLOOKUP($D13,'Land Price Phase Sc1&amp;2'!$B$119:$AU$165,9+BQ$7-$BL$7,0)/1000000</f>
        <v>0</v>
      </c>
      <c r="BR13" s="108">
        <f>AH13*$BK13*VLOOKUP($D13,'Land Price Phase Sc1&amp;2'!$B$119:$AU$165,9+BR$7-$BL$7,0)/1000000</f>
        <v>0</v>
      </c>
      <c r="BS13" s="108">
        <f>AI13*$BK13*VLOOKUP($D13,'Land Price Phase Sc1&amp;2'!$B$119:$AU$165,9+BS$7-$BL$7,0)/1000000</f>
        <v>0</v>
      </c>
      <c r="BT13" s="108">
        <f>AJ13*$BK13*VLOOKUP($D13,'Land Price Phase Sc1&amp;2'!$B$119:$AU$165,9+BT$7-$BL$7,0)/1000000</f>
        <v>0</v>
      </c>
      <c r="BU13" s="108">
        <f>AK13*$BK13*VLOOKUP($D13,'Land Price Phase Sc1&amp;2'!$B$119:$AU$165,9+BU$7-$BL$7,0)/1000000</f>
        <v>0</v>
      </c>
      <c r="BV13" s="108">
        <f>AL13*$BK13*VLOOKUP($D13,'Land Price Phase Sc1&amp;2'!$B$119:$AU$165,9+BV$7-$BL$7,0)/1000000</f>
        <v>0</v>
      </c>
      <c r="BW13" s="108">
        <f>AM13*$BK13*VLOOKUP($D13,'Land Price Phase Sc1&amp;2'!$B$119:$AU$165,9+BW$7-$BL$7,0)/1000000</f>
        <v>0.16590559825874721</v>
      </c>
      <c r="BX13" s="108">
        <f>AN13*$BK13*VLOOKUP($D13,'Land Price Phase Sc1&amp;2'!$B$119:$AU$165,9+BX$7-$BL$7,0)/1000000</f>
        <v>0.1776848957351182</v>
      </c>
      <c r="BY13" s="108">
        <f>AO13*$BK13*VLOOKUP($D13,'Land Price Phase Sc1&amp;2'!$B$119:$AU$165,9+BY$7-$BL$7,0)/1000000</f>
        <v>0.19030052333231157</v>
      </c>
      <c r="BZ13" s="108">
        <f>AP13*$BK13*VLOOKUP($D13,'Land Price Phase Sc1&amp;2'!$B$119:$AU$165,9+BZ$7-$BL$7,0)/1000000</f>
        <v>0.20381186048890568</v>
      </c>
      <c r="CA13" s="108">
        <f>AQ13*$BK13*VLOOKUP($D13,'Land Price Phase Sc1&amp;2'!$B$119:$AU$165,9+CA$7-$BL$7,0)/1000000</f>
        <v>0.57928817993344772</v>
      </c>
      <c r="CB13" s="108">
        <f>AR13*$BK13*VLOOKUP($D13,'Land Price Phase Sc1&amp;2'!$B$119:$AU$165,9+CB$7-$BL$7,0)/1000000</f>
        <v>0.62041764070872241</v>
      </c>
      <c r="CC13" s="108">
        <f>AS13*$BK13*VLOOKUP($D13,'Land Price Phase Sc1&amp;2'!$B$119:$AU$165,9+CC$7-$BL$7,0)/1000000</f>
        <v>0.66446729319904174</v>
      </c>
      <c r="CD13" s="108">
        <f>AT13*$BK13*VLOOKUP($D13,'Land Price Phase Sc1&amp;2'!$B$119:$AU$165,9+CD$7-$BL$7,0)/1000000</f>
        <v>0.71164447101617367</v>
      </c>
      <c r="CE13" s="108">
        <f>AU13*$BK13*VLOOKUP($D13,'Land Price Phase Sc1&amp;2'!$B$119:$AU$165,9+CE$7-$BL$7,0)/1000000</f>
        <v>5.522979916364652</v>
      </c>
      <c r="CF13" s="108">
        <f>AV13*$BK13*VLOOKUP($D13,'Land Price Phase Sc1&amp;2'!$B$119:$AU$165,9+CF$7-$BL$7,0)/1000000</f>
        <v>5.9151114904265416</v>
      </c>
      <c r="CG13" s="108">
        <f>AW13*$BK13*VLOOKUP($D13,'Land Price Phase Sc1&amp;2'!$B$119:$AU$165,9+CG$7-$BL$7,0)/1000000</f>
        <v>6.3350844062468257</v>
      </c>
      <c r="CH13" s="108">
        <f>AX13*$BK13*VLOOKUP($D13,'Land Price Phase Sc1&amp;2'!$B$119:$AU$165,9+CH$7-$BL$7,0)/1000000</f>
        <v>0</v>
      </c>
      <c r="CI13" s="108">
        <f>AY13*$BK13*VLOOKUP($D13,'Land Price Phase Sc1&amp;2'!$B$119:$AU$165,9+CI$7-$BL$7,0)/1000000</f>
        <v>0</v>
      </c>
      <c r="CJ13" s="108">
        <f>AZ13*$BK13*VLOOKUP($D13,'Land Price Phase Sc1&amp;2'!$B$119:$AU$165,9+CJ$7-$BL$7,0)/1000000</f>
        <v>0</v>
      </c>
      <c r="CK13" s="108">
        <f>BA13*$BK13*VLOOKUP($D13,'Land Price Phase Sc1&amp;2'!$B$119:$AU$165,9+CK$7-$BL$7,0)/1000000</f>
        <v>0</v>
      </c>
      <c r="CL13" s="108">
        <f>BB13*$BK13*VLOOKUP($D13,'Land Price Phase Sc1&amp;2'!$B$119:$AU$165,9+CL$7-$BL$7,0)/1000000</f>
        <v>0</v>
      </c>
      <c r="CM13" s="108">
        <f>BC13*$BK13*VLOOKUP($D13,'Land Price Phase Sc1&amp;2'!$B$119:$AU$165,9+CM$7-$BL$7,0)/1000000</f>
        <v>0</v>
      </c>
      <c r="CN13" s="108">
        <f>BD13*$BK13*VLOOKUP($D13,'Land Price Phase Sc1&amp;2'!$B$119:$AU$165,9+CN$7-$BL$7,0)/1000000</f>
        <v>0</v>
      </c>
      <c r="CO13" s="108">
        <f>BE13*$BK13*VLOOKUP($D13,'Land Price Phase Sc1&amp;2'!$B$119:$AU$165,9+CO$7-$BL$7,0)/1000000</f>
        <v>0</v>
      </c>
      <c r="CP13" s="108">
        <f>BF13*$BK13*VLOOKUP($D13,'Land Price Phase Sc1&amp;2'!$B$119:$AU$165,9+CP$7-$BL$7,0)/1000000</f>
        <v>0</v>
      </c>
      <c r="CQ13" s="108">
        <f>BG13*$BK13*VLOOKUP($D13,'Land Price Phase Sc1&amp;2'!$B$119:$AU$165,9+CQ$7-$BL$7,0)/1000000</f>
        <v>0</v>
      </c>
      <c r="CR13" s="108">
        <f t="shared" si="13"/>
        <v>21.086696275710487</v>
      </c>
      <c r="CS13" s="19"/>
      <c r="CT13" s="19"/>
      <c r="CU13" s="19"/>
      <c r="CV13" s="19"/>
      <c r="CW13" s="18"/>
      <c r="CX13" s="18"/>
      <c r="CY13" s="18"/>
      <c r="CZ13" s="18"/>
      <c r="DA13" s="20"/>
      <c r="DB13" s="20"/>
      <c r="DC13" s="20"/>
      <c r="DK13" s="10"/>
      <c r="DL13" s="10"/>
      <c r="DM13" s="10"/>
      <c r="DN13" s="10"/>
      <c r="DO13" s="10"/>
      <c r="DP13" s="10"/>
      <c r="DQ13" s="10"/>
      <c r="DR13" s="10"/>
      <c r="DS13" s="10"/>
      <c r="DT13" s="10"/>
      <c r="EB13" s="84"/>
      <c r="EC13" s="84"/>
    </row>
    <row r="14" spans="1:133" x14ac:dyDescent="0.3">
      <c r="A14" s="104" t="str">
        <f t="shared" ref="A14:A18" si="25">A13</f>
        <v>Warkworth</v>
      </c>
      <c r="B14" s="104" t="s">
        <v>22</v>
      </c>
      <c r="C14" s="104" t="s">
        <v>362</v>
      </c>
      <c r="D14" s="104" t="str">
        <f>'Land Price Phase Sc1&amp;2'!B17</f>
        <v>Warkworth North-East</v>
      </c>
      <c r="E14" s="104"/>
      <c r="F14" s="105">
        <v>2</v>
      </c>
      <c r="G14" s="105"/>
      <c r="H14" s="105"/>
      <c r="I14" s="105"/>
      <c r="J14" s="105">
        <f t="shared" si="14"/>
        <v>2</v>
      </c>
      <c r="K14" s="105"/>
      <c r="L14" s="105"/>
      <c r="M14" s="105"/>
      <c r="N14" s="105"/>
      <c r="O14" s="104">
        <f>VLOOKUP($D14,'Land Price Phase Sc1&amp;2'!$B$4:$F$50,3,0)</f>
        <v>2041</v>
      </c>
      <c r="P14" s="104">
        <f>VLOOKUP($D14,'Land Price Phase Sc1&amp;2'!$B$4:$F$50,4,0)</f>
        <v>2045</v>
      </c>
      <c r="Q14" s="104">
        <f>VLOOKUP($D14,'Land Price Phase Sc1&amp;2'!$B$4:$F$50,5,0)</f>
        <v>2049</v>
      </c>
      <c r="R14" s="106">
        <f t="shared" si="15"/>
        <v>0.99999999999999989</v>
      </c>
      <c r="S14" s="106"/>
      <c r="T14" s="107">
        <f>'Park spec inputs'!H$22</f>
        <v>0.2</v>
      </c>
      <c r="U14" s="107">
        <f>'Park spec inputs'!I$22</f>
        <v>0.3</v>
      </c>
      <c r="V14" s="107">
        <f>'Park spec inputs'!J$22</f>
        <v>0.5</v>
      </c>
      <c r="W14" s="107">
        <f t="shared" si="7"/>
        <v>0.711860292938581</v>
      </c>
      <c r="X14" s="107">
        <f t="shared" si="8"/>
        <v>4.7381243299543616</v>
      </c>
      <c r="Y14" s="107">
        <f t="shared" si="9"/>
        <v>4.6524672891379275</v>
      </c>
      <c r="Z14" s="104" t="s">
        <v>370</v>
      </c>
      <c r="AA14" s="108">
        <f t="shared" si="16"/>
        <v>0</v>
      </c>
      <c r="AB14" s="111"/>
      <c r="AC14" s="111"/>
      <c r="AD14" s="111"/>
      <c r="AE14" s="111"/>
      <c r="AF14" s="111"/>
      <c r="AG14" s="111"/>
      <c r="AH14" s="111"/>
      <c r="AI14" s="111"/>
      <c r="AJ14" s="111"/>
      <c r="AK14" s="111"/>
      <c r="AL14" s="111"/>
      <c r="AM14" s="111"/>
      <c r="AN14" s="111"/>
      <c r="AO14" s="111"/>
      <c r="AP14" s="111"/>
      <c r="AQ14" s="111"/>
      <c r="AR14" s="111">
        <f>$T14/4</f>
        <v>0.05</v>
      </c>
      <c r="AS14" s="111">
        <f>AR14</f>
        <v>0.05</v>
      </c>
      <c r="AT14" s="111">
        <f t="shared" ref="AT14" si="26">AS14</f>
        <v>0.05</v>
      </c>
      <c r="AU14" s="111">
        <f t="shared" ref="AU14" si="27">AT14</f>
        <v>0.05</v>
      </c>
      <c r="AV14" s="111">
        <f>$U14/4</f>
        <v>7.4999999999999997E-2</v>
      </c>
      <c r="AW14" s="111">
        <f>AV14</f>
        <v>7.4999999999999997E-2</v>
      </c>
      <c r="AX14" s="111">
        <f>AW14</f>
        <v>7.4999999999999997E-2</v>
      </c>
      <c r="AY14" s="111">
        <f>AX14</f>
        <v>7.4999999999999997E-2</v>
      </c>
      <c r="AZ14" s="111">
        <f>$V14/3</f>
        <v>0.16666666666666666</v>
      </c>
      <c r="BA14" s="111">
        <f>AZ14</f>
        <v>0.16666666666666666</v>
      </c>
      <c r="BB14" s="111">
        <f>BA14</f>
        <v>0.16666666666666666</v>
      </c>
      <c r="BC14" s="104"/>
      <c r="BD14" s="104"/>
      <c r="BE14" s="104"/>
      <c r="BF14" s="104"/>
      <c r="BG14" s="104"/>
      <c r="BH14" s="109">
        <f t="shared" si="10"/>
        <v>0</v>
      </c>
      <c r="BI14" s="109">
        <f t="shared" si="11"/>
        <v>0.99999999999999989</v>
      </c>
      <c r="BJ14" s="109"/>
      <c r="BK14" s="104">
        <f t="shared" si="19"/>
        <v>8000</v>
      </c>
      <c r="BL14" s="108">
        <f>AB14*$BK14*VLOOKUP($D14,'Land Price Phase Sc1&amp;2'!$B$119:$AU$165,9+BL$7-$BL$7,0)/1000000</f>
        <v>0</v>
      </c>
      <c r="BM14" s="108">
        <f>AC14*$BK14*VLOOKUP($D14,'Land Price Phase Sc1&amp;2'!$B$119:$AU$165,9+BM$7-$BL$7,0)/1000000</f>
        <v>0</v>
      </c>
      <c r="BN14" s="108">
        <f>AD14*$BK14*VLOOKUP($D14,'Land Price Phase Sc1&amp;2'!$B$119:$AU$165,9+BN$7-$BL$7,0)/1000000</f>
        <v>0</v>
      </c>
      <c r="BO14" s="108">
        <f>AE14*$BK14*VLOOKUP($D14,'Land Price Phase Sc1&amp;2'!$B$119:$AU$165,9+BO$7-$BL$7,0)/1000000</f>
        <v>0</v>
      </c>
      <c r="BP14" s="108">
        <f>AF14*$BK14*VLOOKUP($D14,'Land Price Phase Sc1&amp;2'!$B$119:$AU$165,9+BP$7-$BL$7,0)/1000000</f>
        <v>0</v>
      </c>
      <c r="BQ14" s="108">
        <f>AG14*$BK14*VLOOKUP($D14,'Land Price Phase Sc1&amp;2'!$B$119:$AU$165,9+BQ$7-$BL$7,0)/1000000</f>
        <v>0</v>
      </c>
      <c r="BR14" s="108">
        <f>AH14*$BK14*VLOOKUP($D14,'Land Price Phase Sc1&amp;2'!$B$119:$AU$165,9+BR$7-$BL$7,0)/1000000</f>
        <v>0</v>
      </c>
      <c r="BS14" s="108">
        <f>AI14*$BK14*VLOOKUP($D14,'Land Price Phase Sc1&amp;2'!$B$119:$AU$165,9+BS$7-$BL$7,0)/1000000</f>
        <v>0</v>
      </c>
      <c r="BT14" s="108">
        <f>AJ14*$BK14*VLOOKUP($D14,'Land Price Phase Sc1&amp;2'!$B$119:$AU$165,9+BT$7-$BL$7,0)/1000000</f>
        <v>0</v>
      </c>
      <c r="BU14" s="108">
        <f>AK14*$BK14*VLOOKUP($D14,'Land Price Phase Sc1&amp;2'!$B$119:$AU$165,9+BU$7-$BL$7,0)/1000000</f>
        <v>0</v>
      </c>
      <c r="BV14" s="108">
        <f>AL14*$BK14*VLOOKUP($D14,'Land Price Phase Sc1&amp;2'!$B$119:$AU$165,9+BV$7-$BL$7,0)/1000000</f>
        <v>0</v>
      </c>
      <c r="BW14" s="108">
        <f>AM14*$BK14*VLOOKUP($D14,'Land Price Phase Sc1&amp;2'!$B$119:$AU$165,9+BW$7-$BL$7,0)/1000000</f>
        <v>0</v>
      </c>
      <c r="BX14" s="108">
        <f>AN14*$BK14*VLOOKUP($D14,'Land Price Phase Sc1&amp;2'!$B$119:$AU$165,9+BX$7-$BL$7,0)/1000000</f>
        <v>0</v>
      </c>
      <c r="BY14" s="108">
        <f>AO14*$BK14*VLOOKUP($D14,'Land Price Phase Sc1&amp;2'!$B$119:$AU$165,9+BY$7-$BL$7,0)/1000000</f>
        <v>0</v>
      </c>
      <c r="BZ14" s="108">
        <f>AP14*$BK14*VLOOKUP($D14,'Land Price Phase Sc1&amp;2'!$B$119:$AU$165,9+BZ$7-$BL$7,0)/1000000</f>
        <v>0</v>
      </c>
      <c r="CA14" s="108">
        <f>AQ14*$BK14*VLOOKUP($D14,'Land Price Phase Sc1&amp;2'!$B$119:$AU$165,9+CA$7-$BL$7,0)/1000000</f>
        <v>0</v>
      </c>
      <c r="CB14" s="108">
        <f>AR14*$BK14*VLOOKUP($D14,'Land Price Phase Sc1&amp;2'!$B$119:$AU$165,9+CB$7-$BL$7,0)/1000000</f>
        <v>0.15585370684470323</v>
      </c>
      <c r="CC14" s="108">
        <f>AS14*$BK14*VLOOKUP($D14,'Land Price Phase Sc1&amp;2'!$B$119:$AU$165,9+CC$7-$BL$7,0)/1000000</f>
        <v>0.16691932003067717</v>
      </c>
      <c r="CD14" s="108">
        <f>AT14*$BK14*VLOOKUP($D14,'Land Price Phase Sc1&amp;2'!$B$119:$AU$165,9+CD$7-$BL$7,0)/1000000</f>
        <v>0.17877059175285523</v>
      </c>
      <c r="CE14" s="108">
        <f>AU14*$BK14*VLOOKUP($D14,'Land Price Phase Sc1&amp;2'!$B$119:$AU$165,9+CE$7-$BL$7,0)/1000000</f>
        <v>0.19146330376730791</v>
      </c>
      <c r="CF14" s="108">
        <f>AV14*$BK14*VLOOKUP($D14,'Land Price Phase Sc1&amp;2'!$B$119:$AU$165,9+CF$7-$BL$7,0)/1000000</f>
        <v>0.54419025711924185</v>
      </c>
      <c r="CG14" s="108">
        <f>AW14*$BK14*VLOOKUP($D14,'Land Price Phase Sc1&amp;2'!$B$119:$AU$165,9+CG$7-$BL$7,0)/1000000</f>
        <v>0.58282776537470804</v>
      </c>
      <c r="CH14" s="108">
        <f>AX14*$BK14*VLOOKUP($D14,'Land Price Phase Sc1&amp;2'!$B$119:$AU$165,9+CH$7-$BL$7,0)/1000000</f>
        <v>0.62420853671631216</v>
      </c>
      <c r="CI14" s="108">
        <f>AY14*$BK14*VLOOKUP($D14,'Land Price Phase Sc1&amp;2'!$B$119:$AU$165,9+CI$7-$BL$7,0)/1000000</f>
        <v>0.66852734282317039</v>
      </c>
      <c r="CJ14" s="108">
        <f>AZ14*$BK14*VLOOKUP($D14,'Land Price Phase Sc1&amp;2'!$B$119:$AU$165,9+CJ$7-$BL$7,0)/1000000</f>
        <v>5.1883535084319954</v>
      </c>
      <c r="CK14" s="108">
        <f>BA14*$BK14*VLOOKUP($D14,'Land Price Phase Sc1&amp;2'!$B$119:$AU$165,9+CK$7-$BL$7,0)/1000000</f>
        <v>5.5567266075306669</v>
      </c>
      <c r="CL14" s="108">
        <f>BB14*$BK14*VLOOKUP($D14,'Land Price Phase Sc1&amp;2'!$B$119:$AU$165,9+CL$7-$BL$7,0)/1000000</f>
        <v>5.9512541966653441</v>
      </c>
      <c r="CM14" s="108">
        <f>BC14*$BK14*VLOOKUP($D14,'Land Price Phase Sc1&amp;2'!$B$119:$AU$165,9+CM$7-$BL$7,0)/1000000</f>
        <v>0</v>
      </c>
      <c r="CN14" s="108">
        <f>BD14*$BK14*VLOOKUP($D14,'Land Price Phase Sc1&amp;2'!$B$119:$AU$165,9+CN$7-$BL$7,0)/1000000</f>
        <v>0</v>
      </c>
      <c r="CO14" s="108">
        <f>BE14*$BK14*VLOOKUP($D14,'Land Price Phase Sc1&amp;2'!$B$119:$AU$165,9+CO$7-$BL$7,0)/1000000</f>
        <v>0</v>
      </c>
      <c r="CP14" s="108">
        <f>BF14*$BK14*VLOOKUP($D14,'Land Price Phase Sc1&amp;2'!$B$119:$AU$165,9+CP$7-$BL$7,0)/1000000</f>
        <v>0</v>
      </c>
      <c r="CQ14" s="108">
        <f>BG14*$BK14*VLOOKUP($D14,'Land Price Phase Sc1&amp;2'!$B$119:$AU$165,9+CQ$7-$BL$7,0)/1000000</f>
        <v>0</v>
      </c>
      <c r="CR14" s="108">
        <f t="shared" si="13"/>
        <v>19.809095137056982</v>
      </c>
      <c r="CS14" s="19"/>
      <c r="CT14" s="19"/>
      <c r="CU14" s="19"/>
      <c r="CV14" s="19"/>
      <c r="CW14" s="18"/>
      <c r="CX14" s="18"/>
      <c r="CY14" s="18"/>
      <c r="CZ14" s="18"/>
      <c r="DA14" s="20"/>
      <c r="DB14" s="20"/>
      <c r="DC14" s="20"/>
      <c r="DK14" s="10"/>
      <c r="DL14" s="10"/>
      <c r="DM14" s="10"/>
      <c r="DN14" s="10"/>
      <c r="DO14" s="10"/>
      <c r="DP14" s="10"/>
      <c r="DQ14" s="10"/>
      <c r="DR14" s="10"/>
      <c r="DS14" s="10"/>
      <c r="DT14" s="10"/>
      <c r="EB14" s="84"/>
      <c r="EC14" s="84"/>
    </row>
    <row r="15" spans="1:133" x14ac:dyDescent="0.3">
      <c r="A15" s="104" t="str">
        <f t="shared" si="25"/>
        <v>Warkworth</v>
      </c>
      <c r="B15" s="104" t="s">
        <v>22</v>
      </c>
      <c r="C15" s="104" t="s">
        <v>362</v>
      </c>
      <c r="D15" s="104" t="str">
        <f>D14</f>
        <v>Warkworth North-East</v>
      </c>
      <c r="E15" s="104"/>
      <c r="F15" s="105"/>
      <c r="G15" s="105">
        <v>1</v>
      </c>
      <c r="H15" s="105"/>
      <c r="I15" s="105"/>
      <c r="J15" s="105"/>
      <c r="K15" s="105">
        <f t="shared" si="14"/>
        <v>1</v>
      </c>
      <c r="L15" s="105"/>
      <c r="M15" s="105"/>
      <c r="N15" s="105"/>
      <c r="O15" s="104">
        <f>VLOOKUP($D15,'Land Price Phase Sc1&amp;2'!$B$4:$F$50,3,0)</f>
        <v>2041</v>
      </c>
      <c r="P15" s="104">
        <f>VLOOKUP($D15,'Land Price Phase Sc1&amp;2'!$B$4:$F$50,4,0)</f>
        <v>2045</v>
      </c>
      <c r="Q15" s="104">
        <f>VLOOKUP($D15,'Land Price Phase Sc1&amp;2'!$B$4:$F$50,5,0)</f>
        <v>2049</v>
      </c>
      <c r="R15" s="106">
        <f t="shared" si="15"/>
        <v>1</v>
      </c>
      <c r="S15" s="107">
        <f>'Park spec inputs'!C$21</f>
        <v>0.15</v>
      </c>
      <c r="T15" s="107">
        <f>'Park spec inputs'!D$21</f>
        <v>0.5</v>
      </c>
      <c r="U15" s="107">
        <f>'Park spec inputs'!E$21</f>
        <v>0.25</v>
      </c>
      <c r="V15" s="107">
        <f>'Park spec inputs'!F$21</f>
        <v>0.1</v>
      </c>
      <c r="W15" s="107">
        <f t="shared" si="7"/>
        <v>0.711860292938581</v>
      </c>
      <c r="X15" s="107">
        <f t="shared" si="8"/>
        <v>4.7381243299543616</v>
      </c>
      <c r="Y15" s="107">
        <f t="shared" si="9"/>
        <v>4.6524672891379275</v>
      </c>
      <c r="Z15" s="104" t="s">
        <v>370</v>
      </c>
      <c r="AA15" s="108">
        <f t="shared" si="16"/>
        <v>0</v>
      </c>
      <c r="AB15" s="111"/>
      <c r="AC15" s="111"/>
      <c r="AD15" s="111"/>
      <c r="AE15" s="111"/>
      <c r="AF15" s="111"/>
      <c r="AG15" s="111"/>
      <c r="AH15" s="111"/>
      <c r="AI15" s="111"/>
      <c r="AJ15" s="111"/>
      <c r="AK15" s="111"/>
      <c r="AL15" s="111"/>
      <c r="AM15" s="111"/>
      <c r="AN15" s="111"/>
      <c r="AO15" s="111">
        <f>$S15/3</f>
        <v>4.9999999999999996E-2</v>
      </c>
      <c r="AP15" s="111">
        <f>AO15</f>
        <v>4.9999999999999996E-2</v>
      </c>
      <c r="AQ15" s="111">
        <f>AP15</f>
        <v>4.9999999999999996E-2</v>
      </c>
      <c r="AR15" s="111">
        <f>$T15/4</f>
        <v>0.125</v>
      </c>
      <c r="AS15" s="111">
        <f>AR15</f>
        <v>0.125</v>
      </c>
      <c r="AT15" s="111">
        <f>AS15</f>
        <v>0.125</v>
      </c>
      <c r="AU15" s="111">
        <f>AT15</f>
        <v>0.125</v>
      </c>
      <c r="AV15" s="111">
        <f>$U15/4</f>
        <v>6.25E-2</v>
      </c>
      <c r="AW15" s="111">
        <f t="shared" ref="AW15:AY18" si="28">AV15</f>
        <v>6.25E-2</v>
      </c>
      <c r="AX15" s="111">
        <f t="shared" si="28"/>
        <v>6.25E-2</v>
      </c>
      <c r="AY15" s="111">
        <f t="shared" si="28"/>
        <v>6.25E-2</v>
      </c>
      <c r="AZ15" s="111">
        <f>$V15/3</f>
        <v>3.3333333333333333E-2</v>
      </c>
      <c r="BA15" s="111">
        <f t="shared" ref="BA15:BB18" si="29">AZ15</f>
        <v>3.3333333333333333E-2</v>
      </c>
      <c r="BB15" s="111">
        <f t="shared" si="29"/>
        <v>3.3333333333333333E-2</v>
      </c>
      <c r="BC15" s="104"/>
      <c r="BD15" s="104"/>
      <c r="BE15" s="104"/>
      <c r="BF15" s="104"/>
      <c r="BG15" s="104"/>
      <c r="BH15" s="109">
        <f t="shared" si="10"/>
        <v>0</v>
      </c>
      <c r="BI15" s="109">
        <f t="shared" si="11"/>
        <v>1</v>
      </c>
      <c r="BJ15" s="109"/>
      <c r="BK15" s="104">
        <f t="shared" si="19"/>
        <v>30000</v>
      </c>
      <c r="BL15" s="108">
        <f>AB15*$BK15*VLOOKUP($D15,'Land Price Phase Sc1&amp;2'!$B$119:$AU$165,9+BL$7-$BL$7,0)/1000000</f>
        <v>0</v>
      </c>
      <c r="BM15" s="108">
        <f>AC15*$BK15*VLOOKUP($D15,'Land Price Phase Sc1&amp;2'!$B$119:$AU$165,9+BM$7-$BL$7,0)/1000000</f>
        <v>0</v>
      </c>
      <c r="BN15" s="108">
        <f>AD15*$BK15*VLOOKUP($D15,'Land Price Phase Sc1&amp;2'!$B$119:$AU$165,9+BN$7-$BL$7,0)/1000000</f>
        <v>0</v>
      </c>
      <c r="BO15" s="108">
        <f>AE15*$BK15*VLOOKUP($D15,'Land Price Phase Sc1&amp;2'!$B$119:$AU$165,9+BO$7-$BL$7,0)/1000000</f>
        <v>0</v>
      </c>
      <c r="BP15" s="108">
        <f>AF15*$BK15*VLOOKUP($D15,'Land Price Phase Sc1&amp;2'!$B$119:$AU$165,9+BP$7-$BL$7,0)/1000000</f>
        <v>0</v>
      </c>
      <c r="BQ15" s="108">
        <f>AG15*$BK15*VLOOKUP($D15,'Land Price Phase Sc1&amp;2'!$B$119:$AU$165,9+BQ$7-$BL$7,0)/1000000</f>
        <v>0</v>
      </c>
      <c r="BR15" s="108">
        <f>AH15*$BK15*VLOOKUP($D15,'Land Price Phase Sc1&amp;2'!$B$119:$AU$165,9+BR$7-$BL$7,0)/1000000</f>
        <v>0</v>
      </c>
      <c r="BS15" s="108">
        <f>AI15*$BK15*VLOOKUP($D15,'Land Price Phase Sc1&amp;2'!$B$119:$AU$165,9+BS$7-$BL$7,0)/1000000</f>
        <v>0</v>
      </c>
      <c r="BT15" s="108">
        <f>AJ15*$BK15*VLOOKUP($D15,'Land Price Phase Sc1&amp;2'!$B$119:$AU$165,9+BT$7-$BL$7,0)/1000000</f>
        <v>0</v>
      </c>
      <c r="BU15" s="108">
        <f>AK15*$BK15*VLOOKUP($D15,'Land Price Phase Sc1&amp;2'!$B$119:$AU$165,9+BU$7-$BL$7,0)/1000000</f>
        <v>0</v>
      </c>
      <c r="BV15" s="108">
        <f>AL15*$BK15*VLOOKUP($D15,'Land Price Phase Sc1&amp;2'!$B$119:$AU$165,9+BV$7-$BL$7,0)/1000000</f>
        <v>0</v>
      </c>
      <c r="BW15" s="108">
        <f>AM15*$BK15*VLOOKUP($D15,'Land Price Phase Sc1&amp;2'!$B$119:$AU$165,9+BW$7-$BL$7,0)/1000000</f>
        <v>0</v>
      </c>
      <c r="BX15" s="108">
        <f>AN15*$BK15*VLOOKUP($D15,'Land Price Phase Sc1&amp;2'!$B$119:$AU$165,9+BX$7-$BL$7,0)/1000000</f>
        <v>0</v>
      </c>
      <c r="BY15" s="108">
        <f>AO15*$BK15*VLOOKUP($D15,'Land Price Phase Sc1&amp;2'!$B$119:$AU$165,9+BY$7-$BL$7,0)/1000000</f>
        <v>0.27447190865237248</v>
      </c>
      <c r="BZ15" s="108">
        <f>AP15*$BK15*VLOOKUP($D15,'Land Price Phase Sc1&amp;2'!$B$119:$AU$165,9+BZ$7-$BL$7,0)/1000000</f>
        <v>0.29395941416669091</v>
      </c>
      <c r="CA15" s="108">
        <f>AQ15*$BK15*VLOOKUP($D15,'Land Price Phase Sc1&amp;2'!$B$119:$AU$165,9+CA$7-$BL$7,0)/1000000</f>
        <v>0.31483053257252591</v>
      </c>
      <c r="CB15" s="108">
        <f>AR15*$BK15*VLOOKUP($D15,'Land Price Phase Sc1&amp;2'!$B$119:$AU$165,9+CB$7-$BL$7,0)/1000000</f>
        <v>1.4611285016690927</v>
      </c>
      <c r="CC15" s="108">
        <f>AS15*$BK15*VLOOKUP($D15,'Land Price Phase Sc1&amp;2'!$B$119:$AU$165,9+CC$7-$BL$7,0)/1000000</f>
        <v>1.5648686252875985</v>
      </c>
      <c r="CD15" s="108">
        <f>AT15*$BK15*VLOOKUP($D15,'Land Price Phase Sc1&amp;2'!$B$119:$AU$165,9+CD$7-$BL$7,0)/1000000</f>
        <v>1.6759742976830176</v>
      </c>
      <c r="CE15" s="108">
        <f>AU15*$BK15*VLOOKUP($D15,'Land Price Phase Sc1&amp;2'!$B$119:$AU$165,9+CE$7-$BL$7,0)/1000000</f>
        <v>1.7949684728185118</v>
      </c>
      <c r="CF15" s="108">
        <f>AV15*$BK15*VLOOKUP($D15,'Land Price Phase Sc1&amp;2'!$B$119:$AU$165,9+CF$7-$BL$7,0)/1000000</f>
        <v>1.7005945534976306</v>
      </c>
      <c r="CG15" s="108">
        <f>AW15*$BK15*VLOOKUP($D15,'Land Price Phase Sc1&amp;2'!$B$119:$AU$165,9+CG$7-$BL$7,0)/1000000</f>
        <v>1.8213367667959623</v>
      </c>
      <c r="CH15" s="108">
        <f>AX15*$BK15*VLOOKUP($D15,'Land Price Phase Sc1&amp;2'!$B$119:$AU$165,9+CH$7-$BL$7,0)/1000000</f>
        <v>1.9506516772384754</v>
      </c>
      <c r="CI15" s="108">
        <f>AY15*$BK15*VLOOKUP($D15,'Land Price Phase Sc1&amp;2'!$B$119:$AU$165,9+CI$7-$BL$7,0)/1000000</f>
        <v>2.0891479463224072</v>
      </c>
      <c r="CJ15" s="108">
        <f>AZ15*$BK15*VLOOKUP($D15,'Land Price Phase Sc1&amp;2'!$B$119:$AU$165,9+CJ$7-$BL$7,0)/1000000</f>
        <v>3.8912651313239963</v>
      </c>
      <c r="CK15" s="108">
        <f>BA15*$BK15*VLOOKUP($D15,'Land Price Phase Sc1&amp;2'!$B$119:$AU$165,9+CK$7-$BL$7,0)/1000000</f>
        <v>4.1675449556480002</v>
      </c>
      <c r="CL15" s="108">
        <f>BB15*$BK15*VLOOKUP($D15,'Land Price Phase Sc1&amp;2'!$B$119:$AU$165,9+CL$7-$BL$7,0)/1000000</f>
        <v>4.4634406474990085</v>
      </c>
      <c r="CM15" s="108">
        <f>BC15*$BK15*VLOOKUP($D15,'Land Price Phase Sc1&amp;2'!$B$119:$AU$165,9+CM$7-$BL$7,0)/1000000</f>
        <v>0</v>
      </c>
      <c r="CN15" s="108">
        <f>BD15*$BK15*VLOOKUP($D15,'Land Price Phase Sc1&amp;2'!$B$119:$AU$165,9+CN$7-$BL$7,0)/1000000</f>
        <v>0</v>
      </c>
      <c r="CO15" s="108">
        <f>BE15*$BK15*VLOOKUP($D15,'Land Price Phase Sc1&amp;2'!$B$119:$AU$165,9+CO$7-$BL$7,0)/1000000</f>
        <v>0</v>
      </c>
      <c r="CP15" s="108">
        <f>BF15*$BK15*VLOOKUP($D15,'Land Price Phase Sc1&amp;2'!$B$119:$AU$165,9+CP$7-$BL$7,0)/1000000</f>
        <v>0</v>
      </c>
      <c r="CQ15" s="108">
        <f>BG15*$BK15*VLOOKUP($D15,'Land Price Phase Sc1&amp;2'!$B$119:$AU$165,9+CQ$7-$BL$7,0)/1000000</f>
        <v>0</v>
      </c>
      <c r="CR15" s="108">
        <f t="shared" si="13"/>
        <v>27.464183431175293</v>
      </c>
      <c r="CS15" s="19"/>
      <c r="CT15" s="19"/>
      <c r="CU15" s="19"/>
      <c r="CV15" s="19"/>
      <c r="CW15" s="18"/>
      <c r="CX15" s="18"/>
      <c r="CY15" s="18"/>
      <c r="CZ15" s="18"/>
      <c r="DA15" s="20"/>
      <c r="DB15" s="20"/>
      <c r="DC15" s="20"/>
      <c r="DK15" s="10"/>
      <c r="DL15" s="10"/>
      <c r="DM15" s="10"/>
      <c r="DN15" s="10"/>
      <c r="DO15" s="10"/>
      <c r="DP15" s="10"/>
      <c r="DQ15" s="10"/>
      <c r="DR15" s="10"/>
      <c r="DS15" s="10"/>
      <c r="DT15" s="10"/>
      <c r="EB15" s="84"/>
      <c r="EC15" s="84"/>
    </row>
    <row r="16" spans="1:133" x14ac:dyDescent="0.3">
      <c r="A16" s="104" t="str">
        <f>A14</f>
        <v>Warkworth</v>
      </c>
      <c r="B16" s="104" t="s">
        <v>22</v>
      </c>
      <c r="C16" s="104" t="s">
        <v>362</v>
      </c>
      <c r="D16" s="104" t="str">
        <f>'Land Price Phase Sc1&amp;2'!B18</f>
        <v>Warkworth South-Central</v>
      </c>
      <c r="E16" s="104"/>
      <c r="F16" s="105">
        <v>3</v>
      </c>
      <c r="G16" s="105"/>
      <c r="H16" s="105"/>
      <c r="I16" s="105"/>
      <c r="J16" s="105">
        <f t="shared" si="14"/>
        <v>3</v>
      </c>
      <c r="K16" s="105"/>
      <c r="L16" s="105"/>
      <c r="M16" s="105"/>
      <c r="N16" s="105"/>
      <c r="O16" s="104">
        <f>VLOOKUP($D16,'Land Price Phase Sc1&amp;2'!$B$4:$F$50,3,0)</f>
        <v>2036</v>
      </c>
      <c r="P16" s="104">
        <f>VLOOKUP($D16,'Land Price Phase Sc1&amp;2'!$B$4:$F$50,4,0)</f>
        <v>2040</v>
      </c>
      <c r="Q16" s="104">
        <f>VLOOKUP($D16,'Land Price Phase Sc1&amp;2'!$B$4:$F$50,5,0)</f>
        <v>2044</v>
      </c>
      <c r="R16" s="106">
        <f t="shared" si="15"/>
        <v>0.99999999999999989</v>
      </c>
      <c r="S16" s="106"/>
      <c r="T16" s="107">
        <f>'Park spec inputs'!H$22</f>
        <v>0.2</v>
      </c>
      <c r="U16" s="107">
        <f>'Park spec inputs'!I$22</f>
        <v>0.3</v>
      </c>
      <c r="V16" s="107">
        <f>'Park spec inputs'!J$22</f>
        <v>0.5</v>
      </c>
      <c r="W16" s="107">
        <f t="shared" si="7"/>
        <v>0.711860292938581</v>
      </c>
      <c r="X16" s="107">
        <f t="shared" si="8"/>
        <v>4.7381243299543616</v>
      </c>
      <c r="Y16" s="107">
        <f t="shared" si="9"/>
        <v>4.6524672891379275</v>
      </c>
      <c r="Z16" s="104" t="s">
        <v>370</v>
      </c>
      <c r="AA16" s="108">
        <f t="shared" si="16"/>
        <v>0</v>
      </c>
      <c r="AB16" s="111"/>
      <c r="AC16" s="111"/>
      <c r="AD16" s="111"/>
      <c r="AE16" s="111"/>
      <c r="AF16" s="111"/>
      <c r="AG16" s="111"/>
      <c r="AH16" s="111"/>
      <c r="AI16" s="111"/>
      <c r="AJ16" s="111"/>
      <c r="AK16" s="111"/>
      <c r="AL16" s="111"/>
      <c r="AM16" s="111">
        <f>$T16/4</f>
        <v>0.05</v>
      </c>
      <c r="AN16" s="111">
        <f>AM16</f>
        <v>0.05</v>
      </c>
      <c r="AO16" s="111">
        <f t="shared" ref="AO16" si="30">AN16</f>
        <v>0.05</v>
      </c>
      <c r="AP16" s="111">
        <f t="shared" ref="AP16" si="31">AO16</f>
        <v>0.05</v>
      </c>
      <c r="AQ16" s="111">
        <f>$U16/4</f>
        <v>7.4999999999999997E-2</v>
      </c>
      <c r="AR16" s="111">
        <f>AQ16</f>
        <v>7.4999999999999997E-2</v>
      </c>
      <c r="AS16" s="111">
        <f>AR16</f>
        <v>7.4999999999999997E-2</v>
      </c>
      <c r="AT16" s="111">
        <f>AS16</f>
        <v>7.4999999999999997E-2</v>
      </c>
      <c r="AU16" s="111">
        <f>$V16/3</f>
        <v>0.16666666666666666</v>
      </c>
      <c r="AV16" s="111">
        <f>AU16</f>
        <v>0.16666666666666666</v>
      </c>
      <c r="AW16" s="111">
        <f>AV16</f>
        <v>0.16666666666666666</v>
      </c>
      <c r="AX16" s="111"/>
      <c r="AY16" s="111"/>
      <c r="AZ16" s="111"/>
      <c r="BA16" s="111"/>
      <c r="BB16" s="111"/>
      <c r="BC16" s="104"/>
      <c r="BD16" s="104"/>
      <c r="BE16" s="104"/>
      <c r="BF16" s="104"/>
      <c r="BG16" s="104"/>
      <c r="BH16" s="109">
        <f t="shared" si="10"/>
        <v>0</v>
      </c>
      <c r="BI16" s="109">
        <f t="shared" si="11"/>
        <v>0.99999999999999989</v>
      </c>
      <c r="BJ16" s="109"/>
      <c r="BK16" s="104">
        <f t="shared" si="19"/>
        <v>12000</v>
      </c>
      <c r="BL16" s="108">
        <f>AB16*$BK16*VLOOKUP($D16,'Land Price Phase Sc1&amp;2'!$B$119:$AU$165,9+BL$7-$BL$7,0)/1000000</f>
        <v>0</v>
      </c>
      <c r="BM16" s="108">
        <f>AC16*$BK16*VLOOKUP($D16,'Land Price Phase Sc1&amp;2'!$B$119:$AU$165,9+BM$7-$BL$7,0)/1000000</f>
        <v>0</v>
      </c>
      <c r="BN16" s="108">
        <f>AD16*$BK16*VLOOKUP($D16,'Land Price Phase Sc1&amp;2'!$B$119:$AU$165,9+BN$7-$BL$7,0)/1000000</f>
        <v>0</v>
      </c>
      <c r="BO16" s="108">
        <f>AE16*$BK16*VLOOKUP($D16,'Land Price Phase Sc1&amp;2'!$B$119:$AU$165,9+BO$7-$BL$7,0)/1000000</f>
        <v>0</v>
      </c>
      <c r="BP16" s="108">
        <f>AF16*$BK16*VLOOKUP($D16,'Land Price Phase Sc1&amp;2'!$B$119:$AU$165,9+BP$7-$BL$7,0)/1000000</f>
        <v>0</v>
      </c>
      <c r="BQ16" s="108">
        <f>AG16*$BK16*VLOOKUP($D16,'Land Price Phase Sc1&amp;2'!$B$119:$AU$165,9+BQ$7-$BL$7,0)/1000000</f>
        <v>0</v>
      </c>
      <c r="BR16" s="108">
        <f>AH16*$BK16*VLOOKUP($D16,'Land Price Phase Sc1&amp;2'!$B$119:$AU$165,9+BR$7-$BL$7,0)/1000000</f>
        <v>0</v>
      </c>
      <c r="BS16" s="108">
        <f>AI16*$BK16*VLOOKUP($D16,'Land Price Phase Sc1&amp;2'!$B$119:$AU$165,9+BS$7-$BL$7,0)/1000000</f>
        <v>0</v>
      </c>
      <c r="BT16" s="108">
        <f>AJ16*$BK16*VLOOKUP($D16,'Land Price Phase Sc1&amp;2'!$B$119:$AU$165,9+BT$7-$BL$7,0)/1000000</f>
        <v>0</v>
      </c>
      <c r="BU16" s="108">
        <f>AK16*$BK16*VLOOKUP($D16,'Land Price Phase Sc1&amp;2'!$B$119:$AU$165,9+BU$7-$BL$7,0)/1000000</f>
        <v>0</v>
      </c>
      <c r="BV16" s="108">
        <f>AL16*$BK16*VLOOKUP($D16,'Land Price Phase Sc1&amp;2'!$B$119:$AU$165,9+BV$7-$BL$7,0)/1000000</f>
        <v>0</v>
      </c>
      <c r="BW16" s="108">
        <f>AM16*$BK16*VLOOKUP($D16,'Land Price Phase Sc1&amp;2'!$B$119:$AU$165,9+BW$7-$BL$7,0)/1000000</f>
        <v>0.16590559825874721</v>
      </c>
      <c r="BX16" s="108">
        <f>AN16*$BK16*VLOOKUP($D16,'Land Price Phase Sc1&amp;2'!$B$119:$AU$165,9+BX$7-$BL$7,0)/1000000</f>
        <v>0.1776848957351182</v>
      </c>
      <c r="BY16" s="108">
        <f>AO16*$BK16*VLOOKUP($D16,'Land Price Phase Sc1&amp;2'!$B$119:$AU$165,9+BY$7-$BL$7,0)/1000000</f>
        <v>0.19030052333231157</v>
      </c>
      <c r="BZ16" s="108">
        <f>AP16*$BK16*VLOOKUP($D16,'Land Price Phase Sc1&amp;2'!$B$119:$AU$165,9+BZ$7-$BL$7,0)/1000000</f>
        <v>0.20381186048890568</v>
      </c>
      <c r="CA16" s="108">
        <f>AQ16*$BK16*VLOOKUP($D16,'Land Price Phase Sc1&amp;2'!$B$119:$AU$165,9+CA$7-$BL$7,0)/1000000</f>
        <v>0.57928817993344772</v>
      </c>
      <c r="CB16" s="108">
        <f>AR16*$BK16*VLOOKUP($D16,'Land Price Phase Sc1&amp;2'!$B$119:$AU$165,9+CB$7-$BL$7,0)/1000000</f>
        <v>0.62041764070872241</v>
      </c>
      <c r="CC16" s="108">
        <f>AS16*$BK16*VLOOKUP($D16,'Land Price Phase Sc1&amp;2'!$B$119:$AU$165,9+CC$7-$BL$7,0)/1000000</f>
        <v>0.66446729319904174</v>
      </c>
      <c r="CD16" s="108">
        <f>AT16*$BK16*VLOOKUP($D16,'Land Price Phase Sc1&amp;2'!$B$119:$AU$165,9+CD$7-$BL$7,0)/1000000</f>
        <v>0.71164447101617367</v>
      </c>
      <c r="CE16" s="108">
        <f>AU16*$BK16*VLOOKUP($D16,'Land Price Phase Sc1&amp;2'!$B$119:$AU$165,9+CE$7-$BL$7,0)/1000000</f>
        <v>5.522979916364652</v>
      </c>
      <c r="CF16" s="108">
        <f>AV16*$BK16*VLOOKUP($D16,'Land Price Phase Sc1&amp;2'!$B$119:$AU$165,9+CF$7-$BL$7,0)/1000000</f>
        <v>5.9151114904265416</v>
      </c>
      <c r="CG16" s="108">
        <f>AW16*$BK16*VLOOKUP($D16,'Land Price Phase Sc1&amp;2'!$B$119:$AU$165,9+CG$7-$BL$7,0)/1000000</f>
        <v>6.3350844062468257</v>
      </c>
      <c r="CH16" s="108">
        <f>AX16*$BK16*VLOOKUP($D16,'Land Price Phase Sc1&amp;2'!$B$119:$AU$165,9+CH$7-$BL$7,0)/1000000</f>
        <v>0</v>
      </c>
      <c r="CI16" s="108">
        <f>AY16*$BK16*VLOOKUP($D16,'Land Price Phase Sc1&amp;2'!$B$119:$AU$165,9+CI$7-$BL$7,0)/1000000</f>
        <v>0</v>
      </c>
      <c r="CJ16" s="108">
        <f>AZ16*$BK16*VLOOKUP($D16,'Land Price Phase Sc1&amp;2'!$B$119:$AU$165,9+CJ$7-$BL$7,0)/1000000</f>
        <v>0</v>
      </c>
      <c r="CK16" s="108">
        <f>BA16*$BK16*VLOOKUP($D16,'Land Price Phase Sc1&amp;2'!$B$119:$AU$165,9+CK$7-$BL$7,0)/1000000</f>
        <v>0</v>
      </c>
      <c r="CL16" s="108">
        <f>BB16*$BK16*VLOOKUP($D16,'Land Price Phase Sc1&amp;2'!$B$119:$AU$165,9+CL$7-$BL$7,0)/1000000</f>
        <v>0</v>
      </c>
      <c r="CM16" s="108">
        <f>BC16*$BK16*VLOOKUP($D16,'Land Price Phase Sc1&amp;2'!$B$119:$AU$165,9+CM$7-$BL$7,0)/1000000</f>
        <v>0</v>
      </c>
      <c r="CN16" s="108">
        <f>BD16*$BK16*VLOOKUP($D16,'Land Price Phase Sc1&amp;2'!$B$119:$AU$165,9+CN$7-$BL$7,0)/1000000</f>
        <v>0</v>
      </c>
      <c r="CO16" s="108">
        <f>BE16*$BK16*VLOOKUP($D16,'Land Price Phase Sc1&amp;2'!$B$119:$AU$165,9+CO$7-$BL$7,0)/1000000</f>
        <v>0</v>
      </c>
      <c r="CP16" s="108">
        <f>BF16*$BK16*VLOOKUP($D16,'Land Price Phase Sc1&amp;2'!$B$119:$AU$165,9+CP$7-$BL$7,0)/1000000</f>
        <v>0</v>
      </c>
      <c r="CQ16" s="108">
        <f>BG16*$BK16*VLOOKUP($D16,'Land Price Phase Sc1&amp;2'!$B$119:$AU$165,9+CQ$7-$BL$7,0)/1000000</f>
        <v>0</v>
      </c>
      <c r="CR16" s="108">
        <f t="shared" si="13"/>
        <v>21.086696275710487</v>
      </c>
      <c r="CS16" s="19"/>
      <c r="CT16" s="19"/>
      <c r="CU16" s="19"/>
      <c r="CV16" s="19"/>
      <c r="CW16" s="18"/>
      <c r="CX16" s="18"/>
      <c r="CY16" s="18"/>
      <c r="CZ16" s="18"/>
      <c r="DA16" s="20"/>
      <c r="DB16" s="20"/>
      <c r="DC16" s="20"/>
      <c r="DK16" s="10"/>
      <c r="DL16" s="10"/>
      <c r="DM16" s="10"/>
      <c r="DN16" s="10"/>
      <c r="DO16" s="10"/>
      <c r="DP16" s="10"/>
      <c r="DQ16" s="10"/>
      <c r="DR16" s="10"/>
      <c r="DS16" s="10"/>
      <c r="DT16" s="10"/>
      <c r="EB16" s="84"/>
      <c r="EC16" s="84"/>
    </row>
    <row r="17" spans="1:133" x14ac:dyDescent="0.3">
      <c r="A17" s="104" t="str">
        <f t="shared" si="25"/>
        <v>Warkworth</v>
      </c>
      <c r="B17" s="104" t="s">
        <v>22</v>
      </c>
      <c r="C17" s="104" t="s">
        <v>362</v>
      </c>
      <c r="D17" s="104" t="str">
        <f>'Land Price Phase Sc1&amp;2'!B19</f>
        <v>Warkworth South-East, South-west</v>
      </c>
      <c r="E17" s="104"/>
      <c r="F17" s="105">
        <v>6</v>
      </c>
      <c r="G17" s="105"/>
      <c r="H17" s="105"/>
      <c r="I17" s="105"/>
      <c r="J17" s="105">
        <f t="shared" si="14"/>
        <v>6</v>
      </c>
      <c r="K17" s="105"/>
      <c r="L17" s="105"/>
      <c r="M17" s="105"/>
      <c r="N17" s="105"/>
      <c r="O17" s="104">
        <f>VLOOKUP($D17,'Land Price Phase Sc1&amp;2'!$B$4:$F$50,3,0)</f>
        <v>2041</v>
      </c>
      <c r="P17" s="104">
        <f>VLOOKUP($D17,'Land Price Phase Sc1&amp;2'!$B$4:$F$50,4,0)</f>
        <v>2045</v>
      </c>
      <c r="Q17" s="104">
        <f>VLOOKUP($D17,'Land Price Phase Sc1&amp;2'!$B$4:$F$50,5,0)</f>
        <v>2049</v>
      </c>
      <c r="R17" s="106">
        <f t="shared" si="15"/>
        <v>0.99999999999999989</v>
      </c>
      <c r="S17" s="106"/>
      <c r="T17" s="107">
        <f>'Park spec inputs'!H$22</f>
        <v>0.2</v>
      </c>
      <c r="U17" s="107">
        <f>'Park spec inputs'!I$22</f>
        <v>0.3</v>
      </c>
      <c r="V17" s="107">
        <f>'Park spec inputs'!J$22</f>
        <v>0.5</v>
      </c>
      <c r="W17" s="107">
        <f t="shared" si="7"/>
        <v>0.711860292938581</v>
      </c>
      <c r="X17" s="107">
        <f t="shared" si="8"/>
        <v>4.7381243299543616</v>
      </c>
      <c r="Y17" s="107">
        <f t="shared" si="9"/>
        <v>4.6524672891379275</v>
      </c>
      <c r="Z17" s="104" t="s">
        <v>370</v>
      </c>
      <c r="AA17" s="108">
        <f t="shared" si="16"/>
        <v>0</v>
      </c>
      <c r="AB17" s="111"/>
      <c r="AC17" s="111"/>
      <c r="AD17" s="111"/>
      <c r="AE17" s="111"/>
      <c r="AF17" s="111"/>
      <c r="AG17" s="111"/>
      <c r="AH17" s="111"/>
      <c r="AI17" s="111"/>
      <c r="AJ17" s="111"/>
      <c r="AK17" s="111"/>
      <c r="AL17" s="111"/>
      <c r="AM17" s="111"/>
      <c r="AN17" s="111"/>
      <c r="AO17" s="111"/>
      <c r="AP17" s="111"/>
      <c r="AQ17" s="111"/>
      <c r="AR17" s="111">
        <f>$T17/4</f>
        <v>0.05</v>
      </c>
      <c r="AS17" s="111">
        <f>AR17</f>
        <v>0.05</v>
      </c>
      <c r="AT17" s="111">
        <f t="shared" ref="AT17" si="32">AS17</f>
        <v>0.05</v>
      </c>
      <c r="AU17" s="111">
        <f t="shared" ref="AU17" si="33">AT17</f>
        <v>0.05</v>
      </c>
      <c r="AV17" s="111">
        <f>$U17/4</f>
        <v>7.4999999999999997E-2</v>
      </c>
      <c r="AW17" s="111">
        <f>AV17</f>
        <v>7.4999999999999997E-2</v>
      </c>
      <c r="AX17" s="111">
        <f>AW17</f>
        <v>7.4999999999999997E-2</v>
      </c>
      <c r="AY17" s="111">
        <f>AX17</f>
        <v>7.4999999999999997E-2</v>
      </c>
      <c r="AZ17" s="111">
        <f>$V17/3</f>
        <v>0.16666666666666666</v>
      </c>
      <c r="BA17" s="111">
        <f>AZ17</f>
        <v>0.16666666666666666</v>
      </c>
      <c r="BB17" s="111">
        <f>BA17</f>
        <v>0.16666666666666666</v>
      </c>
      <c r="BC17" s="104"/>
      <c r="BD17" s="104"/>
      <c r="BE17" s="104"/>
      <c r="BF17" s="104"/>
      <c r="BG17" s="104"/>
      <c r="BH17" s="109">
        <f t="shared" si="10"/>
        <v>0</v>
      </c>
      <c r="BI17" s="109">
        <f t="shared" si="11"/>
        <v>0.99999999999999989</v>
      </c>
      <c r="BJ17" s="109"/>
      <c r="BK17" s="104">
        <f t="shared" si="19"/>
        <v>24000</v>
      </c>
      <c r="BL17" s="108">
        <f>AB17*$BK17*VLOOKUP($D17,'Land Price Phase Sc1&amp;2'!$B$119:$AU$165,9+BL$7-$BL$7,0)/1000000</f>
        <v>0</v>
      </c>
      <c r="BM17" s="108">
        <f>AC17*$BK17*VLOOKUP($D17,'Land Price Phase Sc1&amp;2'!$B$119:$AU$165,9+BM$7-$BL$7,0)/1000000</f>
        <v>0</v>
      </c>
      <c r="BN17" s="108">
        <f>AD17*$BK17*VLOOKUP($D17,'Land Price Phase Sc1&amp;2'!$B$119:$AU$165,9+BN$7-$BL$7,0)/1000000</f>
        <v>0</v>
      </c>
      <c r="BO17" s="108">
        <f>AE17*$BK17*VLOOKUP($D17,'Land Price Phase Sc1&amp;2'!$B$119:$AU$165,9+BO$7-$BL$7,0)/1000000</f>
        <v>0</v>
      </c>
      <c r="BP17" s="108">
        <f>AF17*$BK17*VLOOKUP($D17,'Land Price Phase Sc1&amp;2'!$B$119:$AU$165,9+BP$7-$BL$7,0)/1000000</f>
        <v>0</v>
      </c>
      <c r="BQ17" s="108">
        <f>AG17*$BK17*VLOOKUP($D17,'Land Price Phase Sc1&amp;2'!$B$119:$AU$165,9+BQ$7-$BL$7,0)/1000000</f>
        <v>0</v>
      </c>
      <c r="BR17" s="108">
        <f>AH17*$BK17*VLOOKUP($D17,'Land Price Phase Sc1&amp;2'!$B$119:$AU$165,9+BR$7-$BL$7,0)/1000000</f>
        <v>0</v>
      </c>
      <c r="BS17" s="108">
        <f>AI17*$BK17*VLOOKUP($D17,'Land Price Phase Sc1&amp;2'!$B$119:$AU$165,9+BS$7-$BL$7,0)/1000000</f>
        <v>0</v>
      </c>
      <c r="BT17" s="108">
        <f>AJ17*$BK17*VLOOKUP($D17,'Land Price Phase Sc1&amp;2'!$B$119:$AU$165,9+BT$7-$BL$7,0)/1000000</f>
        <v>0</v>
      </c>
      <c r="BU17" s="108">
        <f>AK17*$BK17*VLOOKUP($D17,'Land Price Phase Sc1&amp;2'!$B$119:$AU$165,9+BU$7-$BL$7,0)/1000000</f>
        <v>0</v>
      </c>
      <c r="BV17" s="108">
        <f>AL17*$BK17*VLOOKUP($D17,'Land Price Phase Sc1&amp;2'!$B$119:$AU$165,9+BV$7-$BL$7,0)/1000000</f>
        <v>0</v>
      </c>
      <c r="BW17" s="108">
        <f>AM17*$BK17*VLOOKUP($D17,'Land Price Phase Sc1&amp;2'!$B$119:$AU$165,9+BW$7-$BL$7,0)/1000000</f>
        <v>0</v>
      </c>
      <c r="BX17" s="108">
        <f>AN17*$BK17*VLOOKUP($D17,'Land Price Phase Sc1&amp;2'!$B$119:$AU$165,9+BX$7-$BL$7,0)/1000000</f>
        <v>0</v>
      </c>
      <c r="BY17" s="108">
        <f>AO17*$BK17*VLOOKUP($D17,'Land Price Phase Sc1&amp;2'!$B$119:$AU$165,9+BY$7-$BL$7,0)/1000000</f>
        <v>0</v>
      </c>
      <c r="BZ17" s="108">
        <f>AP17*$BK17*VLOOKUP($D17,'Land Price Phase Sc1&amp;2'!$B$119:$AU$165,9+BZ$7-$BL$7,0)/1000000</f>
        <v>0</v>
      </c>
      <c r="CA17" s="108">
        <f>AQ17*$BK17*VLOOKUP($D17,'Land Price Phase Sc1&amp;2'!$B$119:$AU$165,9+CA$7-$BL$7,0)/1000000</f>
        <v>0</v>
      </c>
      <c r="CB17" s="108">
        <f>AR17*$BK17*VLOOKUP($D17,'Land Price Phase Sc1&amp;2'!$B$119:$AU$165,9+CB$7-$BL$7,0)/1000000</f>
        <v>0.4675611205341097</v>
      </c>
      <c r="CC17" s="108">
        <f>AS17*$BK17*VLOOKUP($D17,'Land Price Phase Sc1&amp;2'!$B$119:$AU$165,9+CC$7-$BL$7,0)/1000000</f>
        <v>0.50075796009203144</v>
      </c>
      <c r="CD17" s="108">
        <f>AT17*$BK17*VLOOKUP($D17,'Land Price Phase Sc1&amp;2'!$B$119:$AU$165,9+CD$7-$BL$7,0)/1000000</f>
        <v>0.53631177525856566</v>
      </c>
      <c r="CE17" s="108">
        <f>AU17*$BK17*VLOOKUP($D17,'Land Price Phase Sc1&amp;2'!$B$119:$AU$165,9+CE$7-$BL$7,0)/1000000</f>
        <v>0.57438991130192385</v>
      </c>
      <c r="CF17" s="108">
        <f>AV17*$BK17*VLOOKUP($D17,'Land Price Phase Sc1&amp;2'!$B$119:$AU$165,9+CF$7-$BL$7,0)/1000000</f>
        <v>1.6325707713577253</v>
      </c>
      <c r="CG17" s="108">
        <f>AW17*$BK17*VLOOKUP($D17,'Land Price Phase Sc1&amp;2'!$B$119:$AU$165,9+CG$7-$BL$7,0)/1000000</f>
        <v>1.7484832961241239</v>
      </c>
      <c r="CH17" s="108">
        <f>AX17*$BK17*VLOOKUP($D17,'Land Price Phase Sc1&amp;2'!$B$119:$AU$165,9+CH$7-$BL$7,0)/1000000</f>
        <v>1.8726256101489365</v>
      </c>
      <c r="CI17" s="108">
        <f>AY17*$BK17*VLOOKUP($D17,'Land Price Phase Sc1&amp;2'!$B$119:$AU$165,9+CI$7-$BL$7,0)/1000000</f>
        <v>2.0055820284695112</v>
      </c>
      <c r="CJ17" s="108">
        <f>AZ17*$BK17*VLOOKUP($D17,'Land Price Phase Sc1&amp;2'!$B$119:$AU$165,9+CJ$7-$BL$7,0)/1000000</f>
        <v>15.565060525295985</v>
      </c>
      <c r="CK17" s="108">
        <f>BA17*$BK17*VLOOKUP($D17,'Land Price Phase Sc1&amp;2'!$B$119:$AU$165,9+CK$7-$BL$7,0)/1000000</f>
        <v>16.670179822592001</v>
      </c>
      <c r="CL17" s="108">
        <f>BB17*$BK17*VLOOKUP($D17,'Land Price Phase Sc1&amp;2'!$B$119:$AU$165,9+CL$7-$BL$7,0)/1000000</f>
        <v>17.853762589996034</v>
      </c>
      <c r="CM17" s="108">
        <f>BC17*$BK17*VLOOKUP($D17,'Land Price Phase Sc1&amp;2'!$B$119:$AU$165,9+CM$7-$BL$7,0)/1000000</f>
        <v>0</v>
      </c>
      <c r="CN17" s="108">
        <f>BD17*$BK17*VLOOKUP($D17,'Land Price Phase Sc1&amp;2'!$B$119:$AU$165,9+CN$7-$BL$7,0)/1000000</f>
        <v>0</v>
      </c>
      <c r="CO17" s="108">
        <f>BE17*$BK17*VLOOKUP($D17,'Land Price Phase Sc1&amp;2'!$B$119:$AU$165,9+CO$7-$BL$7,0)/1000000</f>
        <v>0</v>
      </c>
      <c r="CP17" s="108">
        <f>BF17*$BK17*VLOOKUP($D17,'Land Price Phase Sc1&amp;2'!$B$119:$AU$165,9+CP$7-$BL$7,0)/1000000</f>
        <v>0</v>
      </c>
      <c r="CQ17" s="108">
        <f>BG17*$BK17*VLOOKUP($D17,'Land Price Phase Sc1&amp;2'!$B$119:$AU$165,9+CQ$7-$BL$7,0)/1000000</f>
        <v>0</v>
      </c>
      <c r="CR17" s="108">
        <f t="shared" si="13"/>
        <v>59.427285411170956</v>
      </c>
      <c r="CS17" s="19"/>
      <c r="CT17" s="19"/>
      <c r="CU17" s="19"/>
      <c r="CV17" s="19"/>
      <c r="CW17" s="18"/>
      <c r="CX17" s="18"/>
      <c r="CY17" s="18"/>
      <c r="CZ17" s="18"/>
      <c r="DA17" s="20"/>
      <c r="DB17" s="20"/>
      <c r="DC17" s="20"/>
      <c r="DK17" s="10"/>
      <c r="DL17" s="10"/>
      <c r="DM17" s="10"/>
      <c r="DN17" s="10"/>
      <c r="DO17" s="10"/>
      <c r="DP17" s="10"/>
      <c r="DQ17" s="10"/>
      <c r="DR17" s="10"/>
      <c r="DS17" s="10"/>
      <c r="DT17" s="10"/>
      <c r="EB17" s="84"/>
      <c r="EC17" s="84"/>
    </row>
    <row r="18" spans="1:133" x14ac:dyDescent="0.3">
      <c r="A18" s="104" t="str">
        <f t="shared" si="25"/>
        <v>Warkworth</v>
      </c>
      <c r="B18" s="104" t="s">
        <v>22</v>
      </c>
      <c r="C18" s="104" t="s">
        <v>362</v>
      </c>
      <c r="D18" s="104" t="str">
        <f>D17</f>
        <v>Warkworth South-East, South-west</v>
      </c>
      <c r="E18" s="104"/>
      <c r="F18" s="105"/>
      <c r="G18" s="105">
        <v>1</v>
      </c>
      <c r="H18" s="105"/>
      <c r="I18" s="105"/>
      <c r="J18" s="105"/>
      <c r="K18" s="105">
        <f t="shared" ref="K18" si="34">G18</f>
        <v>1</v>
      </c>
      <c r="L18" s="105"/>
      <c r="M18" s="105"/>
      <c r="N18" s="105"/>
      <c r="O18" s="104">
        <f>VLOOKUP($D18,'Land Price Phase Sc1&amp;2'!$B$4:$F$50,3,0)</f>
        <v>2041</v>
      </c>
      <c r="P18" s="104">
        <f>VLOOKUP($D18,'Land Price Phase Sc1&amp;2'!$B$4:$F$50,4,0)</f>
        <v>2045</v>
      </c>
      <c r="Q18" s="104">
        <f>VLOOKUP($D18,'Land Price Phase Sc1&amp;2'!$B$4:$F$50,5,0)</f>
        <v>2049</v>
      </c>
      <c r="R18" s="106">
        <f t="shared" si="15"/>
        <v>1</v>
      </c>
      <c r="S18" s="107">
        <f>'Park spec inputs'!C$21</f>
        <v>0.15</v>
      </c>
      <c r="T18" s="107">
        <f>'Park spec inputs'!D$21</f>
        <v>0.5</v>
      </c>
      <c r="U18" s="107">
        <f>'Park spec inputs'!E$21</f>
        <v>0.25</v>
      </c>
      <c r="V18" s="107">
        <f>'Park spec inputs'!F$21</f>
        <v>0.1</v>
      </c>
      <c r="W18" s="107">
        <f t="shared" si="7"/>
        <v>0.711860292938581</v>
      </c>
      <c r="X18" s="107">
        <f t="shared" si="8"/>
        <v>4.7381243299543616</v>
      </c>
      <c r="Y18" s="107">
        <f t="shared" si="9"/>
        <v>4.6524672891379275</v>
      </c>
      <c r="Z18" s="104" t="s">
        <v>370</v>
      </c>
      <c r="AA18" s="108">
        <f t="shared" si="16"/>
        <v>0</v>
      </c>
      <c r="AB18" s="111"/>
      <c r="AC18" s="111"/>
      <c r="AD18" s="111"/>
      <c r="AE18" s="111"/>
      <c r="AF18" s="111"/>
      <c r="AG18" s="111"/>
      <c r="AH18" s="111"/>
      <c r="AI18" s="111"/>
      <c r="AJ18" s="111"/>
      <c r="AK18" s="111"/>
      <c r="AL18" s="111"/>
      <c r="AM18" s="111"/>
      <c r="AN18" s="111"/>
      <c r="AO18" s="111">
        <f>$S18/3</f>
        <v>4.9999999999999996E-2</v>
      </c>
      <c r="AP18" s="111">
        <f>AO18</f>
        <v>4.9999999999999996E-2</v>
      </c>
      <c r="AQ18" s="111">
        <f>AP18</f>
        <v>4.9999999999999996E-2</v>
      </c>
      <c r="AR18" s="111">
        <f>$T18/4</f>
        <v>0.125</v>
      </c>
      <c r="AS18" s="111">
        <f>AR18</f>
        <v>0.125</v>
      </c>
      <c r="AT18" s="111">
        <f>AS18</f>
        <v>0.125</v>
      </c>
      <c r="AU18" s="111">
        <f>AT18</f>
        <v>0.125</v>
      </c>
      <c r="AV18" s="111">
        <f>$U18/4</f>
        <v>6.25E-2</v>
      </c>
      <c r="AW18" s="111">
        <f t="shared" si="28"/>
        <v>6.25E-2</v>
      </c>
      <c r="AX18" s="111">
        <f t="shared" si="28"/>
        <v>6.25E-2</v>
      </c>
      <c r="AY18" s="111">
        <f t="shared" si="28"/>
        <v>6.25E-2</v>
      </c>
      <c r="AZ18" s="111">
        <f>$V18/3</f>
        <v>3.3333333333333333E-2</v>
      </c>
      <c r="BA18" s="111">
        <f t="shared" si="29"/>
        <v>3.3333333333333333E-2</v>
      </c>
      <c r="BB18" s="111">
        <f t="shared" si="29"/>
        <v>3.3333333333333333E-2</v>
      </c>
      <c r="BC18" s="104"/>
      <c r="BD18" s="104"/>
      <c r="BE18" s="104"/>
      <c r="BF18" s="104"/>
      <c r="BG18" s="104"/>
      <c r="BH18" s="109">
        <f t="shared" si="10"/>
        <v>0</v>
      </c>
      <c r="BI18" s="109">
        <f t="shared" si="11"/>
        <v>1</v>
      </c>
      <c r="BJ18" s="109"/>
      <c r="BK18" s="104">
        <f t="shared" si="19"/>
        <v>30000</v>
      </c>
      <c r="BL18" s="108">
        <f>AB18*$BK18*VLOOKUP($D18,'Land Price Phase Sc1&amp;2'!$B$119:$AU$165,9+BL$7-$BL$7,0)/1000000</f>
        <v>0</v>
      </c>
      <c r="BM18" s="108">
        <f>AC18*$BK18*VLOOKUP($D18,'Land Price Phase Sc1&amp;2'!$B$119:$AU$165,9+BM$7-$BL$7,0)/1000000</f>
        <v>0</v>
      </c>
      <c r="BN18" s="108">
        <f>AD18*$BK18*VLOOKUP($D18,'Land Price Phase Sc1&amp;2'!$B$119:$AU$165,9+BN$7-$BL$7,0)/1000000</f>
        <v>0</v>
      </c>
      <c r="BO18" s="108">
        <f>AE18*$BK18*VLOOKUP($D18,'Land Price Phase Sc1&amp;2'!$B$119:$AU$165,9+BO$7-$BL$7,0)/1000000</f>
        <v>0</v>
      </c>
      <c r="BP18" s="108">
        <f>AF18*$BK18*VLOOKUP($D18,'Land Price Phase Sc1&amp;2'!$B$119:$AU$165,9+BP$7-$BL$7,0)/1000000</f>
        <v>0</v>
      </c>
      <c r="BQ18" s="108">
        <f>AG18*$BK18*VLOOKUP($D18,'Land Price Phase Sc1&amp;2'!$B$119:$AU$165,9+BQ$7-$BL$7,0)/1000000</f>
        <v>0</v>
      </c>
      <c r="BR18" s="108">
        <f>AH18*$BK18*VLOOKUP($D18,'Land Price Phase Sc1&amp;2'!$B$119:$AU$165,9+BR$7-$BL$7,0)/1000000</f>
        <v>0</v>
      </c>
      <c r="BS18" s="108">
        <f>AI18*$BK18*VLOOKUP($D18,'Land Price Phase Sc1&amp;2'!$B$119:$AU$165,9+BS$7-$BL$7,0)/1000000</f>
        <v>0</v>
      </c>
      <c r="BT18" s="108">
        <f>AJ18*$BK18*VLOOKUP($D18,'Land Price Phase Sc1&amp;2'!$B$119:$AU$165,9+BT$7-$BL$7,0)/1000000</f>
        <v>0</v>
      </c>
      <c r="BU18" s="108">
        <f>AK18*$BK18*VLOOKUP($D18,'Land Price Phase Sc1&amp;2'!$B$119:$AU$165,9+BU$7-$BL$7,0)/1000000</f>
        <v>0</v>
      </c>
      <c r="BV18" s="108">
        <f>AL18*$BK18*VLOOKUP($D18,'Land Price Phase Sc1&amp;2'!$B$119:$AU$165,9+BV$7-$BL$7,0)/1000000</f>
        <v>0</v>
      </c>
      <c r="BW18" s="108">
        <f>AM18*$BK18*VLOOKUP($D18,'Land Price Phase Sc1&amp;2'!$B$119:$AU$165,9+BW$7-$BL$7,0)/1000000</f>
        <v>0</v>
      </c>
      <c r="BX18" s="108">
        <f>AN18*$BK18*VLOOKUP($D18,'Land Price Phase Sc1&amp;2'!$B$119:$AU$165,9+BX$7-$BL$7,0)/1000000</f>
        <v>0</v>
      </c>
      <c r="BY18" s="108">
        <f>AO18*$BK18*VLOOKUP($D18,'Land Price Phase Sc1&amp;2'!$B$119:$AU$165,9+BY$7-$BL$7,0)/1000000</f>
        <v>0.27447190865237248</v>
      </c>
      <c r="BZ18" s="108">
        <f>AP18*$BK18*VLOOKUP($D18,'Land Price Phase Sc1&amp;2'!$B$119:$AU$165,9+BZ$7-$BL$7,0)/1000000</f>
        <v>0.29395941416669091</v>
      </c>
      <c r="CA18" s="108">
        <f>AQ18*$BK18*VLOOKUP($D18,'Land Price Phase Sc1&amp;2'!$B$119:$AU$165,9+CA$7-$BL$7,0)/1000000</f>
        <v>0.31483053257252591</v>
      </c>
      <c r="CB18" s="108">
        <f>AR18*$BK18*VLOOKUP($D18,'Land Price Phase Sc1&amp;2'!$B$119:$AU$165,9+CB$7-$BL$7,0)/1000000</f>
        <v>1.4611285016690927</v>
      </c>
      <c r="CC18" s="108">
        <f>AS18*$BK18*VLOOKUP($D18,'Land Price Phase Sc1&amp;2'!$B$119:$AU$165,9+CC$7-$BL$7,0)/1000000</f>
        <v>1.5648686252875985</v>
      </c>
      <c r="CD18" s="108">
        <f>AT18*$BK18*VLOOKUP($D18,'Land Price Phase Sc1&amp;2'!$B$119:$AU$165,9+CD$7-$BL$7,0)/1000000</f>
        <v>1.6759742976830176</v>
      </c>
      <c r="CE18" s="108">
        <f>AU18*$BK18*VLOOKUP($D18,'Land Price Phase Sc1&amp;2'!$B$119:$AU$165,9+CE$7-$BL$7,0)/1000000</f>
        <v>1.7949684728185118</v>
      </c>
      <c r="CF18" s="108">
        <f>AV18*$BK18*VLOOKUP($D18,'Land Price Phase Sc1&amp;2'!$B$119:$AU$165,9+CF$7-$BL$7,0)/1000000</f>
        <v>1.7005945534976306</v>
      </c>
      <c r="CG18" s="108">
        <f>AW18*$BK18*VLOOKUP($D18,'Land Price Phase Sc1&amp;2'!$B$119:$AU$165,9+CG$7-$BL$7,0)/1000000</f>
        <v>1.8213367667959623</v>
      </c>
      <c r="CH18" s="108">
        <f>AX18*$BK18*VLOOKUP($D18,'Land Price Phase Sc1&amp;2'!$B$119:$AU$165,9+CH$7-$BL$7,0)/1000000</f>
        <v>1.9506516772384754</v>
      </c>
      <c r="CI18" s="108">
        <f>AY18*$BK18*VLOOKUP($D18,'Land Price Phase Sc1&amp;2'!$B$119:$AU$165,9+CI$7-$BL$7,0)/1000000</f>
        <v>2.0891479463224072</v>
      </c>
      <c r="CJ18" s="108">
        <f>AZ18*$BK18*VLOOKUP($D18,'Land Price Phase Sc1&amp;2'!$B$119:$AU$165,9+CJ$7-$BL$7,0)/1000000</f>
        <v>3.8912651313239963</v>
      </c>
      <c r="CK18" s="108">
        <f>BA18*$BK18*VLOOKUP($D18,'Land Price Phase Sc1&amp;2'!$B$119:$AU$165,9+CK$7-$BL$7,0)/1000000</f>
        <v>4.1675449556480002</v>
      </c>
      <c r="CL18" s="108">
        <f>BB18*$BK18*VLOOKUP($D18,'Land Price Phase Sc1&amp;2'!$B$119:$AU$165,9+CL$7-$BL$7,0)/1000000</f>
        <v>4.4634406474990085</v>
      </c>
      <c r="CM18" s="108">
        <f>BC18*$BK18*VLOOKUP($D18,'Land Price Phase Sc1&amp;2'!$B$119:$AU$165,9+CM$7-$BL$7,0)/1000000</f>
        <v>0</v>
      </c>
      <c r="CN18" s="108">
        <f>BD18*$BK18*VLOOKUP($D18,'Land Price Phase Sc1&amp;2'!$B$119:$AU$165,9+CN$7-$BL$7,0)/1000000</f>
        <v>0</v>
      </c>
      <c r="CO18" s="108">
        <f>BE18*$BK18*VLOOKUP($D18,'Land Price Phase Sc1&amp;2'!$B$119:$AU$165,9+CO$7-$BL$7,0)/1000000</f>
        <v>0</v>
      </c>
      <c r="CP18" s="108">
        <f>BF18*$BK18*VLOOKUP($D18,'Land Price Phase Sc1&amp;2'!$B$119:$AU$165,9+CP$7-$BL$7,0)/1000000</f>
        <v>0</v>
      </c>
      <c r="CQ18" s="108">
        <f>BG18*$BK18*VLOOKUP($D18,'Land Price Phase Sc1&amp;2'!$B$119:$AU$165,9+CQ$7-$BL$7,0)/1000000</f>
        <v>0</v>
      </c>
      <c r="CR18" s="108">
        <f t="shared" si="13"/>
        <v>27.464183431175293</v>
      </c>
      <c r="CS18" s="19"/>
      <c r="CT18" s="19"/>
      <c r="CU18" s="19"/>
      <c r="CV18" s="19"/>
      <c r="CW18" s="18"/>
      <c r="CX18" s="18"/>
      <c r="CY18" s="18"/>
      <c r="CZ18" s="18"/>
      <c r="DA18" s="20"/>
      <c r="DB18" s="20"/>
      <c r="DC18" s="20"/>
      <c r="DK18" s="10"/>
      <c r="DL18" s="10"/>
      <c r="DM18" s="10"/>
      <c r="DN18" s="10"/>
      <c r="DO18" s="10"/>
      <c r="DP18" s="10"/>
      <c r="DQ18" s="10"/>
      <c r="DR18" s="10"/>
      <c r="DS18" s="10"/>
      <c r="DT18" s="10"/>
      <c r="EB18" s="84"/>
      <c r="EC18" s="84"/>
    </row>
    <row r="19" spans="1:133" x14ac:dyDescent="0.3">
      <c r="A19" s="104" t="str">
        <f>A23</f>
        <v>Orewa-Hibiscus</v>
      </c>
      <c r="B19" s="104" t="s">
        <v>183</v>
      </c>
      <c r="C19" s="104"/>
      <c r="D19" s="104" t="s">
        <v>235</v>
      </c>
      <c r="E19" s="142" t="s">
        <v>236</v>
      </c>
      <c r="F19" s="143">
        <v>1</v>
      </c>
      <c r="G19" s="144"/>
      <c r="H19" s="144"/>
      <c r="I19" s="144"/>
      <c r="J19" s="143">
        <f t="shared" ref="J19:J24" si="35">F19</f>
        <v>1</v>
      </c>
      <c r="K19" s="144"/>
      <c r="L19" s="144"/>
      <c r="M19" s="144"/>
      <c r="N19" s="144"/>
      <c r="O19" s="145"/>
      <c r="P19" s="145"/>
      <c r="Q19" s="145">
        <v>2023</v>
      </c>
      <c r="R19" s="146">
        <f>SUM(AE19:BG19)</f>
        <v>1</v>
      </c>
      <c r="S19" s="146"/>
      <c r="T19" s="146"/>
      <c r="U19" s="146"/>
      <c r="V19" s="146"/>
      <c r="W19" s="147">
        <f t="shared" si="7"/>
        <v>0.711860292938581</v>
      </c>
      <c r="X19" s="147">
        <f t="shared" si="8"/>
        <v>7.5885272872380236</v>
      </c>
      <c r="Y19" s="147">
        <f t="shared" si="9"/>
        <v>7.2775518103507864</v>
      </c>
      <c r="Z19" s="142">
        <v>28</v>
      </c>
      <c r="AA19" s="148">
        <f t="shared" si="16"/>
        <v>3.0670254035534312</v>
      </c>
      <c r="AB19" s="142"/>
      <c r="AC19" s="142"/>
      <c r="AD19" s="142"/>
      <c r="AE19" s="149">
        <f>1/3</f>
        <v>0.33333333333333331</v>
      </c>
      <c r="AF19" s="149">
        <f t="shared" ref="AF19:AG19" si="36">1/3</f>
        <v>0.33333333333333331</v>
      </c>
      <c r="AG19" s="149">
        <f t="shared" si="36"/>
        <v>0.33333333333333331</v>
      </c>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50">
        <f t="shared" si="10"/>
        <v>1</v>
      </c>
      <c r="BI19" s="150">
        <f t="shared" si="11"/>
        <v>0</v>
      </c>
      <c r="BJ19" s="150"/>
      <c r="BK19" s="142">
        <f t="shared" ref="BK19:BK22" si="37">SUMPRODUCT(F19:I19,$F$5:$I$5)</f>
        <v>4000</v>
      </c>
      <c r="BL19" s="148">
        <f>2.327*'Land Price Phase Sc1&amp;2'!J$114*'OS Acq model'!AB19</f>
        <v>0</v>
      </c>
      <c r="BM19" s="148">
        <f>2.327*'Land Price Phase Sc1&amp;2'!K$114*'OS Acq model'!AC19</f>
        <v>0</v>
      </c>
      <c r="BN19" s="148">
        <f>2.327*'Land Price Phase Sc1&amp;2'!L$114*'OS Acq model'!AD19</f>
        <v>0</v>
      </c>
      <c r="BO19" s="148">
        <f>2.327*'Land Price Phase Sc1&amp;2'!M$114*'OS Acq model'!AE19</f>
        <v>0.95307219626891992</v>
      </c>
      <c r="BP19" s="148">
        <f>2.327*'Land Price Phase Sc1&amp;2'!N$114*'OS Acq model'!AF19</f>
        <v>1.0207403222040132</v>
      </c>
      <c r="BQ19" s="148">
        <f>2.327*'Land Price Phase Sc1&amp;2'!O$114*'OS Acq model'!AG19</f>
        <v>1.0932128850804981</v>
      </c>
      <c r="BR19" s="148">
        <f>2.327*'Land Price Phase Sc1&amp;2'!P$114*'OS Acq model'!AH19</f>
        <v>0</v>
      </c>
      <c r="BS19" s="148">
        <f>2.327*'Land Price Phase Sc1&amp;2'!Q$114*'OS Acq model'!AI19</f>
        <v>0</v>
      </c>
      <c r="BT19" s="148">
        <f>2.327*'Land Price Phase Sc1&amp;2'!R$114*'OS Acq model'!AJ19</f>
        <v>0</v>
      </c>
      <c r="BU19" s="148">
        <f>2.327*'Land Price Phase Sc1&amp;2'!S$114*'OS Acq model'!AK19</f>
        <v>0</v>
      </c>
      <c r="BV19" s="148">
        <f>2.327*'Land Price Phase Sc1&amp;2'!T$114*'OS Acq model'!AL19</f>
        <v>0</v>
      </c>
      <c r="BW19" s="148">
        <f>2.327*'Land Price Phase Sc1&amp;2'!U$114*'OS Acq model'!AM19</f>
        <v>0</v>
      </c>
      <c r="BX19" s="148">
        <f>2.327*'Land Price Phase Sc1&amp;2'!V$114*'OS Acq model'!AN19</f>
        <v>0</v>
      </c>
      <c r="BY19" s="148">
        <f>2.327*'Land Price Phase Sc1&amp;2'!W$114*'OS Acq model'!AO19</f>
        <v>0</v>
      </c>
      <c r="BZ19" s="148">
        <f>2.327*'Land Price Phase Sc1&amp;2'!X$114*'OS Acq model'!AP19</f>
        <v>0</v>
      </c>
      <c r="CA19" s="148">
        <f>2.327*'Land Price Phase Sc1&amp;2'!Y$114*'OS Acq model'!AQ19</f>
        <v>0</v>
      </c>
      <c r="CB19" s="148">
        <f>2.327*'Land Price Phase Sc1&amp;2'!Z$114*'OS Acq model'!AR19</f>
        <v>0</v>
      </c>
      <c r="CC19" s="148">
        <f>2.327*'Land Price Phase Sc1&amp;2'!AA$114*'OS Acq model'!AS19</f>
        <v>0</v>
      </c>
      <c r="CD19" s="148">
        <f>2.327*'Land Price Phase Sc1&amp;2'!AB$114*'OS Acq model'!AT19</f>
        <v>0</v>
      </c>
      <c r="CE19" s="148">
        <f>2.327*'Land Price Phase Sc1&amp;2'!AC$114*'OS Acq model'!AU19</f>
        <v>0</v>
      </c>
      <c r="CF19" s="148">
        <f>2.327*'Land Price Phase Sc1&amp;2'!AD$114*'OS Acq model'!AV19</f>
        <v>0</v>
      </c>
      <c r="CG19" s="148">
        <f>2.327*'Land Price Phase Sc1&amp;2'!AE$114*'OS Acq model'!AW19</f>
        <v>0</v>
      </c>
      <c r="CH19" s="148">
        <f>2.327*'Land Price Phase Sc1&amp;2'!AF$114*'OS Acq model'!AX19</f>
        <v>0</v>
      </c>
      <c r="CI19" s="148">
        <f>2.327*'Land Price Phase Sc1&amp;2'!AG$114*'OS Acq model'!AY19</f>
        <v>0</v>
      </c>
      <c r="CJ19" s="148">
        <f>2.327*'Land Price Phase Sc1&amp;2'!AH$114*'OS Acq model'!AZ19</f>
        <v>0</v>
      </c>
      <c r="CK19" s="148">
        <f>2.327*'Land Price Phase Sc1&amp;2'!AI$114*'OS Acq model'!BA19</f>
        <v>0</v>
      </c>
      <c r="CL19" s="148">
        <f>2.327*'Land Price Phase Sc1&amp;2'!AJ$114*'OS Acq model'!BB19</f>
        <v>0</v>
      </c>
      <c r="CM19" s="148">
        <f>2.327*'Land Price Phase Sc1&amp;2'!AK$114*'OS Acq model'!BC19</f>
        <v>0</v>
      </c>
      <c r="CN19" s="148">
        <f>2.327*'Land Price Phase Sc1&amp;2'!AL$114*'OS Acq model'!BD19</f>
        <v>0</v>
      </c>
      <c r="CO19" s="148">
        <f>2.327*'Land Price Phase Sc1&amp;2'!AM$114*'OS Acq model'!BE19</f>
        <v>0</v>
      </c>
      <c r="CP19" s="148">
        <f>2.327*'Land Price Phase Sc1&amp;2'!AN$114*'OS Acq model'!BF19</f>
        <v>0</v>
      </c>
      <c r="CQ19" s="148">
        <f>2.327*'Land Price Phase Sc1&amp;2'!AO$114*'OS Acq model'!BG19</f>
        <v>0</v>
      </c>
      <c r="CR19" s="148">
        <f t="shared" si="13"/>
        <v>3.0670254035534312</v>
      </c>
      <c r="CS19" s="19"/>
      <c r="CT19" s="19"/>
      <c r="CU19" s="19"/>
      <c r="CV19" s="19"/>
      <c r="CW19" s="18"/>
      <c r="CX19" s="18"/>
      <c r="CY19" s="18"/>
      <c r="CZ19" s="18"/>
      <c r="DA19" s="20"/>
      <c r="DB19" s="20"/>
      <c r="DC19" s="20"/>
      <c r="DK19" s="10"/>
      <c r="DL19" s="10"/>
      <c r="DM19" s="10"/>
      <c r="DN19" s="10"/>
      <c r="DO19" s="10"/>
      <c r="DP19" s="10"/>
      <c r="DQ19" s="10"/>
      <c r="DR19" s="10"/>
      <c r="DS19" s="10"/>
      <c r="DT19" s="10"/>
      <c r="EB19" s="84"/>
      <c r="EC19" s="84"/>
    </row>
    <row r="20" spans="1:133" x14ac:dyDescent="0.3">
      <c r="A20" s="142" t="s">
        <v>242</v>
      </c>
      <c r="B20" s="104" t="s">
        <v>183</v>
      </c>
      <c r="C20" s="104"/>
      <c r="D20" s="104" t="s">
        <v>235</v>
      </c>
      <c r="E20" s="142" t="s">
        <v>237</v>
      </c>
      <c r="F20" s="143">
        <f>7015/4000</f>
        <v>1.7537499999999999</v>
      </c>
      <c r="G20" s="144"/>
      <c r="H20" s="144"/>
      <c r="I20" s="144"/>
      <c r="J20" s="143">
        <f t="shared" si="35"/>
        <v>1.7537499999999999</v>
      </c>
      <c r="K20" s="144"/>
      <c r="L20" s="144"/>
      <c r="M20" s="144"/>
      <c r="N20" s="144"/>
      <c r="O20" s="145"/>
      <c r="P20" s="145"/>
      <c r="Q20" s="145">
        <v>2023</v>
      </c>
      <c r="R20" s="146">
        <f t="shared" ref="R20:R22" si="38">SUM(AB20:BG20)</f>
        <v>1</v>
      </c>
      <c r="S20" s="146"/>
      <c r="T20" s="146"/>
      <c r="U20" s="146"/>
      <c r="V20" s="146"/>
      <c r="W20" s="147">
        <f t="shared" si="7"/>
        <v>0.711860292938581</v>
      </c>
      <c r="X20" s="147">
        <f t="shared" si="8"/>
        <v>7.5885272872380236</v>
      </c>
      <c r="Y20" s="147">
        <f t="shared" si="9"/>
        <v>7.2775518103507864</v>
      </c>
      <c r="Z20" s="142">
        <v>25</v>
      </c>
      <c r="AA20" s="148">
        <f t="shared" si="16"/>
        <v>2.5404776458533331</v>
      </c>
      <c r="AB20" s="149">
        <f>AE19</f>
        <v>0.33333333333333331</v>
      </c>
      <c r="AC20" s="149">
        <f>AF19</f>
        <v>0.33333333333333331</v>
      </c>
      <c r="AD20" s="149">
        <f>AG19</f>
        <v>0.33333333333333331</v>
      </c>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50">
        <f t="shared" si="10"/>
        <v>1</v>
      </c>
      <c r="BI20" s="150">
        <f t="shared" si="11"/>
        <v>0</v>
      </c>
      <c r="BJ20" s="150"/>
      <c r="BK20" s="142">
        <f t="shared" si="37"/>
        <v>7015</v>
      </c>
      <c r="BL20" s="148">
        <f>2.327*'Land Price Phase Sc1&amp;2'!J$114*'OS Acq model'!AB20</f>
        <v>0.79738533333333328</v>
      </c>
      <c r="BM20" s="148">
        <f>2.327*'Land Price Phase Sc1&amp;2'!K$114*'OS Acq model'!AC20</f>
        <v>0.85320230666666674</v>
      </c>
      <c r="BN20" s="148">
        <f>2.327*'Land Price Phase Sc1&amp;2'!L$114*'OS Acq model'!AD20</f>
        <v>0.88989000585333322</v>
      </c>
      <c r="BO20" s="148">
        <f>2.327*'Land Price Phase Sc1&amp;2'!M$114*'OS Acq model'!AE20</f>
        <v>0</v>
      </c>
      <c r="BP20" s="148">
        <f>2.327*'Land Price Phase Sc1&amp;2'!N$114*'OS Acq model'!AF20</f>
        <v>0</v>
      </c>
      <c r="BQ20" s="148">
        <f>2.327*'Land Price Phase Sc1&amp;2'!O$114*'OS Acq model'!AG20</f>
        <v>0</v>
      </c>
      <c r="BR20" s="148">
        <f>2.327*'Land Price Phase Sc1&amp;2'!P$114*'OS Acq model'!AH20</f>
        <v>0</v>
      </c>
      <c r="BS20" s="148">
        <f>2.327*'Land Price Phase Sc1&amp;2'!Q$114*'OS Acq model'!AI20</f>
        <v>0</v>
      </c>
      <c r="BT20" s="148">
        <f>2.327*'Land Price Phase Sc1&amp;2'!R$114*'OS Acq model'!AJ20</f>
        <v>0</v>
      </c>
      <c r="BU20" s="148">
        <f>2.327*'Land Price Phase Sc1&amp;2'!S$114*'OS Acq model'!AK20</f>
        <v>0</v>
      </c>
      <c r="BV20" s="148">
        <f>2.327*'Land Price Phase Sc1&amp;2'!T$114*'OS Acq model'!AL20</f>
        <v>0</v>
      </c>
      <c r="BW20" s="148">
        <f>2.327*'Land Price Phase Sc1&amp;2'!U$114*'OS Acq model'!AM20</f>
        <v>0</v>
      </c>
      <c r="BX20" s="148">
        <f>2.327*'Land Price Phase Sc1&amp;2'!V$114*'OS Acq model'!AN20</f>
        <v>0</v>
      </c>
      <c r="BY20" s="148">
        <f>2.327*'Land Price Phase Sc1&amp;2'!W$114*'OS Acq model'!AO20</f>
        <v>0</v>
      </c>
      <c r="BZ20" s="148">
        <f>2.327*'Land Price Phase Sc1&amp;2'!X$114*'OS Acq model'!AP20</f>
        <v>0</v>
      </c>
      <c r="CA20" s="148">
        <f>2.327*'Land Price Phase Sc1&amp;2'!Y$114*'OS Acq model'!AQ20</f>
        <v>0</v>
      </c>
      <c r="CB20" s="148">
        <f>2.327*'Land Price Phase Sc1&amp;2'!Z$114*'OS Acq model'!AR20</f>
        <v>0</v>
      </c>
      <c r="CC20" s="148">
        <f>2.327*'Land Price Phase Sc1&amp;2'!AA$114*'OS Acq model'!AS20</f>
        <v>0</v>
      </c>
      <c r="CD20" s="148">
        <f>2.327*'Land Price Phase Sc1&amp;2'!AB$114*'OS Acq model'!AT20</f>
        <v>0</v>
      </c>
      <c r="CE20" s="148">
        <f>2.327*'Land Price Phase Sc1&amp;2'!AC$114*'OS Acq model'!AU20</f>
        <v>0</v>
      </c>
      <c r="CF20" s="148">
        <f>2.327*'Land Price Phase Sc1&amp;2'!AD$114*'OS Acq model'!AV20</f>
        <v>0</v>
      </c>
      <c r="CG20" s="148">
        <f>2.327*'Land Price Phase Sc1&amp;2'!AE$114*'OS Acq model'!AW20</f>
        <v>0</v>
      </c>
      <c r="CH20" s="148">
        <f>2.327*'Land Price Phase Sc1&amp;2'!AF$114*'OS Acq model'!AX20</f>
        <v>0</v>
      </c>
      <c r="CI20" s="148">
        <f>2.327*'Land Price Phase Sc1&amp;2'!AG$114*'OS Acq model'!AY20</f>
        <v>0</v>
      </c>
      <c r="CJ20" s="148">
        <f>2.327*'Land Price Phase Sc1&amp;2'!AH$114*'OS Acq model'!AZ20</f>
        <v>0</v>
      </c>
      <c r="CK20" s="148">
        <f>2.327*'Land Price Phase Sc1&amp;2'!AI$114*'OS Acq model'!BA20</f>
        <v>0</v>
      </c>
      <c r="CL20" s="148">
        <f>2.327*'Land Price Phase Sc1&amp;2'!AJ$114*'OS Acq model'!BB20</f>
        <v>0</v>
      </c>
      <c r="CM20" s="148">
        <f>2.327*'Land Price Phase Sc1&amp;2'!AK$114*'OS Acq model'!BC20</f>
        <v>0</v>
      </c>
      <c r="CN20" s="148">
        <f>2.327*'Land Price Phase Sc1&amp;2'!AL$114*'OS Acq model'!BD20</f>
        <v>0</v>
      </c>
      <c r="CO20" s="148">
        <f>2.327*'Land Price Phase Sc1&amp;2'!AM$114*'OS Acq model'!BE20</f>
        <v>0</v>
      </c>
      <c r="CP20" s="148">
        <f>2.327*'Land Price Phase Sc1&amp;2'!AN$114*'OS Acq model'!BF20</f>
        <v>0</v>
      </c>
      <c r="CQ20" s="148">
        <f>2.327*'Land Price Phase Sc1&amp;2'!AO$114*'OS Acq model'!BG20</f>
        <v>0</v>
      </c>
      <c r="CR20" s="148">
        <f t="shared" si="13"/>
        <v>2.5404776458533331</v>
      </c>
      <c r="DB20" s="20"/>
      <c r="DK20" s="10"/>
      <c r="DL20" s="10"/>
      <c r="DM20" s="10"/>
      <c r="DN20" s="10"/>
      <c r="DO20" s="10"/>
      <c r="DP20" s="10"/>
      <c r="DQ20" s="10"/>
      <c r="DR20" s="10"/>
      <c r="DS20" s="10"/>
      <c r="DT20" s="10"/>
      <c r="EB20" s="84"/>
      <c r="EC20" s="84"/>
    </row>
    <row r="21" spans="1:133" x14ac:dyDescent="0.3">
      <c r="A21" s="142" t="s">
        <v>242</v>
      </c>
      <c r="B21" s="104" t="s">
        <v>183</v>
      </c>
      <c r="C21" s="104"/>
      <c r="D21" s="104" t="s">
        <v>235</v>
      </c>
      <c r="E21" s="142" t="s">
        <v>238</v>
      </c>
      <c r="F21" s="143">
        <v>0.75</v>
      </c>
      <c r="G21" s="144"/>
      <c r="H21" s="144"/>
      <c r="I21" s="144"/>
      <c r="J21" s="143">
        <f t="shared" si="35"/>
        <v>0.75</v>
      </c>
      <c r="K21" s="144"/>
      <c r="L21" s="144"/>
      <c r="M21" s="144"/>
      <c r="N21" s="144"/>
      <c r="O21" s="145"/>
      <c r="P21" s="145"/>
      <c r="Q21" s="145">
        <f>Q20</f>
        <v>2023</v>
      </c>
      <c r="R21" s="146">
        <f t="shared" si="38"/>
        <v>1</v>
      </c>
      <c r="S21" s="146"/>
      <c r="T21" s="146"/>
      <c r="U21" s="146"/>
      <c r="V21" s="146"/>
      <c r="W21" s="147">
        <f t="shared" si="7"/>
        <v>0.711860292938581</v>
      </c>
      <c r="X21" s="147">
        <f t="shared" si="8"/>
        <v>7.5885272872380236</v>
      </c>
      <c r="Y21" s="147">
        <f t="shared" si="9"/>
        <v>7.2775518103507864</v>
      </c>
      <c r="Z21" s="142">
        <v>25</v>
      </c>
      <c r="AA21" s="148">
        <f t="shared" si="16"/>
        <v>1.5284351973333332</v>
      </c>
      <c r="AB21" s="149">
        <f>AB20</f>
        <v>0.33333333333333331</v>
      </c>
      <c r="AC21" s="149">
        <f t="shared" ref="AC21:AD21" si="39">AC20</f>
        <v>0.33333333333333331</v>
      </c>
      <c r="AD21" s="149">
        <f t="shared" si="39"/>
        <v>0.33333333333333331</v>
      </c>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50">
        <f t="shared" si="10"/>
        <v>1</v>
      </c>
      <c r="BI21" s="150">
        <f t="shared" si="11"/>
        <v>0</v>
      </c>
      <c r="BJ21" s="150"/>
      <c r="BK21" s="142">
        <f t="shared" si="37"/>
        <v>3000</v>
      </c>
      <c r="BL21" s="148">
        <f>1.4*'Land Price Phase Sc1&amp;2'!J$114*'OS Acq model'!AB21</f>
        <v>0.47973333333333334</v>
      </c>
      <c r="BM21" s="148">
        <f>1.4*'Land Price Phase Sc1&amp;2'!K$114*'OS Acq model'!AC21</f>
        <v>0.51331466666666659</v>
      </c>
      <c r="BN21" s="148">
        <f>1.4*'Land Price Phase Sc1&amp;2'!L$114*'OS Acq model'!AD21</f>
        <v>0.53538719733333329</v>
      </c>
      <c r="BO21" s="148">
        <f>1.4*'Land Price Phase Sc1&amp;2'!M$114*'OS Acq model'!AE21</f>
        <v>0</v>
      </c>
      <c r="BP21" s="148">
        <f>1.4*'Land Price Phase Sc1&amp;2'!N$114*'OS Acq model'!AF21</f>
        <v>0</v>
      </c>
      <c r="BQ21" s="148">
        <f>1.4*'Land Price Phase Sc1&amp;2'!O$114*'OS Acq model'!AG21</f>
        <v>0</v>
      </c>
      <c r="BR21" s="148">
        <f>1.4*'Land Price Phase Sc1&amp;2'!P$114*'OS Acq model'!AH21</f>
        <v>0</v>
      </c>
      <c r="BS21" s="148">
        <f>1.4*'Land Price Phase Sc1&amp;2'!Q$114*'OS Acq model'!AI21</f>
        <v>0</v>
      </c>
      <c r="BT21" s="148">
        <f>1.4*'Land Price Phase Sc1&amp;2'!R$114*'OS Acq model'!AJ21</f>
        <v>0</v>
      </c>
      <c r="BU21" s="148">
        <f>1.4*'Land Price Phase Sc1&amp;2'!S$114*'OS Acq model'!AK21</f>
        <v>0</v>
      </c>
      <c r="BV21" s="148">
        <f>1.4*'Land Price Phase Sc1&amp;2'!T$114*'OS Acq model'!AL21</f>
        <v>0</v>
      </c>
      <c r="BW21" s="148">
        <f>1.4*'Land Price Phase Sc1&amp;2'!U$114*'OS Acq model'!AM21</f>
        <v>0</v>
      </c>
      <c r="BX21" s="148">
        <f>1.4*'Land Price Phase Sc1&amp;2'!V$114*'OS Acq model'!AN21</f>
        <v>0</v>
      </c>
      <c r="BY21" s="148">
        <f>1.4*'Land Price Phase Sc1&amp;2'!W$114*'OS Acq model'!AO21</f>
        <v>0</v>
      </c>
      <c r="BZ21" s="148">
        <f>1.4*'Land Price Phase Sc1&amp;2'!X$114*'OS Acq model'!AP21</f>
        <v>0</v>
      </c>
      <c r="CA21" s="148">
        <f>1.4*'Land Price Phase Sc1&amp;2'!Y$114*'OS Acq model'!AQ21</f>
        <v>0</v>
      </c>
      <c r="CB21" s="148">
        <f>1.4*'Land Price Phase Sc1&amp;2'!Z$114*'OS Acq model'!AR21</f>
        <v>0</v>
      </c>
      <c r="CC21" s="148">
        <f>1.4*'Land Price Phase Sc1&amp;2'!AA$114*'OS Acq model'!AS21</f>
        <v>0</v>
      </c>
      <c r="CD21" s="148">
        <f>1.4*'Land Price Phase Sc1&amp;2'!AB$114*'OS Acq model'!AT21</f>
        <v>0</v>
      </c>
      <c r="CE21" s="148">
        <f>1.4*'Land Price Phase Sc1&amp;2'!AC$114*'OS Acq model'!AU21</f>
        <v>0</v>
      </c>
      <c r="CF21" s="148">
        <f>1.4*'Land Price Phase Sc1&amp;2'!AD$114*'OS Acq model'!AV21</f>
        <v>0</v>
      </c>
      <c r="CG21" s="148">
        <f>1.4*'Land Price Phase Sc1&amp;2'!AE$114*'OS Acq model'!AW21</f>
        <v>0</v>
      </c>
      <c r="CH21" s="148">
        <f>1.4*'Land Price Phase Sc1&amp;2'!AF$114*'OS Acq model'!AX21</f>
        <v>0</v>
      </c>
      <c r="CI21" s="148">
        <f>1.4*'Land Price Phase Sc1&amp;2'!AG$114*'OS Acq model'!AY21</f>
        <v>0</v>
      </c>
      <c r="CJ21" s="148">
        <f>1.4*'Land Price Phase Sc1&amp;2'!AH$114*'OS Acq model'!AZ21</f>
        <v>0</v>
      </c>
      <c r="CK21" s="148">
        <f>1.4*'Land Price Phase Sc1&amp;2'!AI$114*'OS Acq model'!BA21</f>
        <v>0</v>
      </c>
      <c r="CL21" s="148">
        <f>1.4*'Land Price Phase Sc1&amp;2'!AJ$114*'OS Acq model'!BB21</f>
        <v>0</v>
      </c>
      <c r="CM21" s="148">
        <f>1.4*'Land Price Phase Sc1&amp;2'!AK$114*'OS Acq model'!BC21</f>
        <v>0</v>
      </c>
      <c r="CN21" s="148">
        <f>1.4*'Land Price Phase Sc1&amp;2'!AL$114*'OS Acq model'!BD21</f>
        <v>0</v>
      </c>
      <c r="CO21" s="148">
        <f>1.4*'Land Price Phase Sc1&amp;2'!AM$114*'OS Acq model'!BE21</f>
        <v>0</v>
      </c>
      <c r="CP21" s="148">
        <f>1.4*'Land Price Phase Sc1&amp;2'!AN$114*'OS Acq model'!BF21</f>
        <v>0</v>
      </c>
      <c r="CQ21" s="148">
        <f>1.4*'Land Price Phase Sc1&amp;2'!AO$114*'OS Acq model'!BG21</f>
        <v>0</v>
      </c>
      <c r="CR21" s="148">
        <f t="shared" si="13"/>
        <v>1.5284351973333332</v>
      </c>
      <c r="DB21" s="20"/>
      <c r="DK21" s="10"/>
      <c r="DL21" s="10"/>
      <c r="DM21" s="10"/>
      <c r="DN21" s="10"/>
      <c r="DO21" s="10"/>
      <c r="DP21" s="10"/>
      <c r="DQ21" s="10"/>
      <c r="DR21" s="10"/>
      <c r="DS21" s="10"/>
      <c r="DT21" s="10"/>
      <c r="EB21" s="84"/>
      <c r="EC21" s="84"/>
    </row>
    <row r="22" spans="1:133" x14ac:dyDescent="0.3">
      <c r="A22" s="104" t="s">
        <v>450</v>
      </c>
      <c r="B22" s="104" t="s">
        <v>183</v>
      </c>
      <c r="C22" s="104"/>
      <c r="D22" s="104" t="s">
        <v>453</v>
      </c>
      <c r="E22" s="104" t="s">
        <v>454</v>
      </c>
      <c r="F22" s="105">
        <v>1</v>
      </c>
      <c r="G22" s="105"/>
      <c r="H22" s="105"/>
      <c r="I22" s="105"/>
      <c r="J22" s="105">
        <f t="shared" si="35"/>
        <v>1</v>
      </c>
      <c r="K22" s="105"/>
      <c r="L22" s="105"/>
      <c r="M22" s="105"/>
      <c r="N22" s="105"/>
      <c r="O22" s="104"/>
      <c r="P22" s="104"/>
      <c r="Q22" s="104">
        <v>2023</v>
      </c>
      <c r="R22" s="106">
        <f t="shared" si="38"/>
        <v>1</v>
      </c>
      <c r="S22" s="106"/>
      <c r="T22" s="106"/>
      <c r="U22" s="106"/>
      <c r="V22" s="106"/>
      <c r="W22" s="107">
        <f t="shared" si="7"/>
        <v>0.711860292938581</v>
      </c>
      <c r="X22" s="107">
        <f>Y22-AA22</f>
        <v>7.2775518103507864</v>
      </c>
      <c r="Y22" s="107">
        <f t="shared" si="9"/>
        <v>7.2775518103507864</v>
      </c>
      <c r="Z22" s="104"/>
      <c r="AA22" s="108">
        <f t="shared" si="16"/>
        <v>0</v>
      </c>
      <c r="AB22" s="103"/>
      <c r="AC22" s="103"/>
      <c r="AD22" s="103"/>
      <c r="AE22" s="103"/>
      <c r="AF22" s="103"/>
      <c r="AG22" s="103"/>
      <c r="AH22" s="104"/>
      <c r="AI22" s="104"/>
      <c r="AJ22" s="104"/>
      <c r="AK22" s="104"/>
      <c r="AL22" s="103">
        <f>AL115</f>
        <v>0.10472734996525389</v>
      </c>
      <c r="AM22" s="103">
        <f t="shared" ref="AM22:AQ22" si="40">AM115</f>
        <v>0.10601471966704468</v>
      </c>
      <c r="AN22" s="103">
        <f t="shared" si="40"/>
        <v>0.10750477164694536</v>
      </c>
      <c r="AO22" s="103">
        <f t="shared" si="40"/>
        <v>0.10314837920794254</v>
      </c>
      <c r="AP22" s="103">
        <f t="shared" si="40"/>
        <v>4.8886873976350477E-2</v>
      </c>
      <c r="AQ22" s="103">
        <f t="shared" si="40"/>
        <v>5.2554477979523215E-2</v>
      </c>
      <c r="AR22" s="103">
        <f>(1-SUM(AL22:AQ22))/2</f>
        <v>0.23858171377846993</v>
      </c>
      <c r="AS22" s="103">
        <f>AR22</f>
        <v>0.23858171377846993</v>
      </c>
      <c r="AT22" s="104"/>
      <c r="AU22" s="104"/>
      <c r="AV22" s="104"/>
      <c r="AW22" s="104"/>
      <c r="AX22" s="104"/>
      <c r="AY22" s="104"/>
      <c r="AZ22" s="104"/>
      <c r="BA22" s="104"/>
      <c r="BB22" s="104"/>
      <c r="BC22" s="104"/>
      <c r="BD22" s="104"/>
      <c r="BE22" s="104"/>
      <c r="BF22" s="104"/>
      <c r="BG22" s="104"/>
      <c r="BH22" s="109">
        <f t="shared" si="10"/>
        <v>0</v>
      </c>
      <c r="BI22" s="109">
        <f t="shared" si="11"/>
        <v>1</v>
      </c>
      <c r="BJ22" s="109"/>
      <c r="BK22" s="104">
        <f t="shared" si="37"/>
        <v>4000</v>
      </c>
      <c r="BL22" s="108">
        <f>AB22*$BK22*'Cost inputs'!$E$22*'Land Price Phase Sc1&amp;2'!J$114/1000000</f>
        <v>0</v>
      </c>
      <c r="BM22" s="108">
        <f>AC22*$BK22*'Cost inputs'!$E$22*'Land Price Phase Sc1&amp;2'!K$114/1000000</f>
        <v>0</v>
      </c>
      <c r="BN22" s="108">
        <f>AD22*$BK22*'Cost inputs'!$E$22*'Land Price Phase Sc1&amp;2'!L$114/1000000</f>
        <v>0</v>
      </c>
      <c r="BO22" s="108">
        <f>AE22*$BK22*'Cost inputs'!$E$22*'Land Price Phase Sc1&amp;2'!M$114/1000000</f>
        <v>0</v>
      </c>
      <c r="BP22" s="108">
        <f>AF22*$BK22*'Cost inputs'!$E$22*'Land Price Phase Sc1&amp;2'!N$114/1000000</f>
        <v>0</v>
      </c>
      <c r="BQ22" s="108">
        <f>AG22*$BK22*'Cost inputs'!$E$22*'Land Price Phase Sc1&amp;2'!O$114/1000000</f>
        <v>0</v>
      </c>
      <c r="BR22" s="108">
        <f>AH22*$BK22*'Cost inputs'!$E$22*'Land Price Phase Sc1&amp;2'!P$114/1000000</f>
        <v>0</v>
      </c>
      <c r="BS22" s="108">
        <f>AI22*$BK22*'Cost inputs'!$E$22*'Land Price Phase Sc1&amp;2'!Q$114/1000000</f>
        <v>0</v>
      </c>
      <c r="BT22" s="108">
        <f>AJ22*$BK22*'Cost inputs'!$E$22*'Land Price Phase Sc1&amp;2'!R$114/1000000</f>
        <v>0</v>
      </c>
      <c r="BU22" s="108">
        <f>AK22*$BK22*'Cost inputs'!$E$22*'Land Price Phase Sc1&amp;2'!S$114/1000000</f>
        <v>0</v>
      </c>
      <c r="BV22" s="108">
        <f>AL22*$BK22*'Cost inputs'!$E$22*'Land Price Phase Sc1&amp;2'!T$114/1000000</f>
        <v>0.99833964806657383</v>
      </c>
      <c r="BW22" s="108">
        <f>AM22*$BK22*'Cost inputs'!$E$22*'Land Price Phase Sc1&amp;2'!U$114/1000000</f>
        <v>1.0823652609596564</v>
      </c>
      <c r="BX22" s="108">
        <f>AN22*$BK22*'Cost inputs'!$E$22*'Land Price Phase Sc1&amp;2'!V$114/1000000</f>
        <v>1.1755061009917034</v>
      </c>
      <c r="BY22" s="108">
        <f>AO22*$BK22*'Cost inputs'!$E$22*'Land Price Phase Sc1&amp;2'!W$114/1000000</f>
        <v>1.207950187332381</v>
      </c>
      <c r="BZ22" s="108">
        <f>AP22*$BK22*'Cost inputs'!$E$22*'Land Price Phase Sc1&amp;2'!X$114/1000000</f>
        <v>0.61315229160656359</v>
      </c>
      <c r="CA22" s="108">
        <f>AQ22*$BK22*'Cost inputs'!$E$22*'Land Price Phase Sc1&amp;2'!Y$114/1000000</f>
        <v>0.7059521830982135</v>
      </c>
      <c r="CB22" s="108">
        <f>AR22*$BK22*'Cost inputs'!$E$22*'Land Price Phase Sc1&amp;2'!Z$114/1000000</f>
        <v>3.4323548748679888</v>
      </c>
      <c r="CC22" s="108">
        <f>AS22*$BK22*'Cost inputs'!$E$22*'Land Price Phase Sc1&amp;2'!AA$114/1000000</f>
        <v>3.6760520709836157</v>
      </c>
      <c r="CD22" s="108">
        <f>AT22*$BK22*'Cost inputs'!$E$22*'Land Price Phase Sc1&amp;2'!AB$114/1000000</f>
        <v>0</v>
      </c>
      <c r="CE22" s="108">
        <f>AU22*$BK22*'Cost inputs'!$E$22*'Land Price Phase Sc1&amp;2'!AC$114/1000000</f>
        <v>0</v>
      </c>
      <c r="CF22" s="108">
        <f>AV22*$BK22*'Cost inputs'!$E$22*'Land Price Phase Sc1&amp;2'!AD$114/1000000</f>
        <v>0</v>
      </c>
      <c r="CG22" s="108">
        <f>AW22*$BK22*'Cost inputs'!$E$22*'Land Price Phase Sc1&amp;2'!AE$114/1000000</f>
        <v>0</v>
      </c>
      <c r="CH22" s="108">
        <f>AX22*$BK22*'Cost inputs'!$E$22*'Land Price Phase Sc1&amp;2'!AF$114/1000000</f>
        <v>0</v>
      </c>
      <c r="CI22" s="108">
        <f>AY22*$BK22*'Cost inputs'!$E$22*'Land Price Phase Sc1&amp;2'!AG$114/1000000</f>
        <v>0</v>
      </c>
      <c r="CJ22" s="108">
        <f>AZ22*$BK22*'Cost inputs'!$E$22*'Land Price Phase Sc1&amp;2'!AH$114/1000000</f>
        <v>0</v>
      </c>
      <c r="CK22" s="108">
        <f>BA22*$BK22*'Cost inputs'!$E$22*'Land Price Phase Sc1&amp;2'!AI$114/1000000</f>
        <v>0</v>
      </c>
      <c r="CL22" s="108">
        <f>BB22*$BK22*'Cost inputs'!$E$22*'Land Price Phase Sc1&amp;2'!AJ$114/1000000</f>
        <v>0</v>
      </c>
      <c r="CM22" s="108">
        <f>BC22*$BK22*'Cost inputs'!$E$22*'Land Price Phase Sc1&amp;2'!AK$114/1000000</f>
        <v>0</v>
      </c>
      <c r="CN22" s="108">
        <f>BD22*$BK22*'Cost inputs'!$E$22*'Land Price Phase Sc1&amp;2'!AL$114/1000000</f>
        <v>0</v>
      </c>
      <c r="CO22" s="108">
        <f>BE22*$BK22*'Cost inputs'!$E$22*'Land Price Phase Sc1&amp;2'!AM$114/1000000</f>
        <v>0</v>
      </c>
      <c r="CP22" s="108">
        <f>BF22*$BK22*'Cost inputs'!$E$22*'Land Price Phase Sc1&amp;2'!AN$114/1000000</f>
        <v>0</v>
      </c>
      <c r="CQ22" s="108">
        <f>BG22*$BK22*'Cost inputs'!$E$22*'Land Price Phase Sc1&amp;2'!AO$114/1000000</f>
        <v>0</v>
      </c>
      <c r="CR22" s="108">
        <f t="shared" si="13"/>
        <v>12.891672617906696</v>
      </c>
      <c r="DB22" s="20"/>
      <c r="DK22" s="10"/>
      <c r="DL22" s="10"/>
      <c r="DM22" s="10"/>
      <c r="DN22" s="10"/>
      <c r="DO22" s="10"/>
      <c r="DP22" s="10"/>
      <c r="DQ22" s="10"/>
      <c r="DR22" s="10"/>
      <c r="DS22" s="10"/>
      <c r="DT22" s="10"/>
      <c r="EB22" s="84"/>
      <c r="EC22" s="84"/>
    </row>
    <row r="23" spans="1:133" x14ac:dyDescent="0.3">
      <c r="A23" s="104" t="str">
        <f>'Cost inputs'!A22</f>
        <v>Orewa-Hibiscus</v>
      </c>
      <c r="B23" s="104" t="s">
        <v>185</v>
      </c>
      <c r="C23" s="104"/>
      <c r="D23" s="104" t="str">
        <f>'Land Price Phase Sc1&amp;2'!B28</f>
        <v>Upper Orewa</v>
      </c>
      <c r="E23" s="104"/>
      <c r="F23" s="105">
        <v>11</v>
      </c>
      <c r="G23" s="105"/>
      <c r="H23" s="105"/>
      <c r="I23" s="105"/>
      <c r="J23" s="105">
        <f t="shared" si="35"/>
        <v>11</v>
      </c>
      <c r="K23" s="105"/>
      <c r="L23" s="105"/>
      <c r="M23" s="105"/>
      <c r="N23" s="105"/>
      <c r="O23" s="104">
        <f>VLOOKUP($D23,'Land Price Phase Sc1&amp;2'!$B$4:$F$50,3,0)</f>
        <v>2046</v>
      </c>
      <c r="P23" s="104">
        <f>VLOOKUP($D23,'Land Price Phase Sc1&amp;2'!$B$4:$F$50,4,0)</f>
        <v>2050</v>
      </c>
      <c r="Q23" s="104">
        <f>VLOOKUP($D23,'Land Price Phase Sc1&amp;2'!$B$4:$F$50,5,0)</f>
        <v>2054</v>
      </c>
      <c r="R23" s="106">
        <f t="shared" ref="R23:R31" si="41">SUM(AB23:BG23)</f>
        <v>0.99999999999999989</v>
      </c>
      <c r="S23" s="104"/>
      <c r="T23" s="107">
        <f>'Park spec inputs'!H$22</f>
        <v>0.2</v>
      </c>
      <c r="U23" s="107">
        <f>'Park spec inputs'!I$22</f>
        <v>0.3</v>
      </c>
      <c r="V23" s="107">
        <f>'Park spec inputs'!J$22</f>
        <v>0.5</v>
      </c>
      <c r="W23" s="107">
        <f t="shared" si="7"/>
        <v>0.21355808788157427</v>
      </c>
      <c r="X23" s="107">
        <f t="shared" ref="X23:X53" si="42">VLOOKUP($B23,$B$317:$M$346,11,0)</f>
        <v>1.7294495726942041</v>
      </c>
      <c r="Y23" s="107">
        <f t="shared" si="9"/>
        <v>1.7275033036941649</v>
      </c>
      <c r="Z23" s="104">
        <v>25</v>
      </c>
      <c r="AA23" s="108">
        <f t="shared" si="16"/>
        <v>0</v>
      </c>
      <c r="AB23" s="104"/>
      <c r="AC23" s="104"/>
      <c r="AD23" s="104"/>
      <c r="AE23" s="104"/>
      <c r="AF23" s="104"/>
      <c r="AG23" s="104"/>
      <c r="AH23" s="104"/>
      <c r="AI23" s="104"/>
      <c r="AJ23" s="104"/>
      <c r="AK23" s="104"/>
      <c r="AL23" s="104"/>
      <c r="AM23" s="104"/>
      <c r="AN23" s="104"/>
      <c r="AO23" s="104"/>
      <c r="AP23" s="104"/>
      <c r="AQ23" s="104"/>
      <c r="AR23" s="104"/>
      <c r="AS23" s="111"/>
      <c r="AT23" s="111"/>
      <c r="AU23" s="111"/>
      <c r="AV23" s="111"/>
      <c r="AW23" s="111">
        <f>$T23/4</f>
        <v>0.05</v>
      </c>
      <c r="AX23" s="111">
        <f>AW23</f>
        <v>0.05</v>
      </c>
      <c r="AY23" s="111">
        <f t="shared" ref="AY23" si="43">AX23</f>
        <v>0.05</v>
      </c>
      <c r="AZ23" s="111">
        <f t="shared" ref="AZ23" si="44">AY23</f>
        <v>0.05</v>
      </c>
      <c r="BA23" s="111">
        <f>$U23/4</f>
        <v>7.4999999999999997E-2</v>
      </c>
      <c r="BB23" s="111">
        <f t="shared" ref="BB23:BD24" si="45">BA23</f>
        <v>7.4999999999999997E-2</v>
      </c>
      <c r="BC23" s="111">
        <f t="shared" si="45"/>
        <v>7.4999999999999997E-2</v>
      </c>
      <c r="BD23" s="111">
        <f t="shared" si="45"/>
        <v>7.4999999999999997E-2</v>
      </c>
      <c r="BE23" s="111">
        <f>$V23/3</f>
        <v>0.16666666666666666</v>
      </c>
      <c r="BF23" s="111">
        <f>BE23</f>
        <v>0.16666666666666666</v>
      </c>
      <c r="BG23" s="111">
        <f>BF23</f>
        <v>0.16666666666666666</v>
      </c>
      <c r="BH23" s="109">
        <f t="shared" si="10"/>
        <v>0</v>
      </c>
      <c r="BI23" s="109">
        <f t="shared" si="11"/>
        <v>0.99999999999999989</v>
      </c>
      <c r="BJ23" s="109"/>
      <c r="BK23" s="104">
        <f t="shared" ref="BK23:BK31" si="46">SUMPRODUCT(F23:I23,$F$5:$I$5)</f>
        <v>44000</v>
      </c>
      <c r="BL23" s="108">
        <f>AB23*$BK23*VLOOKUP($D23,'Land Price Phase Sc1&amp;2'!$B$119:$AU$165,9+BL$7-$BL$7,0)/1000000</f>
        <v>0</v>
      </c>
      <c r="BM23" s="108">
        <f>AC23*$BK23*VLOOKUP($D23,'Land Price Phase Sc1&amp;2'!$B$119:$AU$165,9+BM$7-$BL$7,0)/1000000</f>
        <v>0</v>
      </c>
      <c r="BN23" s="108">
        <f>AD23*$BK23*VLOOKUP($D23,'Land Price Phase Sc1&amp;2'!$B$119:$AU$165,9+BN$7-$BL$7,0)/1000000</f>
        <v>0</v>
      </c>
      <c r="BO23" s="108">
        <f>AE23*$BK23*VLOOKUP($D23,'Land Price Phase Sc1&amp;2'!$B$119:$AU$165,9+BO$7-$BL$7,0)/1000000</f>
        <v>0</v>
      </c>
      <c r="BP23" s="108">
        <f>AF23*$BK23*VLOOKUP($D23,'Land Price Phase Sc1&amp;2'!$B$119:$AU$165,9+BP$7-$BL$7,0)/1000000</f>
        <v>0</v>
      </c>
      <c r="BQ23" s="108">
        <f>AG23*$BK23*VLOOKUP($D23,'Land Price Phase Sc1&amp;2'!$B$119:$AU$165,9+BQ$7-$BL$7,0)/1000000</f>
        <v>0</v>
      </c>
      <c r="BR23" s="108">
        <f>AH23*$BK23*VLOOKUP($D23,'Land Price Phase Sc1&amp;2'!$B$119:$AU$165,9+BR$7-$BL$7,0)/1000000</f>
        <v>0</v>
      </c>
      <c r="BS23" s="108">
        <f>AI23*$BK23*VLOOKUP($D23,'Land Price Phase Sc1&amp;2'!$B$119:$AU$165,9+BS$7-$BL$7,0)/1000000</f>
        <v>0</v>
      </c>
      <c r="BT23" s="108">
        <f>AJ23*$BK23*VLOOKUP($D23,'Land Price Phase Sc1&amp;2'!$B$119:$AU$165,9+BT$7-$BL$7,0)/1000000</f>
        <v>0</v>
      </c>
      <c r="BU23" s="108">
        <f>AK23*$BK23*VLOOKUP($D23,'Land Price Phase Sc1&amp;2'!$B$119:$AU$165,9+BU$7-$BL$7,0)/1000000</f>
        <v>0</v>
      </c>
      <c r="BV23" s="108">
        <f>AL23*$BK23*VLOOKUP($D23,'Land Price Phase Sc1&amp;2'!$B$119:$AU$165,9+BV$7-$BL$7,0)/1000000</f>
        <v>0</v>
      </c>
      <c r="BW23" s="108">
        <f>AM23*$BK23*VLOOKUP($D23,'Land Price Phase Sc1&amp;2'!$B$119:$AU$165,9+BW$7-$BL$7,0)/1000000</f>
        <v>0</v>
      </c>
      <c r="BX23" s="108">
        <f>AN23*$BK23*VLOOKUP($D23,'Land Price Phase Sc1&amp;2'!$B$119:$AU$165,9+BX$7-$BL$7,0)/1000000</f>
        <v>0</v>
      </c>
      <c r="BY23" s="108">
        <f>AO23*$BK23*VLOOKUP($D23,'Land Price Phase Sc1&amp;2'!$B$119:$AU$165,9+BY$7-$BL$7,0)/1000000</f>
        <v>0</v>
      </c>
      <c r="BZ23" s="108">
        <f>AP23*$BK23*VLOOKUP($D23,'Land Price Phase Sc1&amp;2'!$B$119:$AU$165,9+BZ$7-$BL$7,0)/1000000</f>
        <v>0</v>
      </c>
      <c r="CA23" s="108">
        <f>AQ23*$BK23*VLOOKUP($D23,'Land Price Phase Sc1&amp;2'!$B$119:$AU$165,9+CA$7-$BL$7,0)/1000000</f>
        <v>0</v>
      </c>
      <c r="CB23" s="108">
        <f>AR23*$BK23*VLOOKUP($D23,'Land Price Phase Sc1&amp;2'!$B$119:$AU$165,9+CB$7-$BL$7,0)/1000000</f>
        <v>0</v>
      </c>
      <c r="CC23" s="108">
        <f>AS23*$BK23*VLOOKUP($D23,'Land Price Phase Sc1&amp;2'!$B$119:$AU$165,9+CC$7-$BL$7,0)/1000000</f>
        <v>0</v>
      </c>
      <c r="CD23" s="108">
        <f>AT23*$BK23*VLOOKUP($D23,'Land Price Phase Sc1&amp;2'!$B$119:$AU$165,9+CD$7-$BL$7,0)/1000000</f>
        <v>0</v>
      </c>
      <c r="CE23" s="108">
        <f>AU23*$BK23*VLOOKUP($D23,'Land Price Phase Sc1&amp;2'!$B$119:$AU$165,9+CE$7-$BL$7,0)/1000000</f>
        <v>0</v>
      </c>
      <c r="CF23" s="108">
        <f>AV23*$BK23*VLOOKUP($D23,'Land Price Phase Sc1&amp;2'!$B$119:$AU$165,9+CF$7-$BL$7,0)/1000000</f>
        <v>0</v>
      </c>
      <c r="CG23" s="108">
        <f>AW23*$BK23*VLOOKUP($D23,'Land Price Phase Sc1&amp;2'!$B$119:$AU$165,9+CG$7-$BL$7,0)/1000000</f>
        <v>2.0905778540614524</v>
      </c>
      <c r="CH23" s="108">
        <f>AX23*$BK23*VLOOKUP($D23,'Land Price Phase Sc1&amp;2'!$B$119:$AU$165,9+CH$7-$BL$7,0)/1000000</f>
        <v>2.2390088816998155</v>
      </c>
      <c r="CI23" s="108">
        <f>AY23*$BK23*VLOOKUP($D23,'Land Price Phase Sc1&amp;2'!$B$119:$AU$165,9+CI$7-$BL$7,0)/1000000</f>
        <v>2.3979785123005022</v>
      </c>
      <c r="CJ23" s="108">
        <f>AZ23*$BK23*VLOOKUP($D23,'Land Price Phase Sc1&amp;2'!$B$119:$AU$165,9+CJ$7-$BL$7,0)/1000000</f>
        <v>2.5682349866738376</v>
      </c>
      <c r="CK23" s="108">
        <f>BA23*$BK23*VLOOKUP($D23,'Land Price Phase Sc1&amp;2'!$B$119:$AU$165,9+CK$7-$BL$7,0)/1000000</f>
        <v>7.3348791219404808</v>
      </c>
      <c r="CL23" s="108">
        <f>BB23*$BK23*VLOOKUP($D23,'Land Price Phase Sc1&amp;2'!$B$119:$AU$165,9+CL$7-$BL$7,0)/1000000</f>
        <v>7.8556555395982546</v>
      </c>
      <c r="CM23" s="108">
        <f>BC23*$BK23*VLOOKUP($D23,'Land Price Phase Sc1&amp;2'!$B$119:$AU$165,9+CM$7-$BL$7,0)/1000000</f>
        <v>8.4134070829097301</v>
      </c>
      <c r="CN23" s="108">
        <f>BD23*$BK23*VLOOKUP($D23,'Land Price Phase Sc1&amp;2'!$B$119:$AU$165,9+CN$7-$BL$7,0)/1000000</f>
        <v>9.010758985796322</v>
      </c>
      <c r="CO23" s="108">
        <f>BE23*$BK23*VLOOKUP($D23,'Land Price Phase Sc1&amp;2'!$B$119:$AU$165,9+CO$7-$BL$7,0)/1000000</f>
        <v>64.336819158585726</v>
      </c>
      <c r="CP23" s="108">
        <f>BF23*$BK23*VLOOKUP($D23,'Land Price Phase Sc1&amp;2'!$B$119:$AU$165,9+CP$7-$BL$7,0)/1000000</f>
        <v>68.904733318845302</v>
      </c>
      <c r="CQ23" s="108">
        <f>BG23*$BK23*VLOOKUP($D23,'Land Price Phase Sc1&amp;2'!$B$119:$AU$165,9+CQ$7-$BL$7,0)/1000000</f>
        <v>73.796969384483319</v>
      </c>
      <c r="CR23" s="108">
        <f t="shared" si="13"/>
        <v>248.94902282689475</v>
      </c>
      <c r="CS23" s="19"/>
      <c r="CT23" s="19"/>
      <c r="CU23" s="19"/>
      <c r="CV23" s="19"/>
      <c r="CW23" s="18"/>
      <c r="CX23" s="18"/>
      <c r="CY23" s="18"/>
      <c r="CZ23" s="18"/>
      <c r="DA23" s="20"/>
      <c r="DB23" s="20"/>
      <c r="DC23" s="20"/>
      <c r="DK23" s="10"/>
      <c r="DL23" s="10"/>
      <c r="DM23" s="10"/>
      <c r="DN23" s="10"/>
      <c r="DO23" s="10"/>
      <c r="DP23" s="10"/>
      <c r="DQ23" s="10"/>
      <c r="DR23" s="10"/>
      <c r="DS23" s="10"/>
      <c r="DT23" s="10"/>
      <c r="EB23" s="84"/>
      <c r="EC23" s="84"/>
    </row>
    <row r="24" spans="1:133" x14ac:dyDescent="0.3">
      <c r="A24" s="104" t="s">
        <v>24</v>
      </c>
      <c r="B24" s="104" t="s">
        <v>185</v>
      </c>
      <c r="C24" s="104"/>
      <c r="D24" s="104" t="s">
        <v>77</v>
      </c>
      <c r="E24" s="104"/>
      <c r="F24" s="105">
        <v>8</v>
      </c>
      <c r="G24" s="105"/>
      <c r="H24" s="105"/>
      <c r="I24" s="105"/>
      <c r="J24" s="105">
        <f t="shared" si="35"/>
        <v>8</v>
      </c>
      <c r="K24" s="105"/>
      <c r="L24" s="105"/>
      <c r="M24" s="105"/>
      <c r="N24" s="105"/>
      <c r="O24" s="104">
        <f>VLOOKUP($D24,'Land Price Phase Sc1&amp;2'!$B$4:$F$50,3,0)</f>
        <v>2046</v>
      </c>
      <c r="P24" s="104">
        <f>VLOOKUP($D24,'Land Price Phase Sc1&amp;2'!$B$4:$F$50,4,0)</f>
        <v>2050</v>
      </c>
      <c r="Q24" s="104">
        <f>VLOOKUP($D24,'Land Price Phase Sc1&amp;2'!$B$4:$F$50,5,0)</f>
        <v>2054</v>
      </c>
      <c r="R24" s="106">
        <f t="shared" si="41"/>
        <v>0.99999999999999989</v>
      </c>
      <c r="S24" s="104"/>
      <c r="T24" s="107">
        <f>'Park spec inputs'!H$22</f>
        <v>0.2</v>
      </c>
      <c r="U24" s="107">
        <f>'Park spec inputs'!I$22</f>
        <v>0.3</v>
      </c>
      <c r="V24" s="107">
        <f>'Park spec inputs'!J$22</f>
        <v>0.5</v>
      </c>
      <c r="W24" s="107">
        <f t="shared" si="7"/>
        <v>0.21355808788157427</v>
      </c>
      <c r="X24" s="107">
        <f t="shared" si="42"/>
        <v>1.7294495726942041</v>
      </c>
      <c r="Y24" s="107">
        <f t="shared" si="9"/>
        <v>1.7275033036941649</v>
      </c>
      <c r="Z24" s="104" t="s">
        <v>370</v>
      </c>
      <c r="AA24" s="108">
        <f t="shared" si="16"/>
        <v>0</v>
      </c>
      <c r="AB24" s="104"/>
      <c r="AC24" s="104"/>
      <c r="AD24" s="104"/>
      <c r="AE24" s="104"/>
      <c r="AF24" s="104"/>
      <c r="AG24" s="104"/>
      <c r="AH24" s="104"/>
      <c r="AI24" s="104"/>
      <c r="AJ24" s="104"/>
      <c r="AK24" s="104"/>
      <c r="AL24" s="104"/>
      <c r="AM24" s="104"/>
      <c r="AN24" s="104"/>
      <c r="AO24" s="104"/>
      <c r="AP24" s="104"/>
      <c r="AQ24" s="104"/>
      <c r="AR24" s="104"/>
      <c r="AS24" s="111"/>
      <c r="AT24" s="111"/>
      <c r="AU24" s="111"/>
      <c r="AV24" s="111"/>
      <c r="AW24" s="111">
        <f>$T24/4</f>
        <v>0.05</v>
      </c>
      <c r="AX24" s="111">
        <f>AW24</f>
        <v>0.05</v>
      </c>
      <c r="AY24" s="111">
        <f t="shared" ref="AY24" si="47">AX24</f>
        <v>0.05</v>
      </c>
      <c r="AZ24" s="111">
        <f t="shared" ref="AZ24" si="48">AY24</f>
        <v>0.05</v>
      </c>
      <c r="BA24" s="111">
        <f>$U24/4</f>
        <v>7.4999999999999997E-2</v>
      </c>
      <c r="BB24" s="111">
        <f t="shared" si="45"/>
        <v>7.4999999999999997E-2</v>
      </c>
      <c r="BC24" s="111">
        <f t="shared" si="45"/>
        <v>7.4999999999999997E-2</v>
      </c>
      <c r="BD24" s="111">
        <f t="shared" si="45"/>
        <v>7.4999999999999997E-2</v>
      </c>
      <c r="BE24" s="111">
        <f>$V24/3</f>
        <v>0.16666666666666666</v>
      </c>
      <c r="BF24" s="111">
        <f>BE24</f>
        <v>0.16666666666666666</v>
      </c>
      <c r="BG24" s="111">
        <f>BF24</f>
        <v>0.16666666666666666</v>
      </c>
      <c r="BH24" s="109">
        <f t="shared" si="10"/>
        <v>0</v>
      </c>
      <c r="BI24" s="109">
        <f t="shared" si="11"/>
        <v>0.99999999999999989</v>
      </c>
      <c r="BJ24" s="109"/>
      <c r="BK24" s="104">
        <f t="shared" si="46"/>
        <v>32000</v>
      </c>
      <c r="BL24" s="108">
        <f>AB24*$BK24*VLOOKUP($D24,'Land Price Phase Sc1&amp;2'!$B$119:$AU$165,9+BL$7-$BL$7,0)/1000000</f>
        <v>0</v>
      </c>
      <c r="BM24" s="108">
        <f>AC24*$BK24*VLOOKUP($D24,'Land Price Phase Sc1&amp;2'!$B$119:$AU$165,9+BM$7-$BL$7,0)/1000000</f>
        <v>0</v>
      </c>
      <c r="BN24" s="108">
        <f>AD24*$BK24*VLOOKUP($D24,'Land Price Phase Sc1&amp;2'!$B$119:$AU$165,9+BN$7-$BL$7,0)/1000000</f>
        <v>0</v>
      </c>
      <c r="BO24" s="108">
        <f>AE24*$BK24*VLOOKUP($D24,'Land Price Phase Sc1&amp;2'!$B$119:$AU$165,9+BO$7-$BL$7,0)/1000000</f>
        <v>0</v>
      </c>
      <c r="BP24" s="108">
        <f>AF24*$BK24*VLOOKUP($D24,'Land Price Phase Sc1&amp;2'!$B$119:$AU$165,9+BP$7-$BL$7,0)/1000000</f>
        <v>0</v>
      </c>
      <c r="BQ24" s="108">
        <f>AG24*$BK24*VLOOKUP($D24,'Land Price Phase Sc1&amp;2'!$B$119:$AU$165,9+BQ$7-$BL$7,0)/1000000</f>
        <v>0</v>
      </c>
      <c r="BR24" s="108">
        <f>AH24*$BK24*VLOOKUP($D24,'Land Price Phase Sc1&amp;2'!$B$119:$AU$165,9+BR$7-$BL$7,0)/1000000</f>
        <v>0</v>
      </c>
      <c r="BS24" s="108">
        <f>AI24*$BK24*VLOOKUP($D24,'Land Price Phase Sc1&amp;2'!$B$119:$AU$165,9+BS$7-$BL$7,0)/1000000</f>
        <v>0</v>
      </c>
      <c r="BT24" s="108">
        <f>AJ24*$BK24*VLOOKUP($D24,'Land Price Phase Sc1&amp;2'!$B$119:$AU$165,9+BT$7-$BL$7,0)/1000000</f>
        <v>0</v>
      </c>
      <c r="BU24" s="108">
        <f>AK24*$BK24*VLOOKUP($D24,'Land Price Phase Sc1&amp;2'!$B$119:$AU$165,9+BU$7-$BL$7,0)/1000000</f>
        <v>0</v>
      </c>
      <c r="BV24" s="108">
        <f>AL24*$BK24*VLOOKUP($D24,'Land Price Phase Sc1&amp;2'!$B$119:$AU$165,9+BV$7-$BL$7,0)/1000000</f>
        <v>0</v>
      </c>
      <c r="BW24" s="108">
        <f>AM24*$BK24*VLOOKUP($D24,'Land Price Phase Sc1&amp;2'!$B$119:$AU$165,9+BW$7-$BL$7,0)/1000000</f>
        <v>0</v>
      </c>
      <c r="BX24" s="108">
        <f>AN24*$BK24*VLOOKUP($D24,'Land Price Phase Sc1&amp;2'!$B$119:$AU$165,9+BX$7-$BL$7,0)/1000000</f>
        <v>0</v>
      </c>
      <c r="BY24" s="108">
        <f>AO24*$BK24*VLOOKUP($D24,'Land Price Phase Sc1&amp;2'!$B$119:$AU$165,9+BY$7-$BL$7,0)/1000000</f>
        <v>0</v>
      </c>
      <c r="BZ24" s="108">
        <f>AP24*$BK24*VLOOKUP($D24,'Land Price Phase Sc1&amp;2'!$B$119:$AU$165,9+BZ$7-$BL$7,0)/1000000</f>
        <v>0</v>
      </c>
      <c r="CA24" s="108">
        <f>AQ24*$BK24*VLOOKUP($D24,'Land Price Phase Sc1&amp;2'!$B$119:$AU$165,9+CA$7-$BL$7,0)/1000000</f>
        <v>0</v>
      </c>
      <c r="CB24" s="108">
        <f>AR24*$BK24*VLOOKUP($D24,'Land Price Phase Sc1&amp;2'!$B$119:$AU$165,9+CB$7-$BL$7,0)/1000000</f>
        <v>0</v>
      </c>
      <c r="CC24" s="108">
        <f>AS24*$BK24*VLOOKUP($D24,'Land Price Phase Sc1&amp;2'!$B$119:$AU$165,9+CC$7-$BL$7,0)/1000000</f>
        <v>0</v>
      </c>
      <c r="CD24" s="108">
        <f>AT24*$BK24*VLOOKUP($D24,'Land Price Phase Sc1&amp;2'!$B$119:$AU$165,9+CD$7-$BL$7,0)/1000000</f>
        <v>0</v>
      </c>
      <c r="CE24" s="108">
        <f>AU24*$BK24*VLOOKUP($D24,'Land Price Phase Sc1&amp;2'!$B$119:$AU$165,9+CE$7-$BL$7,0)/1000000</f>
        <v>0</v>
      </c>
      <c r="CF24" s="108">
        <f>AV24*$BK24*VLOOKUP($D24,'Land Price Phase Sc1&amp;2'!$B$119:$AU$165,9+CF$7-$BL$7,0)/1000000</f>
        <v>0</v>
      </c>
      <c r="CG24" s="108">
        <f>AW24*$BK24*VLOOKUP($D24,'Land Price Phase Sc1&amp;2'!$B$119:$AU$165,9+CG$7-$BL$7,0)/1000000</f>
        <v>1.5204202574992383</v>
      </c>
      <c r="CH24" s="108">
        <f>AX24*$BK24*VLOOKUP($D24,'Land Price Phase Sc1&amp;2'!$B$119:$AU$165,9+CH$7-$BL$7,0)/1000000</f>
        <v>1.628370095781684</v>
      </c>
      <c r="CI24" s="108">
        <f>AY24*$BK24*VLOOKUP($D24,'Land Price Phase Sc1&amp;2'!$B$119:$AU$165,9+CI$7-$BL$7,0)/1000000</f>
        <v>1.7439843725821833</v>
      </c>
      <c r="CJ24" s="108">
        <f>AZ24*$BK24*VLOOKUP($D24,'Land Price Phase Sc1&amp;2'!$B$119:$AU$165,9+CJ$7-$BL$7,0)/1000000</f>
        <v>1.867807263035518</v>
      </c>
      <c r="CK24" s="108">
        <f>BA24*$BK24*VLOOKUP($D24,'Land Price Phase Sc1&amp;2'!$B$119:$AU$165,9+CK$7-$BL$7,0)/1000000</f>
        <v>5.3344575432294405</v>
      </c>
      <c r="CL24" s="108">
        <f>BB24*$BK24*VLOOKUP($D24,'Land Price Phase Sc1&amp;2'!$B$119:$AU$165,9+CL$7-$BL$7,0)/1000000</f>
        <v>5.7132040287987298</v>
      </c>
      <c r="CM24" s="108">
        <f>BC24*$BK24*VLOOKUP($D24,'Land Price Phase Sc1&amp;2'!$B$119:$AU$165,9+CM$7-$BL$7,0)/1000000</f>
        <v>6.1188415148434396</v>
      </c>
      <c r="CN24" s="108">
        <f>BD24*$BK24*VLOOKUP($D24,'Land Price Phase Sc1&amp;2'!$B$119:$AU$165,9+CN$7-$BL$7,0)/1000000</f>
        <v>6.5532792623973242</v>
      </c>
      <c r="CO24" s="108">
        <f>BE24*$BK24*VLOOKUP($D24,'Land Price Phase Sc1&amp;2'!$B$119:$AU$165,9+CO$7-$BL$7,0)/1000000</f>
        <v>46.790413933516881</v>
      </c>
      <c r="CP24" s="108">
        <f>BF24*$BK24*VLOOKUP($D24,'Land Price Phase Sc1&amp;2'!$B$119:$AU$165,9+CP$7-$BL$7,0)/1000000</f>
        <v>50.11253332279658</v>
      </c>
      <c r="CQ24" s="108">
        <f>BG24*$BK24*VLOOKUP($D24,'Land Price Phase Sc1&amp;2'!$B$119:$AU$165,9+CQ$7-$BL$7,0)/1000000</f>
        <v>53.670523188715137</v>
      </c>
      <c r="CR24" s="108">
        <f t="shared" si="13"/>
        <v>181.05383478319615</v>
      </c>
      <c r="CS24" s="19"/>
      <c r="CT24" s="19"/>
      <c r="CU24" s="19"/>
      <c r="CV24" s="19"/>
      <c r="CW24" s="18"/>
      <c r="CX24" s="18"/>
      <c r="CY24" s="18"/>
      <c r="CZ24" s="18"/>
      <c r="DA24" s="20"/>
      <c r="DB24" s="20"/>
      <c r="DC24" s="20"/>
      <c r="DK24" s="10"/>
      <c r="DL24" s="10"/>
      <c r="DM24" s="10"/>
      <c r="DN24" s="10"/>
      <c r="DO24" s="10"/>
      <c r="DP24" s="10"/>
      <c r="DQ24" s="10"/>
      <c r="DR24" s="10"/>
      <c r="DS24" s="10"/>
      <c r="DT24" s="10"/>
      <c r="EB24" s="84"/>
      <c r="EC24" s="84"/>
    </row>
    <row r="25" spans="1:133" x14ac:dyDescent="0.3">
      <c r="A25" s="104" t="s">
        <v>24</v>
      </c>
      <c r="B25" s="104" t="s">
        <v>185</v>
      </c>
      <c r="C25" s="104"/>
      <c r="D25" s="104" t="s">
        <v>77</v>
      </c>
      <c r="E25" s="104"/>
      <c r="F25" s="105"/>
      <c r="G25" s="105">
        <v>2</v>
      </c>
      <c r="H25" s="105"/>
      <c r="I25" s="105"/>
      <c r="J25" s="105"/>
      <c r="K25" s="105">
        <f>G25</f>
        <v>2</v>
      </c>
      <c r="L25" s="105"/>
      <c r="M25" s="105"/>
      <c r="N25" s="105"/>
      <c r="O25" s="104">
        <f>VLOOKUP($D25,'Land Price Phase Sc1&amp;2'!$B$4:$F$50,3,0)</f>
        <v>2046</v>
      </c>
      <c r="P25" s="104">
        <f>VLOOKUP($D25,'Land Price Phase Sc1&amp;2'!$B$4:$F$50,4,0)</f>
        <v>2050</v>
      </c>
      <c r="Q25" s="104">
        <f>VLOOKUP($D25,'Land Price Phase Sc1&amp;2'!$B$4:$F$50,5,0)</f>
        <v>2054</v>
      </c>
      <c r="R25" s="106">
        <f t="shared" si="41"/>
        <v>1</v>
      </c>
      <c r="S25" s="107">
        <f>'Park spec inputs'!C$21</f>
        <v>0.15</v>
      </c>
      <c r="T25" s="107">
        <f>'Park spec inputs'!D$21</f>
        <v>0.5</v>
      </c>
      <c r="U25" s="107">
        <f>'Park spec inputs'!E$21</f>
        <v>0.25</v>
      </c>
      <c r="V25" s="107">
        <f>'Park spec inputs'!F$21</f>
        <v>0.1</v>
      </c>
      <c r="W25" s="107">
        <f t="shared" si="7"/>
        <v>0.21355808788157427</v>
      </c>
      <c r="X25" s="107">
        <f t="shared" si="42"/>
        <v>1.7294495726942041</v>
      </c>
      <c r="Y25" s="107">
        <f t="shared" si="9"/>
        <v>1.7275033036941649</v>
      </c>
      <c r="Z25" s="104" t="s">
        <v>370</v>
      </c>
      <c r="AA25" s="108">
        <f t="shared" si="16"/>
        <v>0</v>
      </c>
      <c r="AB25" s="104"/>
      <c r="AC25" s="104"/>
      <c r="AD25" s="104"/>
      <c r="AE25" s="104"/>
      <c r="AF25" s="104"/>
      <c r="AG25" s="104"/>
      <c r="AH25" s="104"/>
      <c r="AI25" s="104"/>
      <c r="AJ25" s="104"/>
      <c r="AK25" s="104"/>
      <c r="AL25" s="104"/>
      <c r="AM25" s="104"/>
      <c r="AN25" s="104"/>
      <c r="AO25" s="104"/>
      <c r="AP25" s="111"/>
      <c r="AQ25" s="111"/>
      <c r="AR25" s="111"/>
      <c r="AS25" s="111"/>
      <c r="AT25" s="111">
        <f>$S25/3</f>
        <v>4.9999999999999996E-2</v>
      </c>
      <c r="AU25" s="111">
        <f>AT25</f>
        <v>4.9999999999999996E-2</v>
      </c>
      <c r="AV25" s="111">
        <f>AU25</f>
        <v>4.9999999999999996E-2</v>
      </c>
      <c r="AW25" s="111">
        <f>$T25/4</f>
        <v>0.125</v>
      </c>
      <c r="AX25" s="111">
        <f>AW25</f>
        <v>0.125</v>
      </c>
      <c r="AY25" s="111">
        <f>AX25</f>
        <v>0.125</v>
      </c>
      <c r="AZ25" s="111">
        <f>AY25</f>
        <v>0.125</v>
      </c>
      <c r="BA25" s="111">
        <f>$U25/4</f>
        <v>6.25E-2</v>
      </c>
      <c r="BB25" s="111">
        <f t="shared" ref="BB25:BD25" si="49">BA25</f>
        <v>6.25E-2</v>
      </c>
      <c r="BC25" s="111">
        <f t="shared" si="49"/>
        <v>6.25E-2</v>
      </c>
      <c r="BD25" s="111">
        <f t="shared" si="49"/>
        <v>6.25E-2</v>
      </c>
      <c r="BE25" s="111">
        <f>$V25/3</f>
        <v>3.3333333333333333E-2</v>
      </c>
      <c r="BF25" s="111">
        <f t="shared" ref="BF25:BG25" si="50">BE25</f>
        <v>3.3333333333333333E-2</v>
      </c>
      <c r="BG25" s="111">
        <f t="shared" si="50"/>
        <v>3.3333333333333333E-2</v>
      </c>
      <c r="BH25" s="109">
        <f t="shared" si="10"/>
        <v>0</v>
      </c>
      <c r="BI25" s="109">
        <f t="shared" si="11"/>
        <v>1</v>
      </c>
      <c r="BJ25" s="109"/>
      <c r="BK25" s="104">
        <f t="shared" si="46"/>
        <v>60000</v>
      </c>
      <c r="BL25" s="108">
        <f>AB25*$BK25*VLOOKUP($D25,'Land Price Phase Sc1&amp;2'!$B$119:$AU$165,9+BL$7-$BL$7,0)/1000000</f>
        <v>0</v>
      </c>
      <c r="BM25" s="108">
        <f>AC25*$BK25*VLOOKUP($D25,'Land Price Phase Sc1&amp;2'!$B$119:$AU$165,9+BM$7-$BL$7,0)/1000000</f>
        <v>0</v>
      </c>
      <c r="BN25" s="108">
        <f>AD25*$BK25*VLOOKUP($D25,'Land Price Phase Sc1&amp;2'!$B$119:$AU$165,9+BN$7-$BL$7,0)/1000000</f>
        <v>0</v>
      </c>
      <c r="BO25" s="108">
        <f>AE25*$BK25*VLOOKUP($D25,'Land Price Phase Sc1&amp;2'!$B$119:$AU$165,9+BO$7-$BL$7,0)/1000000</f>
        <v>0</v>
      </c>
      <c r="BP25" s="108">
        <f>AF25*$BK25*VLOOKUP($D25,'Land Price Phase Sc1&amp;2'!$B$119:$AU$165,9+BP$7-$BL$7,0)/1000000</f>
        <v>0</v>
      </c>
      <c r="BQ25" s="108">
        <f>AG25*$BK25*VLOOKUP($D25,'Land Price Phase Sc1&amp;2'!$B$119:$AU$165,9+BQ$7-$BL$7,0)/1000000</f>
        <v>0</v>
      </c>
      <c r="BR25" s="108">
        <f>AH25*$BK25*VLOOKUP($D25,'Land Price Phase Sc1&amp;2'!$B$119:$AU$165,9+BR$7-$BL$7,0)/1000000</f>
        <v>0</v>
      </c>
      <c r="BS25" s="108">
        <f>AI25*$BK25*VLOOKUP($D25,'Land Price Phase Sc1&amp;2'!$B$119:$AU$165,9+BS$7-$BL$7,0)/1000000</f>
        <v>0</v>
      </c>
      <c r="BT25" s="108">
        <f>AJ25*$BK25*VLOOKUP($D25,'Land Price Phase Sc1&amp;2'!$B$119:$AU$165,9+BT$7-$BL$7,0)/1000000</f>
        <v>0</v>
      </c>
      <c r="BU25" s="108">
        <f>AK25*$BK25*VLOOKUP($D25,'Land Price Phase Sc1&amp;2'!$B$119:$AU$165,9+BU$7-$BL$7,0)/1000000</f>
        <v>0</v>
      </c>
      <c r="BV25" s="108">
        <f>AL25*$BK25*VLOOKUP($D25,'Land Price Phase Sc1&amp;2'!$B$119:$AU$165,9+BV$7-$BL$7,0)/1000000</f>
        <v>0</v>
      </c>
      <c r="BW25" s="108">
        <f>AM25*$BK25*VLOOKUP($D25,'Land Price Phase Sc1&amp;2'!$B$119:$AU$165,9+BW$7-$BL$7,0)/1000000</f>
        <v>0</v>
      </c>
      <c r="BX25" s="108">
        <f>AN25*$BK25*VLOOKUP($D25,'Land Price Phase Sc1&amp;2'!$B$119:$AU$165,9+BX$7-$BL$7,0)/1000000</f>
        <v>0</v>
      </c>
      <c r="BY25" s="108">
        <f>AO25*$BK25*VLOOKUP($D25,'Land Price Phase Sc1&amp;2'!$B$119:$AU$165,9+BY$7-$BL$7,0)/1000000</f>
        <v>0</v>
      </c>
      <c r="BZ25" s="108">
        <f>AP25*$BK25*VLOOKUP($D25,'Land Price Phase Sc1&amp;2'!$B$119:$AU$165,9+BZ$7-$BL$7,0)/1000000</f>
        <v>0</v>
      </c>
      <c r="CA25" s="108">
        <f>AQ25*$BK25*VLOOKUP($D25,'Land Price Phase Sc1&amp;2'!$B$119:$AU$165,9+CA$7-$BL$7,0)/1000000</f>
        <v>0</v>
      </c>
      <c r="CB25" s="108">
        <f>AR25*$BK25*VLOOKUP($D25,'Land Price Phase Sc1&amp;2'!$B$119:$AU$165,9+CB$7-$BL$7,0)/1000000</f>
        <v>0</v>
      </c>
      <c r="CC25" s="108">
        <f>AS25*$BK25*VLOOKUP($D25,'Land Price Phase Sc1&amp;2'!$B$119:$AU$165,9+CC$7-$BL$7,0)/1000000</f>
        <v>0</v>
      </c>
      <c r="CD25" s="108">
        <f>AT25*$BK25*VLOOKUP($D25,'Land Price Phase Sc1&amp;2'!$B$119:$AU$165,9+CD$7-$BL$7,0)/1000000</f>
        <v>0.87666347878803996</v>
      </c>
      <c r="CE25" s="108">
        <f>AU25*$BK25*VLOOKUP($D25,'Land Price Phase Sc1&amp;2'!$B$119:$AU$165,9+CE$7-$BL$7,0)/1000000</f>
        <v>0.93890658578199082</v>
      </c>
      <c r="CF25" s="108">
        <f>AV25*$BK25*VLOOKUP($D25,'Land Price Phase Sc1&amp;2'!$B$119:$AU$165,9+CF$7-$BL$7,0)/1000000</f>
        <v>1.0055689533725118</v>
      </c>
      <c r="CG25" s="108">
        <f>AW25*$BK25*VLOOKUP($D25,'Land Price Phase Sc1&amp;2'!$B$119:$AU$165,9+CG$7-$BL$7,0)/1000000</f>
        <v>7.1269699570276783</v>
      </c>
      <c r="CH25" s="108">
        <f>AX25*$BK25*VLOOKUP($D25,'Land Price Phase Sc1&amp;2'!$B$119:$AU$165,9+CH$7-$BL$7,0)/1000000</f>
        <v>7.6329848239766438</v>
      </c>
      <c r="CI25" s="108">
        <f>AY25*$BK25*VLOOKUP($D25,'Land Price Phase Sc1&amp;2'!$B$119:$AU$165,9+CI$7-$BL$7,0)/1000000</f>
        <v>8.1749267464789845</v>
      </c>
      <c r="CJ25" s="108">
        <f>AZ25*$BK25*VLOOKUP($D25,'Land Price Phase Sc1&amp;2'!$B$119:$AU$165,9+CJ$7-$BL$7,0)/1000000</f>
        <v>8.7553465454789929</v>
      </c>
      <c r="CK25" s="108">
        <f>BA25*$BK25*VLOOKUP($D25,'Land Price Phase Sc1&amp;2'!$B$119:$AU$165,9+CK$7-$BL$7,0)/1000000</f>
        <v>8.3350899112960004</v>
      </c>
      <c r="CL25" s="108">
        <f>BB25*$BK25*VLOOKUP($D25,'Land Price Phase Sc1&amp;2'!$B$119:$AU$165,9+CL$7-$BL$7,0)/1000000</f>
        <v>8.926881294998017</v>
      </c>
      <c r="CM25" s="108">
        <f>BC25*$BK25*VLOOKUP($D25,'Land Price Phase Sc1&amp;2'!$B$119:$AU$165,9+CM$7-$BL$7,0)/1000000</f>
        <v>9.5606898669428748</v>
      </c>
      <c r="CN25" s="108">
        <f>BD25*$BK25*VLOOKUP($D25,'Land Price Phase Sc1&amp;2'!$B$119:$AU$165,9+CN$7-$BL$7,0)/1000000</f>
        <v>10.239498847495819</v>
      </c>
      <c r="CO25" s="108">
        <f>BE25*$BK25*VLOOKUP($D25,'Land Price Phase Sc1&amp;2'!$B$119:$AU$165,9+CO$7-$BL$7,0)/1000000</f>
        <v>17.546405225068835</v>
      </c>
      <c r="CP25" s="108">
        <f>BF25*$BK25*VLOOKUP($D25,'Land Price Phase Sc1&amp;2'!$B$119:$AU$165,9+CP$7-$BL$7,0)/1000000</f>
        <v>18.792199996048719</v>
      </c>
      <c r="CQ25" s="108">
        <f>BG25*$BK25*VLOOKUP($D25,'Land Price Phase Sc1&amp;2'!$B$119:$AU$165,9+CQ$7-$BL$7,0)/1000000</f>
        <v>20.126446195768178</v>
      </c>
      <c r="CR25" s="108">
        <f t="shared" si="13"/>
        <v>128.03857842852329</v>
      </c>
      <c r="CS25" s="19"/>
      <c r="CT25" s="19"/>
      <c r="CU25" s="19"/>
      <c r="CV25" s="19"/>
      <c r="CW25" s="18"/>
      <c r="CX25" s="18"/>
      <c r="CY25" s="18"/>
      <c r="CZ25" s="18"/>
      <c r="DA25" s="20"/>
      <c r="DB25" s="20"/>
      <c r="DC25" s="20"/>
      <c r="DK25" s="10"/>
      <c r="DL25" s="10"/>
      <c r="DM25" s="10"/>
      <c r="DN25" s="10"/>
      <c r="DO25" s="10"/>
      <c r="DP25" s="10"/>
      <c r="DQ25" s="10"/>
      <c r="DR25" s="10"/>
      <c r="DS25" s="10"/>
      <c r="DT25" s="10"/>
      <c r="EB25" s="84"/>
      <c r="EC25" s="84"/>
    </row>
    <row r="26" spans="1:133" x14ac:dyDescent="0.3">
      <c r="A26" s="104" t="s">
        <v>24</v>
      </c>
      <c r="B26" s="104" t="s">
        <v>184</v>
      </c>
      <c r="C26" s="104"/>
      <c r="D26" s="104" t="s">
        <v>241</v>
      </c>
      <c r="E26" s="104" t="s">
        <v>232</v>
      </c>
      <c r="F26" s="105">
        <v>7</v>
      </c>
      <c r="G26" s="105"/>
      <c r="H26" s="105"/>
      <c r="I26" s="105"/>
      <c r="J26" s="105">
        <f>F26</f>
        <v>7</v>
      </c>
      <c r="K26" s="105"/>
      <c r="L26" s="105"/>
      <c r="M26" s="105"/>
      <c r="N26" s="105"/>
      <c r="O26" s="104"/>
      <c r="P26" s="104"/>
      <c r="Q26" s="104">
        <v>2023</v>
      </c>
      <c r="R26" s="106">
        <f t="shared" si="41"/>
        <v>1</v>
      </c>
      <c r="S26" s="104"/>
      <c r="T26" s="107"/>
      <c r="U26" s="107"/>
      <c r="V26" s="107"/>
      <c r="W26" s="107">
        <f t="shared" si="7"/>
        <v>0.711860292938581</v>
      </c>
      <c r="X26" s="107">
        <f t="shared" si="42"/>
        <v>54.708747568846157</v>
      </c>
      <c r="Y26" s="107">
        <f t="shared" si="9"/>
        <v>43.99632020962629</v>
      </c>
      <c r="Z26" s="104">
        <v>25</v>
      </c>
      <c r="AA26" s="108">
        <f t="shared" si="16"/>
        <v>21.172935788110767</v>
      </c>
      <c r="AB26" s="118">
        <f t="shared" ref="AB26:AQ26" si="51">AB110</f>
        <v>7.2277777590649045E-2</v>
      </c>
      <c r="AC26" s="118">
        <f t="shared" si="51"/>
        <v>3.7144039148275132E-2</v>
      </c>
      <c r="AD26" s="118">
        <f t="shared" si="51"/>
        <v>4.693886925000864E-2</v>
      </c>
      <c r="AE26" s="118">
        <f t="shared" si="51"/>
        <v>1.9207251627271639E-2</v>
      </c>
      <c r="AF26" s="118">
        <f t="shared" si="51"/>
        <v>3.0671470308457977E-2</v>
      </c>
      <c r="AG26" s="118">
        <f t="shared" si="51"/>
        <v>7.0574517253221988E-2</v>
      </c>
      <c r="AH26" s="118">
        <f t="shared" si="51"/>
        <v>5.784797696261839E-2</v>
      </c>
      <c r="AI26" s="118">
        <f t="shared" si="51"/>
        <v>6.2267232328672428E-2</v>
      </c>
      <c r="AJ26" s="112">
        <f t="shared" si="51"/>
        <v>4.8241630734504208E-2</v>
      </c>
      <c r="AK26" s="112">
        <f t="shared" si="51"/>
        <v>1.4129803340614668E-2</v>
      </c>
      <c r="AL26" s="112">
        <f t="shared" si="51"/>
        <v>0.10472734996525389</v>
      </c>
      <c r="AM26" s="112">
        <f t="shared" si="51"/>
        <v>0.10601471966704468</v>
      </c>
      <c r="AN26" s="112">
        <f t="shared" si="51"/>
        <v>0.10750477164694536</v>
      </c>
      <c r="AO26" s="112">
        <f t="shared" si="51"/>
        <v>0.10314837920794254</v>
      </c>
      <c r="AP26" s="112">
        <f t="shared" si="51"/>
        <v>4.8886873976350477E-2</v>
      </c>
      <c r="AQ26" s="112">
        <f t="shared" si="51"/>
        <v>5.2554477979523215E-2</v>
      </c>
      <c r="AR26" s="112">
        <f>1-SUM(AB26:AQ26)</f>
        <v>1.7862859012645727E-2</v>
      </c>
      <c r="AS26" s="112">
        <v>0</v>
      </c>
      <c r="AT26" s="112">
        <v>0</v>
      </c>
      <c r="AU26" s="112">
        <v>0</v>
      </c>
      <c r="AV26" s="112">
        <v>0</v>
      </c>
      <c r="AW26" s="112">
        <v>0</v>
      </c>
      <c r="AX26" s="112">
        <v>0</v>
      </c>
      <c r="AY26" s="112">
        <v>0</v>
      </c>
      <c r="AZ26" s="112">
        <v>0</v>
      </c>
      <c r="BA26" s="112">
        <v>0</v>
      </c>
      <c r="BB26" s="112">
        <v>0</v>
      </c>
      <c r="BC26" s="112">
        <v>0</v>
      </c>
      <c r="BD26" s="112">
        <v>0</v>
      </c>
      <c r="BE26" s="112">
        <v>0</v>
      </c>
      <c r="BF26" s="112">
        <v>0</v>
      </c>
      <c r="BG26" s="112">
        <v>0</v>
      </c>
      <c r="BH26" s="109">
        <f t="shared" si="10"/>
        <v>0.45930056854429413</v>
      </c>
      <c r="BI26" s="109">
        <f t="shared" si="11"/>
        <v>0.54069943145570587</v>
      </c>
      <c r="BJ26" s="109"/>
      <c r="BK26" s="104">
        <f t="shared" si="46"/>
        <v>28000</v>
      </c>
      <c r="BL26" s="108">
        <f>AB26*$BK26*'Cost inputs'!$E$22*'Land Price Phase Sc1&amp;2'!J$114/1000000</f>
        <v>2.4965322602030904</v>
      </c>
      <c r="BM26" s="108">
        <f>AC26*$BK26*'Cost inputs'!$E$22*'Land Price Phase Sc1&amp;2'!K$114/1000000</f>
        <v>1.3727937653316336</v>
      </c>
      <c r="BN26" s="108">
        <f>AD26*$BK26*'Cost inputs'!$E$22*'Land Price Phase Sc1&amp;2'!L$114/1000000</f>
        <v>1.8093938150705693</v>
      </c>
      <c r="BO26" s="108">
        <f>AE26*$BK26*'Cost inputs'!$E$22*'Land Price Phase Sc1&amp;2'!M$114/1000000</f>
        <v>0.7929671109856089</v>
      </c>
      <c r="BP26" s="108">
        <f>AF26*$BK26*'Cost inputs'!$E$22*'Land Price Phase Sc1&amp;2'!N$114/1000000</f>
        <v>1.3561696320157814</v>
      </c>
      <c r="BQ26" s="108">
        <f>AG26*$BK26*'Cost inputs'!$E$22*'Land Price Phase Sc1&amp;2'!O$114/1000000</f>
        <v>3.3420797332408543</v>
      </c>
      <c r="BR26" s="108">
        <f>AH26*$BK26*'Cost inputs'!$E$22*'Land Price Phase Sc1&amp;2'!P$114/1000000</f>
        <v>2.9339083089061591</v>
      </c>
      <c r="BS26" s="108">
        <f>AI26*$BK26*'Cost inputs'!$E$22*'Land Price Phase Sc1&amp;2'!Q$114/1000000</f>
        <v>3.3822631567485257</v>
      </c>
      <c r="BT26" s="108">
        <f>AJ26*$BK26*'Cost inputs'!$E$22*'Land Price Phase Sc1&amp;2'!R$114/1000000</f>
        <v>2.806462756212825</v>
      </c>
      <c r="BU26" s="108">
        <f>AK26*$BK26*'Cost inputs'!$E$22*'Land Price Phase Sc1&amp;2'!S$114/1000000</f>
        <v>0.88036524939571803</v>
      </c>
      <c r="BV26" s="108">
        <f>AL26*$BK26*'Cost inputs'!$E$22*'Land Price Phase Sc1&amp;2'!T$114/1000000</f>
        <v>6.9883775364660172</v>
      </c>
      <c r="BW26" s="108">
        <f>AM26*$BK26*'Cost inputs'!$E$22*'Land Price Phase Sc1&amp;2'!U$114/1000000</f>
        <v>7.5765568267175958</v>
      </c>
      <c r="BX26" s="108">
        <f>AN26*$BK26*'Cost inputs'!$E$22*'Land Price Phase Sc1&amp;2'!V$114/1000000</f>
        <v>8.2285427069419228</v>
      </c>
      <c r="BY26" s="108">
        <f>AO26*$BK26*'Cost inputs'!$E$22*'Land Price Phase Sc1&amp;2'!W$114/1000000</f>
        <v>8.4556513113266671</v>
      </c>
      <c r="BZ26" s="108">
        <f>AP26*$BK26*'Cost inputs'!$E$22*'Land Price Phase Sc1&amp;2'!X$114/1000000</f>
        <v>4.2920660412459446</v>
      </c>
      <c r="CA26" s="108">
        <f>AQ26*$BK26*'Cost inputs'!$E$22*'Land Price Phase Sc1&amp;2'!Y$114/1000000</f>
        <v>4.9416652816874951</v>
      </c>
      <c r="CB26" s="108">
        <f>AR26*$BK26*'Cost inputs'!$E$22*'Land Price Phase Sc1&amp;2'!Z$114/1000000</f>
        <v>1.7988876501928674</v>
      </c>
      <c r="CC26" s="108">
        <f>AS26*$BK26*'Cost inputs'!$E$22*'Land Price Phase Sc1&amp;2'!AA$114/1000000</f>
        <v>0</v>
      </c>
      <c r="CD26" s="108">
        <f>AT26*$BK26*'Cost inputs'!$E$22*'Land Price Phase Sc1&amp;2'!AB$114/1000000</f>
        <v>0</v>
      </c>
      <c r="CE26" s="108">
        <f>AU26*$BK26*'Cost inputs'!$E$22*'Land Price Phase Sc1&amp;2'!AC$114/1000000</f>
        <v>0</v>
      </c>
      <c r="CF26" s="108">
        <f>AV26*$BK26*'Cost inputs'!$E$22*'Land Price Phase Sc1&amp;2'!AD$114/1000000</f>
        <v>0</v>
      </c>
      <c r="CG26" s="108">
        <f>AW26*$BK26*'Cost inputs'!$E$22*'Land Price Phase Sc1&amp;2'!AE$114/1000000</f>
        <v>0</v>
      </c>
      <c r="CH26" s="108">
        <f>AX26*$BK26*'Cost inputs'!$E$22*'Land Price Phase Sc1&amp;2'!AF$114/1000000</f>
        <v>0</v>
      </c>
      <c r="CI26" s="108">
        <f>AY26*$BK26*'Cost inputs'!$E$22*'Land Price Phase Sc1&amp;2'!AG$114/1000000</f>
        <v>0</v>
      </c>
      <c r="CJ26" s="108">
        <f>AZ26*$BK26*'Cost inputs'!$E$22*'Land Price Phase Sc1&amp;2'!AH$114/1000000</f>
        <v>0</v>
      </c>
      <c r="CK26" s="108">
        <f>BA26*$BK26*'Cost inputs'!$E$22*'Land Price Phase Sc1&amp;2'!AI$114/1000000</f>
        <v>0</v>
      </c>
      <c r="CL26" s="108">
        <f>BB26*$BK26*'Cost inputs'!$E$22*'Land Price Phase Sc1&amp;2'!AJ$114/1000000</f>
        <v>0</v>
      </c>
      <c r="CM26" s="108">
        <f>BC26*$BK26*'Cost inputs'!$E$22*'Land Price Phase Sc1&amp;2'!AK$114/1000000</f>
        <v>0</v>
      </c>
      <c r="CN26" s="108">
        <f>BD26*$BK26*'Cost inputs'!$E$22*'Land Price Phase Sc1&amp;2'!AL$114/1000000</f>
        <v>0</v>
      </c>
      <c r="CO26" s="108">
        <f>BE26*$BK26*'Cost inputs'!$E$22*'Land Price Phase Sc1&amp;2'!AM$114/1000000</f>
        <v>0</v>
      </c>
      <c r="CP26" s="108">
        <f>BF26*$BK26*'Cost inputs'!$E$22*'Land Price Phase Sc1&amp;2'!AN$114/1000000</f>
        <v>0</v>
      </c>
      <c r="CQ26" s="108">
        <f>BG26*$BK26*'Cost inputs'!$E$22*'Land Price Phase Sc1&amp;2'!AO$114/1000000</f>
        <v>0</v>
      </c>
      <c r="CR26" s="108">
        <f t="shared" si="13"/>
        <v>63.454683142689277</v>
      </c>
      <c r="CS26" s="19"/>
      <c r="CT26" s="19"/>
      <c r="CU26" s="19"/>
      <c r="CV26" s="19"/>
      <c r="CW26" s="18"/>
      <c r="CX26" s="18"/>
      <c r="CY26" s="18"/>
      <c r="CZ26" s="18"/>
      <c r="DA26" s="20"/>
      <c r="DB26" s="20"/>
      <c r="DC26" s="20"/>
      <c r="DK26" s="10"/>
      <c r="DL26" s="10"/>
      <c r="DM26" s="10"/>
      <c r="DN26" s="10"/>
      <c r="DO26" s="10"/>
      <c r="DP26" s="10"/>
      <c r="DQ26" s="10"/>
      <c r="DR26" s="10"/>
      <c r="DS26" s="10"/>
      <c r="DT26" s="10"/>
      <c r="EB26" s="84"/>
      <c r="EC26" s="84"/>
    </row>
    <row r="27" spans="1:133" x14ac:dyDescent="0.3">
      <c r="A27" s="104" t="s">
        <v>24</v>
      </c>
      <c r="B27" s="104" t="s">
        <v>184</v>
      </c>
      <c r="C27" s="113" t="s">
        <v>294</v>
      </c>
      <c r="D27" s="104" t="s">
        <v>241</v>
      </c>
      <c r="E27" s="104" t="s">
        <v>477</v>
      </c>
      <c r="F27" s="105"/>
      <c r="G27" s="105">
        <v>1</v>
      </c>
      <c r="H27" s="105"/>
      <c r="I27" s="105"/>
      <c r="J27" s="105"/>
      <c r="K27" s="105">
        <f>G27</f>
        <v>1</v>
      </c>
      <c r="L27" s="105"/>
      <c r="M27" s="105"/>
      <c r="N27" s="105"/>
      <c r="O27" s="104"/>
      <c r="P27" s="104"/>
      <c r="Q27" s="104">
        <v>2023</v>
      </c>
      <c r="R27" s="106">
        <f t="shared" si="41"/>
        <v>1</v>
      </c>
      <c r="S27" s="104"/>
      <c r="T27" s="107"/>
      <c r="U27" s="107"/>
      <c r="V27" s="107"/>
      <c r="W27" s="107">
        <f t="shared" si="7"/>
        <v>0.711860292938581</v>
      </c>
      <c r="X27" s="107">
        <f t="shared" si="42"/>
        <v>54.708747568846157</v>
      </c>
      <c r="Y27" s="107">
        <f t="shared" si="9"/>
        <v>43.99632020962629</v>
      </c>
      <c r="Z27" s="104">
        <v>25</v>
      </c>
      <c r="AA27" s="108">
        <f t="shared" si="16"/>
        <v>22.685288344404395</v>
      </c>
      <c r="AB27" s="118">
        <f>AB26</f>
        <v>7.2277777590649045E-2</v>
      </c>
      <c r="AC27" s="118">
        <f t="shared" ref="AC27:AQ27" si="52">AC26</f>
        <v>3.7144039148275132E-2</v>
      </c>
      <c r="AD27" s="118">
        <f t="shared" si="52"/>
        <v>4.693886925000864E-2</v>
      </c>
      <c r="AE27" s="118">
        <f t="shared" si="52"/>
        <v>1.9207251627271639E-2</v>
      </c>
      <c r="AF27" s="118">
        <f t="shared" si="52"/>
        <v>3.0671470308457977E-2</v>
      </c>
      <c r="AG27" s="118">
        <f t="shared" si="52"/>
        <v>7.0574517253221988E-2</v>
      </c>
      <c r="AH27" s="118">
        <f t="shared" si="52"/>
        <v>5.784797696261839E-2</v>
      </c>
      <c r="AI27" s="118">
        <f t="shared" si="52"/>
        <v>6.2267232328672428E-2</v>
      </c>
      <c r="AJ27" s="112">
        <f t="shared" si="52"/>
        <v>4.8241630734504208E-2</v>
      </c>
      <c r="AK27" s="112">
        <f t="shared" si="52"/>
        <v>1.4129803340614668E-2</v>
      </c>
      <c r="AL27" s="112">
        <f t="shared" si="52"/>
        <v>0.10472734996525389</v>
      </c>
      <c r="AM27" s="112">
        <f t="shared" si="52"/>
        <v>0.10601471966704468</v>
      </c>
      <c r="AN27" s="112">
        <f t="shared" si="52"/>
        <v>0.10750477164694536</v>
      </c>
      <c r="AO27" s="112">
        <f t="shared" si="52"/>
        <v>0.10314837920794254</v>
      </c>
      <c r="AP27" s="112">
        <f t="shared" si="52"/>
        <v>4.8886873976350477E-2</v>
      </c>
      <c r="AQ27" s="112">
        <f t="shared" si="52"/>
        <v>5.2554477979523215E-2</v>
      </c>
      <c r="AR27" s="112">
        <f>1-SUM(AB27:AQ27)</f>
        <v>1.7862859012645727E-2</v>
      </c>
      <c r="AS27" s="112"/>
      <c r="AT27" s="112"/>
      <c r="AU27" s="112"/>
      <c r="AV27" s="112"/>
      <c r="AW27" s="112"/>
      <c r="AX27" s="112"/>
      <c r="AY27" s="112"/>
      <c r="AZ27" s="112"/>
      <c r="BA27" s="112"/>
      <c r="BB27" s="112"/>
      <c r="BC27" s="112"/>
      <c r="BD27" s="112"/>
      <c r="BE27" s="112"/>
      <c r="BF27" s="112"/>
      <c r="BG27" s="112"/>
      <c r="BH27" s="109">
        <f t="shared" si="10"/>
        <v>0.45930056854429413</v>
      </c>
      <c r="BI27" s="109">
        <f t="shared" si="11"/>
        <v>0.54069943145570587</v>
      </c>
      <c r="BJ27" s="109"/>
      <c r="BK27" s="104">
        <f t="shared" si="46"/>
        <v>30000</v>
      </c>
      <c r="BL27" s="108">
        <f>AB27*$BK27*'Cost inputs'!$E$22*'Land Price Phase Sc1&amp;2'!J$114/1000000</f>
        <v>2.6748559930747398</v>
      </c>
      <c r="BM27" s="108">
        <f>AC27*$BK27*'Cost inputs'!$E$22*'Land Price Phase Sc1&amp;2'!K$114/1000000</f>
        <v>1.4708504628553218</v>
      </c>
      <c r="BN27" s="108">
        <f>AD27*$BK27*'Cost inputs'!$E$22*'Land Price Phase Sc1&amp;2'!L$114/1000000</f>
        <v>1.9386362304327529</v>
      </c>
      <c r="BO27" s="108">
        <f>AE27*$BK27*'Cost inputs'!$E$22*'Land Price Phase Sc1&amp;2'!M$114/1000000</f>
        <v>0.84960761891315228</v>
      </c>
      <c r="BP27" s="108">
        <f>AF27*$BK27*'Cost inputs'!$E$22*'Land Price Phase Sc1&amp;2'!N$114/1000000</f>
        <v>1.4530388914454804</v>
      </c>
      <c r="BQ27" s="108">
        <f>AG27*$BK27*'Cost inputs'!$E$22*'Land Price Phase Sc1&amp;2'!O$114/1000000</f>
        <v>3.5807997141866292</v>
      </c>
      <c r="BR27" s="108">
        <f>AH27*$BK27*'Cost inputs'!$E$22*'Land Price Phase Sc1&amp;2'!P$114/1000000</f>
        <v>3.1434731881137417</v>
      </c>
      <c r="BS27" s="108">
        <f>AI27*$BK27*'Cost inputs'!$E$22*'Land Price Phase Sc1&amp;2'!Q$114/1000000</f>
        <v>3.6238533822305632</v>
      </c>
      <c r="BT27" s="108">
        <f>AJ27*$BK27*'Cost inputs'!$E$22*'Land Price Phase Sc1&amp;2'!R$114/1000000</f>
        <v>3.0069243816565985</v>
      </c>
      <c r="BU27" s="108">
        <f>AK27*$BK27*'Cost inputs'!$E$22*'Land Price Phase Sc1&amp;2'!S$114/1000000</f>
        <v>0.94324848149541218</v>
      </c>
      <c r="BV27" s="108">
        <f>AL27*$BK27*'Cost inputs'!$E$22*'Land Price Phase Sc1&amp;2'!T$114/1000000</f>
        <v>7.4875473604993035</v>
      </c>
      <c r="BW27" s="108">
        <f>AM27*$BK27*'Cost inputs'!$E$22*'Land Price Phase Sc1&amp;2'!U$114/1000000</f>
        <v>8.1177394571974233</v>
      </c>
      <c r="BX27" s="108">
        <f>AN27*$BK27*'Cost inputs'!$E$22*'Land Price Phase Sc1&amp;2'!V$114/1000000</f>
        <v>8.8162957574377749</v>
      </c>
      <c r="BY27" s="108">
        <f>AO27*$BK27*'Cost inputs'!$E$22*'Land Price Phase Sc1&amp;2'!W$114/1000000</f>
        <v>9.0596264049928603</v>
      </c>
      <c r="BZ27" s="108">
        <f>AP27*$BK27*'Cost inputs'!$E$22*'Land Price Phase Sc1&amp;2'!X$114/1000000</f>
        <v>4.5986421870492258</v>
      </c>
      <c r="CA27" s="108">
        <f>AQ27*$BK27*'Cost inputs'!$E$22*'Land Price Phase Sc1&amp;2'!Y$114/1000000</f>
        <v>5.294641373236602</v>
      </c>
      <c r="CB27" s="108">
        <f>AR27*$BK27*'Cost inputs'!$E$22*'Land Price Phase Sc1&amp;2'!Z$114/1000000</f>
        <v>1.927379625206644</v>
      </c>
      <c r="CC27" s="108">
        <f>AS27*$BK27*'Cost inputs'!$E$22*'Land Price Phase Sc1&amp;2'!AA$114/1000000</f>
        <v>0</v>
      </c>
      <c r="CD27" s="108">
        <f>AT27*$BK27*'Cost inputs'!$E$22*'Land Price Phase Sc1&amp;2'!AB$114/1000000</f>
        <v>0</v>
      </c>
      <c r="CE27" s="108">
        <f>AU27*$BK27*'Cost inputs'!$E$22*'Land Price Phase Sc1&amp;2'!AC$114/1000000</f>
        <v>0</v>
      </c>
      <c r="CF27" s="108">
        <f>AV27*$BK27*'Cost inputs'!$E$22*'Land Price Phase Sc1&amp;2'!AD$114/1000000</f>
        <v>0</v>
      </c>
      <c r="CG27" s="108">
        <f>AW27*$BK27*'Cost inputs'!$E$22*'Land Price Phase Sc1&amp;2'!AE$114/1000000</f>
        <v>0</v>
      </c>
      <c r="CH27" s="108">
        <f>AX27*$BK27*'Cost inputs'!$E$22*'Land Price Phase Sc1&amp;2'!AF$114/1000000</f>
        <v>0</v>
      </c>
      <c r="CI27" s="108">
        <f>AY27*$BK27*'Cost inputs'!$E$22*'Land Price Phase Sc1&amp;2'!AG$114/1000000</f>
        <v>0</v>
      </c>
      <c r="CJ27" s="108">
        <f>AZ27*$BK27*'Cost inputs'!$E$22*'Land Price Phase Sc1&amp;2'!AH$114/1000000</f>
        <v>0</v>
      </c>
      <c r="CK27" s="108">
        <f>BA27*$BK27*'Cost inputs'!$E$22*'Land Price Phase Sc1&amp;2'!AI$114/1000000</f>
        <v>0</v>
      </c>
      <c r="CL27" s="108">
        <f>BB27*$BK27*'Cost inputs'!$E$22*'Land Price Phase Sc1&amp;2'!AJ$114/1000000</f>
        <v>0</v>
      </c>
      <c r="CM27" s="108">
        <f>BC27*$BK27*'Cost inputs'!$E$22*'Land Price Phase Sc1&amp;2'!AK$114/1000000</f>
        <v>0</v>
      </c>
      <c r="CN27" s="108">
        <f>BD27*$BK27*'Cost inputs'!$E$22*'Land Price Phase Sc1&amp;2'!AL$114/1000000</f>
        <v>0</v>
      </c>
      <c r="CO27" s="108">
        <f>BE27*$BK27*'Cost inputs'!$E$22*'Land Price Phase Sc1&amp;2'!AM$114/1000000</f>
        <v>0</v>
      </c>
      <c r="CP27" s="108">
        <f>BF27*$BK27*'Cost inputs'!$E$22*'Land Price Phase Sc1&amp;2'!AN$114/1000000</f>
        <v>0</v>
      </c>
      <c r="CQ27" s="108">
        <f>BG27*$BK27*'Cost inputs'!$E$22*'Land Price Phase Sc1&amp;2'!AO$114/1000000</f>
        <v>0</v>
      </c>
      <c r="CR27" s="108">
        <f t="shared" si="13"/>
        <v>67.987160510024225</v>
      </c>
      <c r="CS27" s="19"/>
      <c r="CT27" s="19"/>
      <c r="CU27" s="19"/>
      <c r="CV27" s="19"/>
      <c r="CW27" s="18"/>
      <c r="CX27" s="18"/>
      <c r="CY27" s="18"/>
      <c r="CZ27" s="18"/>
      <c r="DA27" s="20"/>
      <c r="DB27" s="20"/>
      <c r="DC27" s="20"/>
      <c r="DK27" s="10"/>
      <c r="DL27" s="10"/>
      <c r="DM27" s="10"/>
      <c r="DN27" s="10"/>
      <c r="DO27" s="10"/>
      <c r="DP27" s="10"/>
      <c r="DQ27" s="10"/>
      <c r="DR27" s="10"/>
      <c r="DS27" s="10"/>
      <c r="DT27" s="10"/>
      <c r="EB27" s="84"/>
      <c r="EC27" s="84"/>
    </row>
    <row r="28" spans="1:133" x14ac:dyDescent="0.3">
      <c r="A28" s="104" t="str">
        <f>'Cost inputs'!A21</f>
        <v>Dairy Flat</v>
      </c>
      <c r="B28" s="104" t="s">
        <v>185</v>
      </c>
      <c r="C28" s="104"/>
      <c r="D28" s="104" t="s">
        <v>76</v>
      </c>
      <c r="E28" s="104"/>
      <c r="F28" s="105">
        <v>6</v>
      </c>
      <c r="G28" s="105"/>
      <c r="H28" s="105"/>
      <c r="I28" s="105"/>
      <c r="J28" s="105">
        <f>F28</f>
        <v>6</v>
      </c>
      <c r="K28" s="105"/>
      <c r="L28" s="105"/>
      <c r="M28" s="105"/>
      <c r="N28" s="105"/>
      <c r="O28" s="104">
        <f>VLOOKUP($D28,'Land Price Phase Sc1&amp;2'!$B$4:$F$50,3,0)</f>
        <v>2031</v>
      </c>
      <c r="P28" s="104">
        <f>VLOOKUP($D28,'Land Price Phase Sc1&amp;2'!$B$4:$F$50,4,0)</f>
        <v>2035</v>
      </c>
      <c r="Q28" s="104">
        <f>VLOOKUP($D28,'Land Price Phase Sc1&amp;2'!$B$4:$F$50,5,0)</f>
        <v>2039</v>
      </c>
      <c r="R28" s="106">
        <f t="shared" si="41"/>
        <v>0.99999999999999989</v>
      </c>
      <c r="S28" s="104"/>
      <c r="T28" s="107">
        <f>'Park spec inputs'!H$22</f>
        <v>0.2</v>
      </c>
      <c r="U28" s="107">
        <f>'Park spec inputs'!I$22</f>
        <v>0.3</v>
      </c>
      <c r="V28" s="107">
        <f>'Park spec inputs'!J$22</f>
        <v>0.5</v>
      </c>
      <c r="W28" s="107">
        <f t="shared" si="7"/>
        <v>0.21355808788157427</v>
      </c>
      <c r="X28" s="107">
        <f t="shared" si="42"/>
        <v>1.7294495726942041</v>
      </c>
      <c r="Y28" s="107">
        <f t="shared" si="9"/>
        <v>1.7275033036941649</v>
      </c>
      <c r="Z28" s="104">
        <v>31</v>
      </c>
      <c r="AA28" s="108">
        <f t="shared" si="16"/>
        <v>0.50066964420382698</v>
      </c>
      <c r="AB28" s="104"/>
      <c r="AC28" s="104"/>
      <c r="AD28" s="104"/>
      <c r="AE28" s="104"/>
      <c r="AF28" s="104"/>
      <c r="AG28" s="104"/>
      <c r="AH28" s="111"/>
      <c r="AI28" s="111"/>
      <c r="AJ28" s="111"/>
      <c r="AK28" s="111">
        <f>$T28/4</f>
        <v>0.05</v>
      </c>
      <c r="AL28" s="111">
        <f>AK28</f>
        <v>0.05</v>
      </c>
      <c r="AM28" s="111">
        <f t="shared" ref="AM28" si="53">AL28</f>
        <v>0.05</v>
      </c>
      <c r="AN28" s="111">
        <f t="shared" ref="AN28" si="54">AM28</f>
        <v>0.05</v>
      </c>
      <c r="AO28" s="111">
        <f>$U28/4</f>
        <v>7.4999999999999997E-2</v>
      </c>
      <c r="AP28" s="111">
        <f>AO28</f>
        <v>7.4999999999999997E-2</v>
      </c>
      <c r="AQ28" s="111">
        <f>AP28</f>
        <v>7.4999999999999997E-2</v>
      </c>
      <c r="AR28" s="111">
        <f>AQ28</f>
        <v>7.4999999999999997E-2</v>
      </c>
      <c r="AS28" s="111">
        <f>$V28/3</f>
        <v>0.16666666666666666</v>
      </c>
      <c r="AT28" s="111">
        <f>AS28</f>
        <v>0.16666666666666666</v>
      </c>
      <c r="AU28" s="111">
        <f>AT28</f>
        <v>0.16666666666666666</v>
      </c>
      <c r="AV28" s="104"/>
      <c r="AW28" s="104"/>
      <c r="AX28" s="104"/>
      <c r="AY28" s="104"/>
      <c r="AZ28" s="104"/>
      <c r="BA28" s="104"/>
      <c r="BB28" s="104"/>
      <c r="BC28" s="104"/>
      <c r="BD28" s="104"/>
      <c r="BE28" s="104"/>
      <c r="BF28" s="104"/>
      <c r="BG28" s="104"/>
      <c r="BH28" s="109">
        <f t="shared" si="10"/>
        <v>0.05</v>
      </c>
      <c r="BI28" s="109">
        <f t="shared" si="11"/>
        <v>0.95</v>
      </c>
      <c r="BJ28" s="109"/>
      <c r="BK28" s="104">
        <f t="shared" si="46"/>
        <v>24000</v>
      </c>
      <c r="BL28" s="108">
        <f>AB28*$BK28*VLOOKUP($D28,'Land Price Phase Sc1&amp;2'!$B$119:$AU$165,9+BL$7-$BL$7,0)/1000000</f>
        <v>0</v>
      </c>
      <c r="BM28" s="108">
        <f>AC28*$BK28*VLOOKUP($D28,'Land Price Phase Sc1&amp;2'!$B$119:$AU$165,9+BM$7-$BL$7,0)/1000000</f>
        <v>0</v>
      </c>
      <c r="BN28" s="108">
        <f>AD28*$BK28*VLOOKUP($D28,'Land Price Phase Sc1&amp;2'!$B$119:$AU$165,9+BN$7-$BL$7,0)/1000000</f>
        <v>0</v>
      </c>
      <c r="BO28" s="108">
        <f>AE28*$BK28*VLOOKUP($D28,'Land Price Phase Sc1&amp;2'!$B$119:$AU$165,9+BO$7-$BL$7,0)/1000000</f>
        <v>0</v>
      </c>
      <c r="BP28" s="108">
        <f>AF28*$BK28*VLOOKUP($D28,'Land Price Phase Sc1&amp;2'!$B$119:$AU$165,9+BP$7-$BL$7,0)/1000000</f>
        <v>0</v>
      </c>
      <c r="BQ28" s="108">
        <f>AG28*$BK28*VLOOKUP($D28,'Land Price Phase Sc1&amp;2'!$B$119:$AU$165,9+BQ$7-$BL$7,0)/1000000</f>
        <v>0</v>
      </c>
      <c r="BR28" s="108">
        <f>AH28*$BK28*VLOOKUP($D28,'Land Price Phase Sc1&amp;2'!$B$119:$AU$165,9+BR$7-$BL$7,0)/1000000</f>
        <v>0</v>
      </c>
      <c r="BS28" s="108">
        <f>AI28*$BK28*VLOOKUP($D28,'Land Price Phase Sc1&amp;2'!$B$119:$AU$165,9+BS$7-$BL$7,0)/1000000</f>
        <v>0</v>
      </c>
      <c r="BT28" s="108">
        <f>AJ28*$BK28*VLOOKUP($D28,'Land Price Phase Sc1&amp;2'!$B$119:$AU$165,9+BT$7-$BL$7,0)/1000000</f>
        <v>0</v>
      </c>
      <c r="BU28" s="108">
        <f>AK28*$BK28*VLOOKUP($D28,'Land Price Phase Sc1&amp;2'!$B$119:$AU$165,9+BU$7-$BL$7,0)/1000000</f>
        <v>0.50066964420382698</v>
      </c>
      <c r="BV28" s="108">
        <f>AL28*$BK28*VLOOKUP($D28,'Land Price Phase Sc1&amp;2'!$B$119:$AU$165,9+BV$7-$BL$7,0)/1000000</f>
        <v>0.95327500256408648</v>
      </c>
      <c r="BW28" s="108">
        <f>AM28*$BK28*VLOOKUP($D28,'Land Price Phase Sc1&amp;2'!$B$119:$AU$165,9+BW$7-$BL$7,0)/1000000</f>
        <v>1.0209575277461365</v>
      </c>
      <c r="BX28" s="108">
        <f>AN28*$BK28*VLOOKUP($D28,'Land Price Phase Sc1&amp;2'!$B$119:$AU$165,9+BX$7-$BL$7,0)/1000000</f>
        <v>1.0934455122161122</v>
      </c>
      <c r="BY28" s="108">
        <f>AO28*$BK28*VLOOKUP($D28,'Land Price Phase Sc1&amp;2'!$B$119:$AU$165,9+BY$7-$BL$7,0)/1000000</f>
        <v>1.756620215375184</v>
      </c>
      <c r="BZ28" s="108">
        <f>AP28*$BK28*VLOOKUP($D28,'Land Price Phase Sc1&amp;2'!$B$119:$AU$165,9+BZ$7-$BL$7,0)/1000000</f>
        <v>5.6440207520004657</v>
      </c>
      <c r="CA28" s="108">
        <f>AQ28*$BK28*VLOOKUP($D28,'Land Price Phase Sc1&amp;2'!$B$119:$AU$165,9+CA$7-$BL$7,0)/1000000</f>
        <v>6.0447462253924984</v>
      </c>
      <c r="CB28" s="108">
        <f>AR28*$BK28*VLOOKUP($D28,'Land Price Phase Sc1&amp;2'!$B$119:$AU$165,9+CB$7-$BL$7,0)/1000000</f>
        <v>6.4739232073953659</v>
      </c>
      <c r="CC28" s="108">
        <f>AS28*$BK28*VLOOKUP($D28,'Land Price Phase Sc1&amp;2'!$B$119:$AU$165,9+CC$7-$BL$7,0)/1000000</f>
        <v>15.407937233600968</v>
      </c>
      <c r="CD28" s="108">
        <f>AT28*$BK28*VLOOKUP($D28,'Land Price Phase Sc1&amp;2'!$B$119:$AU$165,9+CD$7-$BL$7,0)/1000000</f>
        <v>16.501900777186634</v>
      </c>
      <c r="CE28" s="108">
        <f>AU28*$BK28*VLOOKUP($D28,'Land Price Phase Sc1&amp;2'!$B$119:$AU$165,9+CE$7-$BL$7,0)/1000000</f>
        <v>17.673535732366886</v>
      </c>
      <c r="CF28" s="108">
        <f>AV28*$BK28*VLOOKUP($D28,'Land Price Phase Sc1&amp;2'!$B$119:$AU$165,9+CF$7-$BL$7,0)/1000000</f>
        <v>0</v>
      </c>
      <c r="CG28" s="108">
        <f>AW28*$BK28*VLOOKUP($D28,'Land Price Phase Sc1&amp;2'!$B$119:$AU$165,9+CG$7-$BL$7,0)/1000000</f>
        <v>0</v>
      </c>
      <c r="CH28" s="108">
        <f>AX28*$BK28*VLOOKUP($D28,'Land Price Phase Sc1&amp;2'!$B$119:$AU$165,9+CH$7-$BL$7,0)/1000000</f>
        <v>0</v>
      </c>
      <c r="CI28" s="108">
        <f>AY28*$BK28*VLOOKUP($D28,'Land Price Phase Sc1&amp;2'!$B$119:$AU$165,9+CI$7-$BL$7,0)/1000000</f>
        <v>0</v>
      </c>
      <c r="CJ28" s="108">
        <f>AZ28*$BK28*VLOOKUP($D28,'Land Price Phase Sc1&amp;2'!$B$119:$AU$165,9+CJ$7-$BL$7,0)/1000000</f>
        <v>0</v>
      </c>
      <c r="CK28" s="108">
        <f>BA28*$BK28*VLOOKUP($D28,'Land Price Phase Sc1&amp;2'!$B$119:$AU$165,9+CK$7-$BL$7,0)/1000000</f>
        <v>0</v>
      </c>
      <c r="CL28" s="108">
        <f>BB28*$BK28*VLOOKUP($D28,'Land Price Phase Sc1&amp;2'!$B$119:$AU$165,9+CL$7-$BL$7,0)/1000000</f>
        <v>0</v>
      </c>
      <c r="CM28" s="108">
        <f>BC28*$BK28*VLOOKUP($D28,'Land Price Phase Sc1&amp;2'!$B$119:$AU$165,9+CM$7-$BL$7,0)/1000000</f>
        <v>0</v>
      </c>
      <c r="CN28" s="108">
        <f>BD28*$BK28*VLOOKUP($D28,'Land Price Phase Sc1&amp;2'!$B$119:$AU$165,9+CN$7-$BL$7,0)/1000000</f>
        <v>0</v>
      </c>
      <c r="CO28" s="108">
        <f>BE28*$BK28*VLOOKUP($D28,'Land Price Phase Sc1&amp;2'!$B$119:$AU$165,9+CO$7-$BL$7,0)/1000000</f>
        <v>0</v>
      </c>
      <c r="CP28" s="108">
        <f>BF28*$BK28*VLOOKUP($D28,'Land Price Phase Sc1&amp;2'!$B$119:$AU$165,9+CP$7-$BL$7,0)/1000000</f>
        <v>0</v>
      </c>
      <c r="CQ28" s="108">
        <f>BG28*$BK28*VLOOKUP($D28,'Land Price Phase Sc1&amp;2'!$B$119:$AU$165,9+CQ$7-$BL$7,0)/1000000</f>
        <v>0</v>
      </c>
      <c r="CR28" s="108">
        <f t="shared" si="13"/>
        <v>73.071031830048156</v>
      </c>
      <c r="CS28" s="19"/>
      <c r="CT28" s="19"/>
      <c r="CU28" s="19"/>
      <c r="CV28" s="19"/>
      <c r="CW28" s="18"/>
      <c r="CX28" s="18"/>
      <c r="CY28" s="18"/>
      <c r="CZ28" s="18"/>
      <c r="DA28" s="20"/>
      <c r="DB28" s="20"/>
      <c r="DC28" s="20"/>
      <c r="DK28" s="10"/>
      <c r="DL28" s="10"/>
      <c r="DM28" s="10"/>
      <c r="DN28" s="10"/>
      <c r="DO28" s="10"/>
      <c r="DP28" s="10"/>
      <c r="DQ28" s="10"/>
      <c r="DR28" s="10"/>
      <c r="DS28" s="10"/>
      <c r="DT28" s="10"/>
      <c r="EB28" s="84"/>
      <c r="EC28" s="84"/>
    </row>
    <row r="29" spans="1:133" x14ac:dyDescent="0.3">
      <c r="A29" s="104" t="s">
        <v>23</v>
      </c>
      <c r="B29" s="104" t="s">
        <v>185</v>
      </c>
      <c r="C29" s="104"/>
      <c r="D29" s="104" t="s">
        <v>76</v>
      </c>
      <c r="E29" s="104"/>
      <c r="F29" s="105"/>
      <c r="G29" s="105">
        <v>1</v>
      </c>
      <c r="H29" s="105"/>
      <c r="I29" s="105"/>
      <c r="J29" s="105"/>
      <c r="K29" s="105">
        <f>G29</f>
        <v>1</v>
      </c>
      <c r="L29" s="105"/>
      <c r="M29" s="105"/>
      <c r="N29" s="105"/>
      <c r="O29" s="104">
        <f>VLOOKUP($D29,'Land Price Phase Sc1&amp;2'!$B$4:$F$50,3,0)</f>
        <v>2031</v>
      </c>
      <c r="P29" s="104">
        <f>VLOOKUP($D29,'Land Price Phase Sc1&amp;2'!$B$4:$F$50,4,0)</f>
        <v>2035</v>
      </c>
      <c r="Q29" s="104">
        <f>VLOOKUP($D29,'Land Price Phase Sc1&amp;2'!$B$4:$F$50,5,0)</f>
        <v>2039</v>
      </c>
      <c r="R29" s="106">
        <f t="shared" si="41"/>
        <v>1</v>
      </c>
      <c r="S29" s="107">
        <f>'Park spec inputs'!C$21</f>
        <v>0.15</v>
      </c>
      <c r="T29" s="107">
        <f>'Park spec inputs'!D$21</f>
        <v>0.5</v>
      </c>
      <c r="U29" s="107">
        <f>'Park spec inputs'!E$21</f>
        <v>0.25</v>
      </c>
      <c r="V29" s="107">
        <f>'Park spec inputs'!F$21</f>
        <v>0.1</v>
      </c>
      <c r="W29" s="107">
        <f t="shared" si="7"/>
        <v>0.21355808788157427</v>
      </c>
      <c r="X29" s="107">
        <f t="shared" si="42"/>
        <v>1.7294495726942041</v>
      </c>
      <c r="Y29" s="107">
        <f t="shared" si="9"/>
        <v>1.7275033036941649</v>
      </c>
      <c r="Z29" s="104">
        <v>28</v>
      </c>
      <c r="AA29" s="108">
        <f t="shared" si="16"/>
        <v>1.2101853794889421</v>
      </c>
      <c r="AB29" s="104"/>
      <c r="AC29" s="104"/>
      <c r="AD29" s="104"/>
      <c r="AE29" s="111"/>
      <c r="AF29" s="111"/>
      <c r="AG29" s="111"/>
      <c r="AH29" s="111"/>
      <c r="AI29" s="111"/>
      <c r="AJ29" s="111">
        <f>$S29/3</f>
        <v>4.9999999999999996E-2</v>
      </c>
      <c r="AK29" s="111">
        <f>AJ29</f>
        <v>4.9999999999999996E-2</v>
      </c>
      <c r="AL29" s="111">
        <f>AK29</f>
        <v>4.9999999999999996E-2</v>
      </c>
      <c r="AM29" s="111">
        <f>$T29/4</f>
        <v>0.125</v>
      </c>
      <c r="AN29" s="111">
        <f>AM29</f>
        <v>0.125</v>
      </c>
      <c r="AO29" s="111">
        <f>AN29</f>
        <v>0.125</v>
      </c>
      <c r="AP29" s="111">
        <f>AO29</f>
        <v>0.125</v>
      </c>
      <c r="AQ29" s="111">
        <f>$U29/4</f>
        <v>6.25E-2</v>
      </c>
      <c r="AR29" s="111">
        <f t="shared" ref="AR29" si="55">AQ29</f>
        <v>6.25E-2</v>
      </c>
      <c r="AS29" s="111">
        <f t="shared" ref="AS29" si="56">AR29</f>
        <v>6.25E-2</v>
      </c>
      <c r="AT29" s="111">
        <f t="shared" ref="AT29" si="57">AS29</f>
        <v>6.25E-2</v>
      </c>
      <c r="AU29" s="111">
        <f>$V29/3</f>
        <v>3.3333333333333333E-2</v>
      </c>
      <c r="AV29" s="111">
        <f t="shared" ref="AV29" si="58">AU29</f>
        <v>3.3333333333333333E-2</v>
      </c>
      <c r="AW29" s="111">
        <f t="shared" ref="AW29" si="59">AV29</f>
        <v>3.3333333333333333E-2</v>
      </c>
      <c r="AX29" s="104"/>
      <c r="AY29" s="104"/>
      <c r="AZ29" s="104"/>
      <c r="BA29" s="104"/>
      <c r="BB29" s="104"/>
      <c r="BC29" s="104"/>
      <c r="BD29" s="104"/>
      <c r="BE29" s="104"/>
      <c r="BF29" s="104"/>
      <c r="BG29" s="104"/>
      <c r="BH29" s="109">
        <f t="shared" si="10"/>
        <v>9.9999999999999992E-2</v>
      </c>
      <c r="BI29" s="109">
        <f t="shared" si="11"/>
        <v>0.9</v>
      </c>
      <c r="BJ29" s="109"/>
      <c r="BK29" s="104">
        <f t="shared" si="46"/>
        <v>30000</v>
      </c>
      <c r="BL29" s="108">
        <f>AB29*$BK29*VLOOKUP($D29,'Land Price Phase Sc1&amp;2'!$B$119:$AU$165,9+BL$7-$BL$7,0)/1000000</f>
        <v>0</v>
      </c>
      <c r="BM29" s="108">
        <f>AC29*$BK29*VLOOKUP($D29,'Land Price Phase Sc1&amp;2'!$B$119:$AU$165,9+BM$7-$BL$7,0)/1000000</f>
        <v>0</v>
      </c>
      <c r="BN29" s="108">
        <f>AD29*$BK29*VLOOKUP($D29,'Land Price Phase Sc1&amp;2'!$B$119:$AU$165,9+BN$7-$BL$7,0)/1000000</f>
        <v>0</v>
      </c>
      <c r="BO29" s="108">
        <f>AE29*$BK29*VLOOKUP($D29,'Land Price Phase Sc1&amp;2'!$B$119:$AU$165,9+BO$7-$BL$7,0)/1000000</f>
        <v>0</v>
      </c>
      <c r="BP29" s="108">
        <f>AF29*$BK29*VLOOKUP($D29,'Land Price Phase Sc1&amp;2'!$B$119:$AU$165,9+BP$7-$BL$7,0)/1000000</f>
        <v>0</v>
      </c>
      <c r="BQ29" s="108">
        <f>AG29*$BK29*VLOOKUP($D29,'Land Price Phase Sc1&amp;2'!$B$119:$AU$165,9+BQ$7-$BL$7,0)/1000000</f>
        <v>0</v>
      </c>
      <c r="BR29" s="108">
        <f>AH29*$BK29*VLOOKUP($D29,'Land Price Phase Sc1&amp;2'!$B$119:$AU$165,9+BR$7-$BL$7,0)/1000000</f>
        <v>0</v>
      </c>
      <c r="BS29" s="108">
        <f>AI29*$BK29*VLOOKUP($D29,'Land Price Phase Sc1&amp;2'!$B$119:$AU$165,9+BS$7-$BL$7,0)/1000000</f>
        <v>0</v>
      </c>
      <c r="BT29" s="108">
        <f>AJ29*$BK29*VLOOKUP($D29,'Land Price Phase Sc1&amp;2'!$B$119:$AU$165,9+BT$7-$BL$7,0)/1000000</f>
        <v>0.58434832423415839</v>
      </c>
      <c r="BU29" s="108">
        <f>AK29*$BK29*VLOOKUP($D29,'Land Price Phase Sc1&amp;2'!$B$119:$AU$165,9+BU$7-$BL$7,0)/1000000</f>
        <v>0.62583705525478361</v>
      </c>
      <c r="BV29" s="108">
        <f>AL29*$BK29*VLOOKUP($D29,'Land Price Phase Sc1&amp;2'!$B$119:$AU$165,9+BV$7-$BL$7,0)/1000000</f>
        <v>1.1915937532051077</v>
      </c>
      <c r="BW29" s="108">
        <f>AM29*$BK29*VLOOKUP($D29,'Land Price Phase Sc1&amp;2'!$B$119:$AU$165,9+BW$7-$BL$7,0)/1000000</f>
        <v>3.1904922742066768</v>
      </c>
      <c r="BX29" s="108">
        <f>AN29*$BK29*VLOOKUP($D29,'Land Price Phase Sc1&amp;2'!$B$119:$AU$165,9+BX$7-$BL$7,0)/1000000</f>
        <v>3.4170172256753504</v>
      </c>
      <c r="BY29" s="108">
        <f>AO29*$BK29*VLOOKUP($D29,'Land Price Phase Sc1&amp;2'!$B$119:$AU$165,9+BY$7-$BL$7,0)/1000000</f>
        <v>3.6596254486983</v>
      </c>
      <c r="BZ29" s="108">
        <f>AP29*$BK29*VLOOKUP($D29,'Land Price Phase Sc1&amp;2'!$B$119:$AU$165,9+BZ$7-$BL$7,0)/1000000</f>
        <v>11.758376566667637</v>
      </c>
      <c r="CA29" s="108">
        <f>AQ29*$BK29*VLOOKUP($D29,'Land Price Phase Sc1&amp;2'!$B$119:$AU$165,9+CA$7-$BL$7,0)/1000000</f>
        <v>6.2966106514505187</v>
      </c>
      <c r="CB29" s="108">
        <f>AR29*$BK29*VLOOKUP($D29,'Land Price Phase Sc1&amp;2'!$B$119:$AU$165,9+CB$7-$BL$7,0)/1000000</f>
        <v>6.7436700077035052</v>
      </c>
      <c r="CC29" s="108">
        <f>AS29*$BK29*VLOOKUP($D29,'Land Price Phase Sc1&amp;2'!$B$119:$AU$165,9+CC$7-$BL$7,0)/1000000</f>
        <v>7.222470578250455</v>
      </c>
      <c r="CD29" s="108">
        <f>AT29*$BK29*VLOOKUP($D29,'Land Price Phase Sc1&amp;2'!$B$119:$AU$165,9+CD$7-$BL$7,0)/1000000</f>
        <v>7.7352659893062343</v>
      </c>
      <c r="CE29" s="108">
        <f>AU29*$BK29*VLOOKUP($D29,'Land Price Phase Sc1&amp;2'!$B$119:$AU$165,9+CE$7-$BL$7,0)/1000000</f>
        <v>4.4183839330917216</v>
      </c>
      <c r="CF29" s="108">
        <f>AV29*$BK29*VLOOKUP($D29,'Land Price Phase Sc1&amp;2'!$B$119:$AU$165,9+CF$7-$BL$7,0)/1000000</f>
        <v>4.7320891923412338</v>
      </c>
      <c r="CG29" s="108">
        <f>AW29*$BK29*VLOOKUP($D29,'Land Price Phase Sc1&amp;2'!$B$119:$AU$165,9+CG$7-$BL$7,0)/1000000</f>
        <v>5.0680675249974598</v>
      </c>
      <c r="CH29" s="108">
        <f>AX29*$BK29*VLOOKUP($D29,'Land Price Phase Sc1&amp;2'!$B$119:$AU$165,9+CH$7-$BL$7,0)/1000000</f>
        <v>0</v>
      </c>
      <c r="CI29" s="108">
        <f>AY29*$BK29*VLOOKUP($D29,'Land Price Phase Sc1&amp;2'!$B$119:$AU$165,9+CI$7-$BL$7,0)/1000000</f>
        <v>0</v>
      </c>
      <c r="CJ29" s="108">
        <f>AZ29*$BK29*VLOOKUP($D29,'Land Price Phase Sc1&amp;2'!$B$119:$AU$165,9+CJ$7-$BL$7,0)/1000000</f>
        <v>0</v>
      </c>
      <c r="CK29" s="108">
        <f>BA29*$BK29*VLOOKUP($D29,'Land Price Phase Sc1&amp;2'!$B$119:$AU$165,9+CK$7-$BL$7,0)/1000000</f>
        <v>0</v>
      </c>
      <c r="CL29" s="108">
        <f>BB29*$BK29*VLOOKUP($D29,'Land Price Phase Sc1&amp;2'!$B$119:$AU$165,9+CL$7-$BL$7,0)/1000000</f>
        <v>0</v>
      </c>
      <c r="CM29" s="108">
        <f>BC29*$BK29*VLOOKUP($D29,'Land Price Phase Sc1&amp;2'!$B$119:$AU$165,9+CM$7-$BL$7,0)/1000000</f>
        <v>0</v>
      </c>
      <c r="CN29" s="108">
        <f>BD29*$BK29*VLOOKUP($D29,'Land Price Phase Sc1&amp;2'!$B$119:$AU$165,9+CN$7-$BL$7,0)/1000000</f>
        <v>0</v>
      </c>
      <c r="CO29" s="108">
        <f>BE29*$BK29*VLOOKUP($D29,'Land Price Phase Sc1&amp;2'!$B$119:$AU$165,9+CO$7-$BL$7,0)/1000000</f>
        <v>0</v>
      </c>
      <c r="CP29" s="108">
        <f>BF29*$BK29*VLOOKUP($D29,'Land Price Phase Sc1&amp;2'!$B$119:$AU$165,9+CP$7-$BL$7,0)/1000000</f>
        <v>0</v>
      </c>
      <c r="CQ29" s="108">
        <f>BG29*$BK29*VLOOKUP($D29,'Land Price Phase Sc1&amp;2'!$B$119:$AU$165,9+CQ$7-$BL$7,0)/1000000</f>
        <v>0</v>
      </c>
      <c r="CR29" s="108">
        <f t="shared" si="13"/>
        <v>66.643848525083143</v>
      </c>
      <c r="CS29" s="19"/>
      <c r="CT29" s="19"/>
      <c r="CU29" s="19"/>
      <c r="CV29" s="19"/>
      <c r="CW29" s="18"/>
      <c r="CX29" s="18"/>
      <c r="CY29" s="18"/>
      <c r="CZ29" s="18"/>
      <c r="DA29" s="20"/>
      <c r="DB29" s="20"/>
      <c r="DC29" s="20"/>
      <c r="DK29" s="10"/>
      <c r="DL29" s="10"/>
      <c r="DM29" s="10"/>
      <c r="DN29" s="10"/>
      <c r="DO29" s="10"/>
      <c r="DP29" s="10"/>
      <c r="DQ29" s="10"/>
      <c r="DR29" s="10"/>
      <c r="DS29" s="10"/>
      <c r="DT29" s="10"/>
      <c r="EB29" s="84"/>
      <c r="EC29" s="84"/>
    </row>
    <row r="30" spans="1:133" x14ac:dyDescent="0.3">
      <c r="A30" s="104" t="s">
        <v>23</v>
      </c>
      <c r="B30" s="104" t="s">
        <v>185</v>
      </c>
      <c r="C30" s="104"/>
      <c r="D30" s="104" t="s">
        <v>23</v>
      </c>
      <c r="E30" s="104"/>
      <c r="F30" s="105">
        <v>24</v>
      </c>
      <c r="G30" s="105"/>
      <c r="H30" s="105"/>
      <c r="I30" s="105"/>
      <c r="J30" s="105">
        <f>F30</f>
        <v>24</v>
      </c>
      <c r="K30" s="105"/>
      <c r="L30" s="105"/>
      <c r="M30" s="105"/>
      <c r="N30" s="105"/>
      <c r="O30" s="104">
        <f>VLOOKUP($D30,'Land Price Phase Sc1&amp;2'!$B$4:$F$50,3,0)</f>
        <v>2046</v>
      </c>
      <c r="P30" s="104">
        <f>VLOOKUP($D30,'Land Price Phase Sc1&amp;2'!$B$4:$F$50,4,0)</f>
        <v>2050</v>
      </c>
      <c r="Q30" s="104">
        <f>VLOOKUP($D30,'Land Price Phase Sc1&amp;2'!$B$4:$F$50,5,0)</f>
        <v>2054</v>
      </c>
      <c r="R30" s="106">
        <f t="shared" si="41"/>
        <v>0.99999999999999989</v>
      </c>
      <c r="S30" s="104"/>
      <c r="T30" s="107">
        <f>'Park spec inputs'!H$22</f>
        <v>0.2</v>
      </c>
      <c r="U30" s="107">
        <f>'Park spec inputs'!I$22</f>
        <v>0.3</v>
      </c>
      <c r="V30" s="107">
        <f>'Park spec inputs'!J$22</f>
        <v>0.5</v>
      </c>
      <c r="W30" s="107">
        <f t="shared" si="7"/>
        <v>0.21355808788157427</v>
      </c>
      <c r="X30" s="107">
        <f t="shared" si="42"/>
        <v>1.7294495726942041</v>
      </c>
      <c r="Y30" s="107">
        <f t="shared" si="9"/>
        <v>1.7275033036941649</v>
      </c>
      <c r="Z30" s="104" t="s">
        <v>370</v>
      </c>
      <c r="AA30" s="108">
        <f t="shared" si="16"/>
        <v>0</v>
      </c>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11">
        <f>$T30/4</f>
        <v>0.05</v>
      </c>
      <c r="AX30" s="111">
        <f>AW30</f>
        <v>0.05</v>
      </c>
      <c r="AY30" s="111">
        <f t="shared" ref="AY30" si="60">AX30</f>
        <v>0.05</v>
      </c>
      <c r="AZ30" s="111">
        <f t="shared" ref="AZ30" si="61">AY30</f>
        <v>0.05</v>
      </c>
      <c r="BA30" s="111">
        <f>$U30/4</f>
        <v>7.4999999999999997E-2</v>
      </c>
      <c r="BB30" s="111">
        <f>BA30</f>
        <v>7.4999999999999997E-2</v>
      </c>
      <c r="BC30" s="111">
        <f>BB30</f>
        <v>7.4999999999999997E-2</v>
      </c>
      <c r="BD30" s="111">
        <f>BC30</f>
        <v>7.4999999999999997E-2</v>
      </c>
      <c r="BE30" s="111">
        <f>$V30/3</f>
        <v>0.16666666666666666</v>
      </c>
      <c r="BF30" s="111">
        <f>BE30</f>
        <v>0.16666666666666666</v>
      </c>
      <c r="BG30" s="111">
        <f>BF30</f>
        <v>0.16666666666666666</v>
      </c>
      <c r="BH30" s="109">
        <f t="shared" si="10"/>
        <v>0</v>
      </c>
      <c r="BI30" s="109">
        <f t="shared" si="11"/>
        <v>0.99999999999999989</v>
      </c>
      <c r="BJ30" s="109"/>
      <c r="BK30" s="104">
        <f t="shared" si="46"/>
        <v>96000</v>
      </c>
      <c r="BL30" s="108">
        <f>AB30*$BK30*VLOOKUP($D30,'Land Price Phase Sc1&amp;2'!$B$119:$AU$165,9+BL$7-$BL$7,0)/1000000</f>
        <v>0</v>
      </c>
      <c r="BM30" s="108">
        <f>AC30*$BK30*VLOOKUP($D30,'Land Price Phase Sc1&amp;2'!$B$119:$AU$165,9+BM$7-$BL$7,0)/1000000</f>
        <v>0</v>
      </c>
      <c r="BN30" s="108">
        <f>AD30*$BK30*VLOOKUP($D30,'Land Price Phase Sc1&amp;2'!$B$119:$AU$165,9+BN$7-$BL$7,0)/1000000</f>
        <v>0</v>
      </c>
      <c r="BO30" s="108">
        <f>AE30*$BK30*VLOOKUP($D30,'Land Price Phase Sc1&amp;2'!$B$119:$AU$165,9+BO$7-$BL$7,0)/1000000</f>
        <v>0</v>
      </c>
      <c r="BP30" s="108">
        <f>AF30*$BK30*VLOOKUP($D30,'Land Price Phase Sc1&amp;2'!$B$119:$AU$165,9+BP$7-$BL$7,0)/1000000</f>
        <v>0</v>
      </c>
      <c r="BQ30" s="108">
        <f>AG30*$BK30*VLOOKUP($D30,'Land Price Phase Sc1&amp;2'!$B$119:$AU$165,9+BQ$7-$BL$7,0)/1000000</f>
        <v>0</v>
      </c>
      <c r="BR30" s="108">
        <f>AH30*$BK30*VLOOKUP($D30,'Land Price Phase Sc1&amp;2'!$B$119:$AU$165,9+BR$7-$BL$7,0)/1000000</f>
        <v>0</v>
      </c>
      <c r="BS30" s="108">
        <f>AI30*$BK30*VLOOKUP($D30,'Land Price Phase Sc1&amp;2'!$B$119:$AU$165,9+BS$7-$BL$7,0)/1000000</f>
        <v>0</v>
      </c>
      <c r="BT30" s="108">
        <f>AJ30*$BK30*VLOOKUP($D30,'Land Price Phase Sc1&amp;2'!$B$119:$AU$165,9+BT$7-$BL$7,0)/1000000</f>
        <v>0</v>
      </c>
      <c r="BU30" s="108">
        <f>AK30*$BK30*VLOOKUP($D30,'Land Price Phase Sc1&amp;2'!$B$119:$AU$165,9+BU$7-$BL$7,0)/1000000</f>
        <v>0</v>
      </c>
      <c r="BV30" s="108">
        <f>AL30*$BK30*VLOOKUP($D30,'Land Price Phase Sc1&amp;2'!$B$119:$AU$165,9+BV$7-$BL$7,0)/1000000</f>
        <v>0</v>
      </c>
      <c r="BW30" s="108">
        <f>AM30*$BK30*VLOOKUP($D30,'Land Price Phase Sc1&amp;2'!$B$119:$AU$165,9+BW$7-$BL$7,0)/1000000</f>
        <v>0</v>
      </c>
      <c r="BX30" s="108">
        <f>AN30*$BK30*VLOOKUP($D30,'Land Price Phase Sc1&amp;2'!$B$119:$AU$165,9+BX$7-$BL$7,0)/1000000</f>
        <v>0</v>
      </c>
      <c r="BY30" s="108">
        <f>AO30*$BK30*VLOOKUP($D30,'Land Price Phase Sc1&amp;2'!$B$119:$AU$165,9+BY$7-$BL$7,0)/1000000</f>
        <v>0</v>
      </c>
      <c r="BZ30" s="108">
        <f>AP30*$BK30*VLOOKUP($D30,'Land Price Phase Sc1&amp;2'!$B$119:$AU$165,9+BZ$7-$BL$7,0)/1000000</f>
        <v>0</v>
      </c>
      <c r="CA30" s="108">
        <f>AQ30*$BK30*VLOOKUP($D30,'Land Price Phase Sc1&amp;2'!$B$119:$AU$165,9+CA$7-$BL$7,0)/1000000</f>
        <v>0</v>
      </c>
      <c r="CB30" s="108">
        <f>AR30*$BK30*VLOOKUP($D30,'Land Price Phase Sc1&amp;2'!$B$119:$AU$165,9+CB$7-$BL$7,0)/1000000</f>
        <v>0</v>
      </c>
      <c r="CC30" s="108">
        <f>AS30*$BK30*VLOOKUP($D30,'Land Price Phase Sc1&amp;2'!$B$119:$AU$165,9+CC$7-$BL$7,0)/1000000</f>
        <v>0</v>
      </c>
      <c r="CD30" s="108">
        <f>AT30*$BK30*VLOOKUP($D30,'Land Price Phase Sc1&amp;2'!$B$119:$AU$165,9+CD$7-$BL$7,0)/1000000</f>
        <v>0</v>
      </c>
      <c r="CE30" s="108">
        <f>AU30*$BK30*VLOOKUP($D30,'Land Price Phase Sc1&amp;2'!$B$119:$AU$165,9+CE$7-$BL$7,0)/1000000</f>
        <v>0</v>
      </c>
      <c r="CF30" s="108">
        <f>AV30*$BK30*VLOOKUP($D30,'Land Price Phase Sc1&amp;2'!$B$119:$AU$165,9+CF$7-$BL$7,0)/1000000</f>
        <v>0</v>
      </c>
      <c r="CG30" s="108">
        <f>AW30*$BK30*VLOOKUP($D30,'Land Price Phase Sc1&amp;2'!$B$119:$AU$165,9+CG$7-$BL$7,0)/1000000</f>
        <v>4.5612607724977146</v>
      </c>
      <c r="CH30" s="108">
        <f>AX30*$BK30*VLOOKUP($D30,'Land Price Phase Sc1&amp;2'!$B$119:$AU$165,9+CH$7-$BL$7,0)/1000000</f>
        <v>4.8851102873450518</v>
      </c>
      <c r="CI30" s="108">
        <f>AY30*$BK30*VLOOKUP($D30,'Land Price Phase Sc1&amp;2'!$B$119:$AU$165,9+CI$7-$BL$7,0)/1000000</f>
        <v>5.2319531177465493</v>
      </c>
      <c r="CJ30" s="108">
        <f>AZ30*$BK30*VLOOKUP($D30,'Land Price Phase Sc1&amp;2'!$B$119:$AU$165,9+CJ$7-$BL$7,0)/1000000</f>
        <v>5.6034217891065543</v>
      </c>
      <c r="CK30" s="108">
        <f>BA30*$BK30*VLOOKUP($D30,'Land Price Phase Sc1&amp;2'!$B$119:$AU$165,9+CK$7-$BL$7,0)/1000000</f>
        <v>16.003372629688322</v>
      </c>
      <c r="CL30" s="108">
        <f>BB30*$BK30*VLOOKUP($D30,'Land Price Phase Sc1&amp;2'!$B$119:$AU$165,9+CL$7-$BL$7,0)/1000000</f>
        <v>17.139612086396191</v>
      </c>
      <c r="CM30" s="108">
        <f>BC30*$BK30*VLOOKUP($D30,'Land Price Phase Sc1&amp;2'!$B$119:$AU$165,9+CM$7-$BL$7,0)/1000000</f>
        <v>18.35652454453032</v>
      </c>
      <c r="CN30" s="108">
        <f>BD30*$BK30*VLOOKUP($D30,'Land Price Phase Sc1&amp;2'!$B$119:$AU$165,9+CN$7-$BL$7,0)/1000000</f>
        <v>19.659837787191972</v>
      </c>
      <c r="CO30" s="108">
        <f>BE30*$BK30*VLOOKUP($D30,'Land Price Phase Sc1&amp;2'!$B$119:$AU$165,9+CO$7-$BL$7,0)/1000000</f>
        <v>140.37124180055068</v>
      </c>
      <c r="CP30" s="108">
        <f>BF30*$BK30*VLOOKUP($D30,'Land Price Phase Sc1&amp;2'!$B$119:$AU$165,9+CP$7-$BL$7,0)/1000000</f>
        <v>150.33759996838975</v>
      </c>
      <c r="CQ30" s="108">
        <f>BG30*$BK30*VLOOKUP($D30,'Land Price Phase Sc1&amp;2'!$B$119:$AU$165,9+CQ$7-$BL$7,0)/1000000</f>
        <v>161.01156956614543</v>
      </c>
      <c r="CR30" s="108">
        <f t="shared" si="13"/>
        <v>543.16150434958854</v>
      </c>
      <c r="CS30" s="19"/>
      <c r="CT30" s="19"/>
      <c r="CU30" s="19"/>
      <c r="CV30" s="19"/>
      <c r="CW30" s="18"/>
      <c r="CX30" s="18"/>
      <c r="CY30" s="18"/>
      <c r="CZ30" s="18"/>
      <c r="DA30" s="20"/>
      <c r="DB30" s="20"/>
      <c r="DC30" s="20"/>
      <c r="DK30" s="10"/>
      <c r="DL30" s="10"/>
      <c r="DM30" s="10"/>
      <c r="DN30" s="10"/>
      <c r="DO30" s="10"/>
      <c r="DP30" s="10"/>
      <c r="DQ30" s="10"/>
      <c r="DR30" s="10"/>
      <c r="DS30" s="10"/>
      <c r="DT30" s="10"/>
      <c r="EB30" s="84"/>
      <c r="EC30" s="84"/>
    </row>
    <row r="31" spans="1:133" x14ac:dyDescent="0.3">
      <c r="A31" s="104" t="s">
        <v>23</v>
      </c>
      <c r="B31" s="104" t="s">
        <v>185</v>
      </c>
      <c r="C31" s="104"/>
      <c r="D31" s="104" t="s">
        <v>23</v>
      </c>
      <c r="E31" s="104"/>
      <c r="F31" s="105"/>
      <c r="G31" s="105">
        <v>5</v>
      </c>
      <c r="H31" s="105"/>
      <c r="I31" s="105"/>
      <c r="J31" s="105"/>
      <c r="K31" s="105">
        <f>G31</f>
        <v>5</v>
      </c>
      <c r="L31" s="105"/>
      <c r="M31" s="105"/>
      <c r="N31" s="105"/>
      <c r="O31" s="104">
        <f>VLOOKUP($D31,'Land Price Phase Sc1&amp;2'!$B$4:$F$50,3,0)</f>
        <v>2046</v>
      </c>
      <c r="P31" s="104">
        <f>VLOOKUP($D31,'Land Price Phase Sc1&amp;2'!$B$4:$F$50,4,0)</f>
        <v>2050</v>
      </c>
      <c r="Q31" s="104">
        <f>VLOOKUP($D31,'Land Price Phase Sc1&amp;2'!$B$4:$F$50,5,0)</f>
        <v>2054</v>
      </c>
      <c r="R31" s="106">
        <f t="shared" si="41"/>
        <v>1</v>
      </c>
      <c r="S31" s="107">
        <f>'Park spec inputs'!C$21</f>
        <v>0.15</v>
      </c>
      <c r="T31" s="107">
        <f>'Park spec inputs'!D$21</f>
        <v>0.5</v>
      </c>
      <c r="U31" s="107">
        <f>'Park spec inputs'!E$21</f>
        <v>0.25</v>
      </c>
      <c r="V31" s="107">
        <f>'Park spec inputs'!F$21</f>
        <v>0.1</v>
      </c>
      <c r="W31" s="107">
        <f t="shared" si="7"/>
        <v>0.21355808788157427</v>
      </c>
      <c r="X31" s="107">
        <f t="shared" si="42"/>
        <v>1.7294495726942041</v>
      </c>
      <c r="Y31" s="107">
        <f t="shared" si="9"/>
        <v>1.7275033036941649</v>
      </c>
      <c r="Z31" s="104" t="s">
        <v>370</v>
      </c>
      <c r="AA31" s="108">
        <f t="shared" si="16"/>
        <v>0</v>
      </c>
      <c r="AB31" s="104"/>
      <c r="AC31" s="104"/>
      <c r="AD31" s="104"/>
      <c r="AE31" s="104"/>
      <c r="AF31" s="104"/>
      <c r="AG31" s="104"/>
      <c r="AH31" s="104"/>
      <c r="AI31" s="104"/>
      <c r="AJ31" s="104"/>
      <c r="AK31" s="104"/>
      <c r="AL31" s="104"/>
      <c r="AM31" s="104"/>
      <c r="AN31" s="104"/>
      <c r="AO31" s="104"/>
      <c r="AP31" s="104"/>
      <c r="AQ31" s="104"/>
      <c r="AR31" s="104"/>
      <c r="AS31" s="104"/>
      <c r="AT31" s="111">
        <f>$S31/3</f>
        <v>4.9999999999999996E-2</v>
      </c>
      <c r="AU31" s="111">
        <f>AT31</f>
        <v>4.9999999999999996E-2</v>
      </c>
      <c r="AV31" s="111">
        <f>AU31</f>
        <v>4.9999999999999996E-2</v>
      </c>
      <c r="AW31" s="111">
        <f>$T31/4</f>
        <v>0.125</v>
      </c>
      <c r="AX31" s="111">
        <f>AW31</f>
        <v>0.125</v>
      </c>
      <c r="AY31" s="111">
        <f>AX31</f>
        <v>0.125</v>
      </c>
      <c r="AZ31" s="111">
        <f>AY31</f>
        <v>0.125</v>
      </c>
      <c r="BA31" s="111">
        <f>$U31/4</f>
        <v>6.25E-2</v>
      </c>
      <c r="BB31" s="111">
        <f t="shared" ref="BB31:BD31" si="62">BA31</f>
        <v>6.25E-2</v>
      </c>
      <c r="BC31" s="111">
        <f t="shared" si="62"/>
        <v>6.25E-2</v>
      </c>
      <c r="BD31" s="111">
        <f t="shared" si="62"/>
        <v>6.25E-2</v>
      </c>
      <c r="BE31" s="111">
        <f>$V31/3</f>
        <v>3.3333333333333333E-2</v>
      </c>
      <c r="BF31" s="111">
        <f t="shared" ref="BF31:BG31" si="63">BE31</f>
        <v>3.3333333333333333E-2</v>
      </c>
      <c r="BG31" s="111">
        <f t="shared" si="63"/>
        <v>3.3333333333333333E-2</v>
      </c>
      <c r="BH31" s="109">
        <f t="shared" si="10"/>
        <v>0</v>
      </c>
      <c r="BI31" s="109">
        <f t="shared" si="11"/>
        <v>1</v>
      </c>
      <c r="BJ31" s="109"/>
      <c r="BK31" s="104">
        <f t="shared" si="46"/>
        <v>150000</v>
      </c>
      <c r="BL31" s="108">
        <f>AB31*$BK31*VLOOKUP($D31,'Land Price Phase Sc1&amp;2'!$B$119:$AU$165,9+BL$7-$BL$7,0)/1000000</f>
        <v>0</v>
      </c>
      <c r="BM31" s="108">
        <f>AC31*$BK31*VLOOKUP($D31,'Land Price Phase Sc1&amp;2'!$B$119:$AU$165,9+BM$7-$BL$7,0)/1000000</f>
        <v>0</v>
      </c>
      <c r="BN31" s="108">
        <f>AD31*$BK31*VLOOKUP($D31,'Land Price Phase Sc1&amp;2'!$B$119:$AU$165,9+BN$7-$BL$7,0)/1000000</f>
        <v>0</v>
      </c>
      <c r="BO31" s="108">
        <f>AE31*$BK31*VLOOKUP($D31,'Land Price Phase Sc1&amp;2'!$B$119:$AU$165,9+BO$7-$BL$7,0)/1000000</f>
        <v>0</v>
      </c>
      <c r="BP31" s="108">
        <f>AF31*$BK31*VLOOKUP($D31,'Land Price Phase Sc1&amp;2'!$B$119:$AU$165,9+BP$7-$BL$7,0)/1000000</f>
        <v>0</v>
      </c>
      <c r="BQ31" s="108">
        <f>AG31*$BK31*VLOOKUP($D31,'Land Price Phase Sc1&amp;2'!$B$119:$AU$165,9+BQ$7-$BL$7,0)/1000000</f>
        <v>0</v>
      </c>
      <c r="BR31" s="108">
        <f>AH31*$BK31*VLOOKUP($D31,'Land Price Phase Sc1&amp;2'!$B$119:$AU$165,9+BR$7-$BL$7,0)/1000000</f>
        <v>0</v>
      </c>
      <c r="BS31" s="108">
        <f>AI31*$BK31*VLOOKUP($D31,'Land Price Phase Sc1&amp;2'!$B$119:$AU$165,9+BS$7-$BL$7,0)/1000000</f>
        <v>0</v>
      </c>
      <c r="BT31" s="108">
        <f>AJ31*$BK31*VLOOKUP($D31,'Land Price Phase Sc1&amp;2'!$B$119:$AU$165,9+BT$7-$BL$7,0)/1000000</f>
        <v>0</v>
      </c>
      <c r="BU31" s="108">
        <f>AK31*$BK31*VLOOKUP($D31,'Land Price Phase Sc1&amp;2'!$B$119:$AU$165,9+BU$7-$BL$7,0)/1000000</f>
        <v>0</v>
      </c>
      <c r="BV31" s="108">
        <f>AL31*$BK31*VLOOKUP($D31,'Land Price Phase Sc1&amp;2'!$B$119:$AU$165,9+BV$7-$BL$7,0)/1000000</f>
        <v>0</v>
      </c>
      <c r="BW31" s="108">
        <f>AM31*$BK31*VLOOKUP($D31,'Land Price Phase Sc1&amp;2'!$B$119:$AU$165,9+BW$7-$BL$7,0)/1000000</f>
        <v>0</v>
      </c>
      <c r="BX31" s="108">
        <f>AN31*$BK31*VLOOKUP($D31,'Land Price Phase Sc1&amp;2'!$B$119:$AU$165,9+BX$7-$BL$7,0)/1000000</f>
        <v>0</v>
      </c>
      <c r="BY31" s="108">
        <f>AO31*$BK31*VLOOKUP($D31,'Land Price Phase Sc1&amp;2'!$B$119:$AU$165,9+BY$7-$BL$7,0)/1000000</f>
        <v>0</v>
      </c>
      <c r="BZ31" s="108">
        <f>AP31*$BK31*VLOOKUP($D31,'Land Price Phase Sc1&amp;2'!$B$119:$AU$165,9+BZ$7-$BL$7,0)/1000000</f>
        <v>0</v>
      </c>
      <c r="CA31" s="108">
        <f>AQ31*$BK31*VLOOKUP($D31,'Land Price Phase Sc1&amp;2'!$B$119:$AU$165,9+CA$7-$BL$7,0)/1000000</f>
        <v>0</v>
      </c>
      <c r="CB31" s="108">
        <f>AR31*$BK31*VLOOKUP($D31,'Land Price Phase Sc1&amp;2'!$B$119:$AU$165,9+CB$7-$BL$7,0)/1000000</f>
        <v>0</v>
      </c>
      <c r="CC31" s="108">
        <f>AS31*$BK31*VLOOKUP($D31,'Land Price Phase Sc1&amp;2'!$B$119:$AU$165,9+CC$7-$BL$7,0)/1000000</f>
        <v>0</v>
      </c>
      <c r="CD31" s="108">
        <f>AT31*$BK31*VLOOKUP($D31,'Land Price Phase Sc1&amp;2'!$B$119:$AU$165,9+CD$7-$BL$7,0)/1000000</f>
        <v>2.1916586969701002</v>
      </c>
      <c r="CE31" s="108">
        <f>AU31*$BK31*VLOOKUP($D31,'Land Price Phase Sc1&amp;2'!$B$119:$AU$165,9+CE$7-$BL$7,0)/1000000</f>
        <v>2.347266464454977</v>
      </c>
      <c r="CF31" s="108">
        <f>AV31*$BK31*VLOOKUP($D31,'Land Price Phase Sc1&amp;2'!$B$119:$AU$165,9+CF$7-$BL$7,0)/1000000</f>
        <v>2.5139223834312796</v>
      </c>
      <c r="CG31" s="108">
        <f>AW31*$BK31*VLOOKUP($D31,'Land Price Phase Sc1&amp;2'!$B$119:$AU$165,9+CG$7-$BL$7,0)/1000000</f>
        <v>17.817424892569196</v>
      </c>
      <c r="CH31" s="108">
        <f>AX31*$BK31*VLOOKUP($D31,'Land Price Phase Sc1&amp;2'!$B$119:$AU$165,9+CH$7-$BL$7,0)/1000000</f>
        <v>19.082462059941609</v>
      </c>
      <c r="CI31" s="108">
        <f>AY31*$BK31*VLOOKUP($D31,'Land Price Phase Sc1&amp;2'!$B$119:$AU$165,9+CI$7-$BL$7,0)/1000000</f>
        <v>20.43731686619746</v>
      </c>
      <c r="CJ31" s="108">
        <f>AZ31*$BK31*VLOOKUP($D31,'Land Price Phase Sc1&amp;2'!$B$119:$AU$165,9+CJ$7-$BL$7,0)/1000000</f>
        <v>21.888366363697479</v>
      </c>
      <c r="CK31" s="108">
        <f>BA31*$BK31*VLOOKUP($D31,'Land Price Phase Sc1&amp;2'!$B$119:$AU$165,9+CK$7-$BL$7,0)/1000000</f>
        <v>20.837724778239998</v>
      </c>
      <c r="CL31" s="108">
        <f>BB31*$BK31*VLOOKUP($D31,'Land Price Phase Sc1&amp;2'!$B$119:$AU$165,9+CL$7-$BL$7,0)/1000000</f>
        <v>22.31720323749504</v>
      </c>
      <c r="CM31" s="108">
        <f>BC31*$BK31*VLOOKUP($D31,'Land Price Phase Sc1&amp;2'!$B$119:$AU$165,9+CM$7-$BL$7,0)/1000000</f>
        <v>23.901724667357186</v>
      </c>
      <c r="CN31" s="108">
        <f>BD31*$BK31*VLOOKUP($D31,'Land Price Phase Sc1&amp;2'!$B$119:$AU$165,9+CN$7-$BL$7,0)/1000000</f>
        <v>25.598747118739546</v>
      </c>
      <c r="CO31" s="108">
        <f>BE31*$BK31*VLOOKUP($D31,'Land Price Phase Sc1&amp;2'!$B$119:$AU$165,9+CO$7-$BL$7,0)/1000000</f>
        <v>43.866013062672081</v>
      </c>
      <c r="CP31" s="108">
        <f>BF31*$BK31*VLOOKUP($D31,'Land Price Phase Sc1&amp;2'!$B$119:$AU$165,9+CP$7-$BL$7,0)/1000000</f>
        <v>46.9804999901218</v>
      </c>
      <c r="CQ31" s="108">
        <f>BG31*$BK31*VLOOKUP($D31,'Land Price Phase Sc1&amp;2'!$B$119:$AU$165,9+CQ$7-$BL$7,0)/1000000</f>
        <v>50.316115489420447</v>
      </c>
      <c r="CR31" s="108">
        <f t="shared" si="13"/>
        <v>320.09644607130821</v>
      </c>
      <c r="CS31" s="19"/>
      <c r="CT31" s="19"/>
      <c r="CU31" s="19"/>
      <c r="CV31" s="19"/>
      <c r="CW31" s="18"/>
      <c r="CX31" s="18"/>
      <c r="CY31" s="18"/>
      <c r="CZ31" s="18"/>
      <c r="DA31" s="20"/>
      <c r="DB31" s="20"/>
      <c r="DC31" s="20"/>
      <c r="DK31" s="10"/>
      <c r="DL31" s="10"/>
      <c r="DM31" s="10"/>
      <c r="DN31" s="10"/>
      <c r="DO31" s="10"/>
      <c r="DP31" s="10"/>
      <c r="DQ31" s="10"/>
      <c r="DR31" s="10"/>
      <c r="DS31" s="10"/>
      <c r="DT31" s="10"/>
      <c r="EB31" s="84"/>
      <c r="EC31" s="84"/>
    </row>
    <row r="32" spans="1:133" x14ac:dyDescent="0.3">
      <c r="A32" s="104" t="s">
        <v>25</v>
      </c>
      <c r="B32" s="104" t="s">
        <v>25</v>
      </c>
      <c r="C32" s="104"/>
      <c r="D32" s="104" t="s">
        <v>125</v>
      </c>
      <c r="E32" s="104"/>
      <c r="F32" s="105">
        <v>1</v>
      </c>
      <c r="G32" s="105"/>
      <c r="H32" s="105"/>
      <c r="I32" s="105"/>
      <c r="J32" s="105">
        <f>F32</f>
        <v>1</v>
      </c>
      <c r="K32" s="105"/>
      <c r="L32" s="105"/>
      <c r="M32" s="105"/>
      <c r="N32" s="105"/>
      <c r="O32" s="104">
        <f>VLOOKUP($D32,'Land Price Phase Sc1&amp;2'!$B$4:$F$50,3,0)</f>
        <v>2021</v>
      </c>
      <c r="P32" s="104">
        <f>VLOOKUP($D32,'Land Price Phase Sc1&amp;2'!$B$4:$F$50,4,0)</f>
        <v>2025</v>
      </c>
      <c r="Q32" s="104">
        <f>VLOOKUP($D32,'Land Price Phase Sc1&amp;2'!$B$4:$F$50,5,0)</f>
        <v>2029</v>
      </c>
      <c r="R32" s="106">
        <f>SUM(AB32:BG32)</f>
        <v>1</v>
      </c>
      <c r="S32" s="104"/>
      <c r="T32" s="107"/>
      <c r="U32" s="106">
        <f>'Park spec inputs'!L$22</f>
        <v>0.37499999999999994</v>
      </c>
      <c r="V32" s="106">
        <f>'Park spec inputs'!M$22</f>
        <v>0.625</v>
      </c>
      <c r="W32" s="107">
        <f t="shared" si="7"/>
        <v>0.21355808788157429</v>
      </c>
      <c r="X32" s="107">
        <f t="shared" si="42"/>
        <v>1.7923068506837374</v>
      </c>
      <c r="Y32" s="107">
        <f t="shared" si="9"/>
        <v>1.8595486399753667</v>
      </c>
      <c r="Z32" s="104">
        <v>25</v>
      </c>
      <c r="AA32" s="108">
        <f t="shared" si="16"/>
        <v>1.8543320155697294</v>
      </c>
      <c r="AB32" s="109"/>
      <c r="AC32" s="109"/>
      <c r="AD32" s="109"/>
      <c r="AE32" s="109"/>
      <c r="AF32" s="109"/>
      <c r="AG32" s="109"/>
      <c r="AH32" s="109"/>
      <c r="AI32" s="109"/>
      <c r="AJ32" s="109"/>
      <c r="AK32" s="109">
        <f>1/8</f>
        <v>0.125</v>
      </c>
      <c r="AL32" s="109">
        <f>AK32</f>
        <v>0.125</v>
      </c>
      <c r="AM32" s="109">
        <f t="shared" ref="AM32" si="64">AL32</f>
        <v>0.125</v>
      </c>
      <c r="AN32" s="109">
        <f t="shared" ref="AN32" si="65">AM32</f>
        <v>0.125</v>
      </c>
      <c r="AO32" s="109">
        <f>AN32</f>
        <v>0.125</v>
      </c>
      <c r="AP32" s="109">
        <f>AO32</f>
        <v>0.125</v>
      </c>
      <c r="AQ32" s="109">
        <f>AP32</f>
        <v>0.125</v>
      </c>
      <c r="AR32" s="109">
        <f>AQ32</f>
        <v>0.125</v>
      </c>
      <c r="AS32" s="104"/>
      <c r="AT32" s="104"/>
      <c r="AU32" s="104"/>
      <c r="AV32" s="104"/>
      <c r="AW32" s="104"/>
      <c r="AX32" s="104"/>
      <c r="AY32" s="104"/>
      <c r="AZ32" s="104"/>
      <c r="BA32" s="104"/>
      <c r="BB32" s="104"/>
      <c r="BC32" s="104"/>
      <c r="BD32" s="104"/>
      <c r="BE32" s="104"/>
      <c r="BF32" s="104"/>
      <c r="BG32" s="104"/>
      <c r="BH32" s="109">
        <f t="shared" si="10"/>
        <v>0.125</v>
      </c>
      <c r="BI32" s="109">
        <f t="shared" si="11"/>
        <v>0.875</v>
      </c>
      <c r="BJ32" s="109"/>
      <c r="BK32" s="104">
        <f>SUMPRODUCT(F32:I32,$F$5:$I$5)</f>
        <v>4000</v>
      </c>
      <c r="BL32" s="108">
        <f>AB32*$BK32*VLOOKUP($D32,'Land Price Phase Sc1&amp;2'!$B$119:$AU$165,9+BL$7-$BL$7,0)/1000000</f>
        <v>0</v>
      </c>
      <c r="BM32" s="108">
        <f>AC32*$BK32*VLOOKUP($D32,'Land Price Phase Sc1&amp;2'!$B$119:$AU$165,9+BM$7-$BL$7,0)/1000000</f>
        <v>0</v>
      </c>
      <c r="BN32" s="108">
        <f>AD32*$BK32*VLOOKUP($D32,'Land Price Phase Sc1&amp;2'!$B$119:$AU$165,9+BN$7-$BL$7,0)/1000000</f>
        <v>0</v>
      </c>
      <c r="BO32" s="108">
        <f>AE32*$BK32*VLOOKUP($D32,'Land Price Phase Sc1&amp;2'!$B$119:$AU$165,9+BO$7-$BL$7,0)/1000000</f>
        <v>0</v>
      </c>
      <c r="BP32" s="108">
        <f>AF32*$BK32*VLOOKUP($D32,'Land Price Phase Sc1&amp;2'!$B$119:$AU$165,9+BP$7-$BL$7,0)/1000000</f>
        <v>0</v>
      </c>
      <c r="BQ32" s="108">
        <f>AG32*$BK32*VLOOKUP($D32,'Land Price Phase Sc1&amp;2'!$B$119:$AU$165,9+BQ$7-$BL$7,0)/1000000</f>
        <v>0</v>
      </c>
      <c r="BR32" s="108">
        <f>AH32*$BK32*VLOOKUP($D32,'Land Price Phase Sc1&amp;2'!$B$119:$AU$165,9+BR$7-$BL$7,0)/1000000</f>
        <v>0</v>
      </c>
      <c r="BS32" s="108">
        <f>AI32*$BK32*VLOOKUP($D32,'Land Price Phase Sc1&amp;2'!$B$119:$AU$165,9+BS$7-$BL$7,0)/1000000</f>
        <v>0</v>
      </c>
      <c r="BT32" s="108">
        <f>AJ32*$BK32*VLOOKUP($D32,'Land Price Phase Sc1&amp;2'!$B$119:$AU$165,9+BT$7-$BL$7,0)/1000000</f>
        <v>0</v>
      </c>
      <c r="BU32" s="108">
        <f>AK32*$BK32*VLOOKUP($D32,'Land Price Phase Sc1&amp;2'!$B$119:$AU$165,9+BU$7-$BL$7,0)/1000000</f>
        <v>1.8543320155697294</v>
      </c>
      <c r="BV32" s="108">
        <f>AL32*$BK32*VLOOKUP($D32,'Land Price Phase Sc1&amp;2'!$B$119:$AU$165,9+BV$7-$BL$7,0)/1000000</f>
        <v>1.9859895886751802</v>
      </c>
      <c r="BW32" s="108">
        <f>AM32*$BK32*VLOOKUP($D32,'Land Price Phase Sc1&amp;2'!$B$119:$AU$165,9+BW$7-$BL$7,0)/1000000</f>
        <v>2.1269948494711173</v>
      </c>
      <c r="BX32" s="108">
        <f>AN32*$BK32*VLOOKUP($D32,'Land Price Phase Sc1&amp;2'!$B$119:$AU$165,9+BX$7-$BL$7,0)/1000000</f>
        <v>2.2780114837835668</v>
      </c>
      <c r="BY32" s="108">
        <f>AO32*$BK32*VLOOKUP($D32,'Land Price Phase Sc1&amp;2'!$B$119:$AU$165,9+BY$7-$BL$7,0)/1000000</f>
        <v>2.4397502991322</v>
      </c>
      <c r="BZ32" s="108">
        <f>AP32*$BK32*VLOOKUP($D32,'Land Price Phase Sc1&amp;2'!$B$119:$AU$165,9+BZ$7-$BL$7,0)/1000000</f>
        <v>2.6129725703705855</v>
      </c>
      <c r="CA32" s="108">
        <f>AQ32*$BK32*VLOOKUP($D32,'Land Price Phase Sc1&amp;2'!$B$119:$AU$165,9+CA$7-$BL$7,0)/1000000</f>
        <v>2.7984936228668968</v>
      </c>
      <c r="CB32" s="108">
        <f>AR32*$BK32*VLOOKUP($D32,'Land Price Phase Sc1&amp;2'!$B$119:$AU$165,9+CB$7-$BL$7,0)/1000000</f>
        <v>2.9971866700904473</v>
      </c>
      <c r="CC32" s="108">
        <f>AS32*$BK32*VLOOKUP($D32,'Land Price Phase Sc1&amp;2'!$B$119:$AU$165,9+CC$7-$BL$7,0)/1000000</f>
        <v>0</v>
      </c>
      <c r="CD32" s="108">
        <f>AT32*$BK32*VLOOKUP($D32,'Land Price Phase Sc1&amp;2'!$B$119:$AU$165,9+CD$7-$BL$7,0)/1000000</f>
        <v>0</v>
      </c>
      <c r="CE32" s="108">
        <f>AU32*$BK32*VLOOKUP($D32,'Land Price Phase Sc1&amp;2'!$B$119:$AU$165,9+CE$7-$BL$7,0)/1000000</f>
        <v>0</v>
      </c>
      <c r="CF32" s="108">
        <f>AV32*$BK32*VLOOKUP($D32,'Land Price Phase Sc1&amp;2'!$B$119:$AU$165,9+CF$7-$BL$7,0)/1000000</f>
        <v>0</v>
      </c>
      <c r="CG32" s="108">
        <f>AW32*$BK32*VLOOKUP($D32,'Land Price Phase Sc1&amp;2'!$B$119:$AU$165,9+CG$7-$BL$7,0)/1000000</f>
        <v>0</v>
      </c>
      <c r="CH32" s="108">
        <f>AX32*$BK32*VLOOKUP($D32,'Land Price Phase Sc1&amp;2'!$B$119:$AU$165,9+CH$7-$BL$7,0)/1000000</f>
        <v>0</v>
      </c>
      <c r="CI32" s="108">
        <f>AY32*$BK32*VLOOKUP($D32,'Land Price Phase Sc1&amp;2'!$B$119:$AU$165,9+CI$7-$BL$7,0)/1000000</f>
        <v>0</v>
      </c>
      <c r="CJ32" s="108">
        <f>AZ32*$BK32*VLOOKUP($D32,'Land Price Phase Sc1&amp;2'!$B$119:$AU$165,9+CJ$7-$BL$7,0)/1000000</f>
        <v>0</v>
      </c>
      <c r="CK32" s="108">
        <f>BA32*$BK32*VLOOKUP($D32,'Land Price Phase Sc1&amp;2'!$B$119:$AU$165,9+CK$7-$BL$7,0)/1000000</f>
        <v>0</v>
      </c>
      <c r="CL32" s="108">
        <f>BB32*$BK32*VLOOKUP($D32,'Land Price Phase Sc1&amp;2'!$B$119:$AU$165,9+CL$7-$BL$7,0)/1000000</f>
        <v>0</v>
      </c>
      <c r="CM32" s="108">
        <f>BC32*$BK32*VLOOKUP($D32,'Land Price Phase Sc1&amp;2'!$B$119:$AU$165,9+CM$7-$BL$7,0)/1000000</f>
        <v>0</v>
      </c>
      <c r="CN32" s="108">
        <f>BD32*$BK32*VLOOKUP($D32,'Land Price Phase Sc1&amp;2'!$B$119:$AU$165,9+CN$7-$BL$7,0)/1000000</f>
        <v>0</v>
      </c>
      <c r="CO32" s="108">
        <f>BE32*$BK32*VLOOKUP($D32,'Land Price Phase Sc1&amp;2'!$B$119:$AU$165,9+CO$7-$BL$7,0)/1000000</f>
        <v>0</v>
      </c>
      <c r="CP32" s="108">
        <f>BF32*$BK32*VLOOKUP($D32,'Land Price Phase Sc1&amp;2'!$B$119:$AU$165,9+CP$7-$BL$7,0)/1000000</f>
        <v>0</v>
      </c>
      <c r="CQ32" s="108">
        <f>BG32*$BK32*VLOOKUP($D32,'Land Price Phase Sc1&amp;2'!$B$119:$AU$165,9+CQ$7-$BL$7,0)/1000000</f>
        <v>0</v>
      </c>
      <c r="CR32" s="108">
        <f t="shared" si="13"/>
        <v>19.093731099959722</v>
      </c>
      <c r="CS32" s="19"/>
      <c r="CT32" s="19"/>
      <c r="CU32" s="19"/>
      <c r="CV32" s="19"/>
      <c r="CW32" s="18"/>
      <c r="CX32" s="18"/>
      <c r="CY32" s="18"/>
      <c r="CZ32" s="18"/>
      <c r="DA32" s="20"/>
      <c r="DB32" s="20"/>
      <c r="DC32" s="20"/>
      <c r="DK32" s="10"/>
      <c r="DL32" s="10"/>
      <c r="DM32" s="10"/>
      <c r="DN32" s="10"/>
      <c r="DO32" s="10"/>
      <c r="DP32" s="10"/>
      <c r="DQ32" s="10"/>
      <c r="DR32" s="10"/>
      <c r="DS32" s="10"/>
      <c r="DT32" s="10"/>
      <c r="EB32" s="84"/>
      <c r="EC32" s="84"/>
    </row>
    <row r="33" spans="1:133" x14ac:dyDescent="0.3">
      <c r="A33" s="104" t="s">
        <v>30</v>
      </c>
      <c r="B33" s="104" t="s">
        <v>182</v>
      </c>
      <c r="C33" s="104"/>
      <c r="D33" s="104" t="s">
        <v>120</v>
      </c>
      <c r="E33" s="104"/>
      <c r="F33" s="105">
        <v>3</v>
      </c>
      <c r="G33" s="105"/>
      <c r="H33" s="105"/>
      <c r="I33" s="105"/>
      <c r="J33" s="105">
        <f>F33</f>
        <v>3</v>
      </c>
      <c r="K33" s="105"/>
      <c r="L33" s="105"/>
      <c r="M33" s="105"/>
      <c r="N33" s="105"/>
      <c r="O33" s="104">
        <f>VLOOKUP($D33,'Land Price Phase Sc1&amp;2'!$B$4:$F$50,3,0)</f>
        <v>2031</v>
      </c>
      <c r="P33" s="104">
        <f>VLOOKUP($D33,'Land Price Phase Sc1&amp;2'!$B$4:$F$50,4,0)</f>
        <v>2035</v>
      </c>
      <c r="Q33" s="104">
        <f>VLOOKUP($D33,'Land Price Phase Sc1&amp;2'!$B$4:$F$50,5,0)</f>
        <v>2039</v>
      </c>
      <c r="R33" s="106">
        <f>SUM(AB33:BG33)</f>
        <v>0.99999999999999989</v>
      </c>
      <c r="S33" s="104"/>
      <c r="T33" s="107">
        <f>'Park spec inputs'!H$22</f>
        <v>0.2</v>
      </c>
      <c r="U33" s="107">
        <f>'Park spec inputs'!I$22</f>
        <v>0.3</v>
      </c>
      <c r="V33" s="107">
        <f>'Park spec inputs'!J$22</f>
        <v>0.5</v>
      </c>
      <c r="W33" s="107">
        <f t="shared" si="7"/>
        <v>0.21355808788157429</v>
      </c>
      <c r="X33" s="107">
        <f t="shared" si="42"/>
        <v>0.11346732956844957</v>
      </c>
      <c r="Y33" s="107">
        <f t="shared" si="9"/>
        <v>0.15089784650120361</v>
      </c>
      <c r="Z33" s="104">
        <v>31</v>
      </c>
      <c r="AA33" s="108">
        <f t="shared" si="16"/>
        <v>0.14463789721443887</v>
      </c>
      <c r="AB33" s="104"/>
      <c r="AC33" s="104"/>
      <c r="AD33" s="104"/>
      <c r="AE33" s="104"/>
      <c r="AF33" s="104"/>
      <c r="AG33" s="104"/>
      <c r="AH33" s="111"/>
      <c r="AI33" s="111"/>
      <c r="AJ33" s="111"/>
      <c r="AK33" s="111">
        <f>$T33/4</f>
        <v>0.05</v>
      </c>
      <c r="AL33" s="111">
        <f>AK33</f>
        <v>0.05</v>
      </c>
      <c r="AM33" s="111">
        <f t="shared" ref="AM33" si="66">AL33</f>
        <v>0.05</v>
      </c>
      <c r="AN33" s="111">
        <f t="shared" ref="AN33" si="67">AM33</f>
        <v>0.05</v>
      </c>
      <c r="AO33" s="111">
        <f>$U33/4</f>
        <v>7.4999999999999997E-2</v>
      </c>
      <c r="AP33" s="111">
        <f>AO33</f>
        <v>7.4999999999999997E-2</v>
      </c>
      <c r="AQ33" s="111">
        <f>AP33</f>
        <v>7.4999999999999997E-2</v>
      </c>
      <c r="AR33" s="111">
        <f>AQ33</f>
        <v>7.4999999999999997E-2</v>
      </c>
      <c r="AS33" s="111">
        <f>$V33/3</f>
        <v>0.16666666666666666</v>
      </c>
      <c r="AT33" s="111">
        <f>AS33</f>
        <v>0.16666666666666666</v>
      </c>
      <c r="AU33" s="111">
        <f>AT33</f>
        <v>0.16666666666666666</v>
      </c>
      <c r="AV33" s="104"/>
      <c r="AW33" s="104"/>
      <c r="AX33" s="104"/>
      <c r="AY33" s="104"/>
      <c r="AZ33" s="104"/>
      <c r="BA33" s="104"/>
      <c r="BB33" s="104"/>
      <c r="BC33" s="104"/>
      <c r="BD33" s="104"/>
      <c r="BE33" s="104"/>
      <c r="BF33" s="104"/>
      <c r="BG33" s="104"/>
      <c r="BH33" s="109">
        <f t="shared" si="10"/>
        <v>0.05</v>
      </c>
      <c r="BI33" s="109">
        <f t="shared" si="11"/>
        <v>0.95</v>
      </c>
      <c r="BJ33" s="109"/>
      <c r="BK33" s="104">
        <f>SUMPRODUCT(F33:I33,$F$5:$I$5)</f>
        <v>12000</v>
      </c>
      <c r="BL33" s="108">
        <f>AB33*$BK33*VLOOKUP($D33,'Land Price Phase Sc1&amp;2'!$B$119:$AU$165,9+BL$7-$BL$7,0)/1000000</f>
        <v>0</v>
      </c>
      <c r="BM33" s="108">
        <f>AC33*$BK33*VLOOKUP($D33,'Land Price Phase Sc1&amp;2'!$B$119:$AU$165,9+BM$7-$BL$7,0)/1000000</f>
        <v>0</v>
      </c>
      <c r="BN33" s="108">
        <f>AD33*$BK33*VLOOKUP($D33,'Land Price Phase Sc1&amp;2'!$B$119:$AU$165,9+BN$7-$BL$7,0)/1000000</f>
        <v>0</v>
      </c>
      <c r="BO33" s="108">
        <f>AE33*$BK33*VLOOKUP($D33,'Land Price Phase Sc1&amp;2'!$B$119:$AU$165,9+BO$7-$BL$7,0)/1000000</f>
        <v>0</v>
      </c>
      <c r="BP33" s="108">
        <f>AF33*$BK33*VLOOKUP($D33,'Land Price Phase Sc1&amp;2'!$B$119:$AU$165,9+BP$7-$BL$7,0)/1000000</f>
        <v>0</v>
      </c>
      <c r="BQ33" s="108">
        <f>AG33*$BK33*VLOOKUP($D33,'Land Price Phase Sc1&amp;2'!$B$119:$AU$165,9+BQ$7-$BL$7,0)/1000000</f>
        <v>0</v>
      </c>
      <c r="BR33" s="108">
        <f>AH33*$BK33*VLOOKUP($D33,'Land Price Phase Sc1&amp;2'!$B$119:$AU$165,9+BR$7-$BL$7,0)/1000000</f>
        <v>0</v>
      </c>
      <c r="BS33" s="108">
        <f>AI33*$BK33*VLOOKUP($D33,'Land Price Phase Sc1&amp;2'!$B$119:$AU$165,9+BS$7-$BL$7,0)/1000000</f>
        <v>0</v>
      </c>
      <c r="BT33" s="108">
        <f>AJ33*$BK33*VLOOKUP($D33,'Land Price Phase Sc1&amp;2'!$B$119:$AU$165,9+BT$7-$BL$7,0)/1000000</f>
        <v>0</v>
      </c>
      <c r="BU33" s="108">
        <f>AK33*$BK33*VLOOKUP($D33,'Land Price Phase Sc1&amp;2'!$B$119:$AU$165,9+BU$7-$BL$7,0)/1000000</f>
        <v>0.14463789721443887</v>
      </c>
      <c r="BV33" s="108">
        <f>AL33*$BK33*VLOOKUP($D33,'Land Price Phase Sc1&amp;2'!$B$119:$AU$165,9+BV$7-$BL$7,0)/1000000</f>
        <v>0.25619265693909821</v>
      </c>
      <c r="BW33" s="108">
        <f>AM33*$BK33*VLOOKUP($D33,'Land Price Phase Sc1&amp;2'!$B$119:$AU$165,9+BW$7-$BL$7,0)/1000000</f>
        <v>0.27438233558177416</v>
      </c>
      <c r="BX33" s="108">
        <f>AN33*$BK33*VLOOKUP($D33,'Land Price Phase Sc1&amp;2'!$B$119:$AU$165,9+BX$7-$BL$7,0)/1000000</f>
        <v>0.29386348140808011</v>
      </c>
      <c r="BY33" s="108">
        <f>AO33*$BK33*VLOOKUP($D33,'Land Price Phase Sc1&amp;2'!$B$119:$AU$165,9+BY$7-$BL$7,0)/1000000</f>
        <v>0.47209168288208064</v>
      </c>
      <c r="BZ33" s="108">
        <f>AP33*$BK33*VLOOKUP($D33,'Land Price Phase Sc1&amp;2'!$B$119:$AU$165,9+BZ$7-$BL$7,0)/1000000</f>
        <v>2.1165077820001748</v>
      </c>
      <c r="CA33" s="108">
        <f>AQ33*$BK33*VLOOKUP($D33,'Land Price Phase Sc1&amp;2'!$B$119:$AU$165,9+CA$7-$BL$7,0)/1000000</f>
        <v>2.2667798345221866</v>
      </c>
      <c r="CB33" s="108">
        <f>AR33*$BK33*VLOOKUP($D33,'Land Price Phase Sc1&amp;2'!$B$119:$AU$165,9+CB$7-$BL$7,0)/1000000</f>
        <v>2.4277212027732618</v>
      </c>
      <c r="CC33" s="108">
        <f>AS33*$BK33*VLOOKUP($D33,'Land Price Phase Sc1&amp;2'!$B$119:$AU$165,9+CC$7-$BL$7,0)/1000000</f>
        <v>5.7779764626003631</v>
      </c>
      <c r="CD33" s="108">
        <f>AT33*$BK33*VLOOKUP($D33,'Land Price Phase Sc1&amp;2'!$B$119:$AU$165,9+CD$7-$BL$7,0)/1000000</f>
        <v>6.1882127914449878</v>
      </c>
      <c r="CE33" s="108">
        <f>AU33*$BK33*VLOOKUP($D33,'Land Price Phase Sc1&amp;2'!$B$119:$AU$165,9+CE$7-$BL$7,0)/1000000</f>
        <v>6.6275758996375824</v>
      </c>
      <c r="CF33" s="108">
        <f>AV33*$BK33*VLOOKUP($D33,'Land Price Phase Sc1&amp;2'!$B$119:$AU$165,9+CF$7-$BL$7,0)/1000000</f>
        <v>0</v>
      </c>
      <c r="CG33" s="108">
        <f>AW33*$BK33*VLOOKUP($D33,'Land Price Phase Sc1&amp;2'!$B$119:$AU$165,9+CG$7-$BL$7,0)/1000000</f>
        <v>0</v>
      </c>
      <c r="CH33" s="108">
        <f>AX33*$BK33*VLOOKUP($D33,'Land Price Phase Sc1&amp;2'!$B$119:$AU$165,9+CH$7-$BL$7,0)/1000000</f>
        <v>0</v>
      </c>
      <c r="CI33" s="108">
        <f>AY33*$BK33*VLOOKUP($D33,'Land Price Phase Sc1&amp;2'!$B$119:$AU$165,9+CI$7-$BL$7,0)/1000000</f>
        <v>0</v>
      </c>
      <c r="CJ33" s="108">
        <f>AZ33*$BK33*VLOOKUP($D33,'Land Price Phase Sc1&amp;2'!$B$119:$AU$165,9+CJ$7-$BL$7,0)/1000000</f>
        <v>0</v>
      </c>
      <c r="CK33" s="108">
        <f>BA33*$BK33*VLOOKUP($D33,'Land Price Phase Sc1&amp;2'!$B$119:$AU$165,9+CK$7-$BL$7,0)/1000000</f>
        <v>0</v>
      </c>
      <c r="CL33" s="108">
        <f>BB33*$BK33*VLOOKUP($D33,'Land Price Phase Sc1&amp;2'!$B$119:$AU$165,9+CL$7-$BL$7,0)/1000000</f>
        <v>0</v>
      </c>
      <c r="CM33" s="108">
        <f>BC33*$BK33*VLOOKUP($D33,'Land Price Phase Sc1&amp;2'!$B$119:$AU$165,9+CM$7-$BL$7,0)/1000000</f>
        <v>0</v>
      </c>
      <c r="CN33" s="108">
        <f>BD33*$BK33*VLOOKUP($D33,'Land Price Phase Sc1&amp;2'!$B$119:$AU$165,9+CN$7-$BL$7,0)/1000000</f>
        <v>0</v>
      </c>
      <c r="CO33" s="108">
        <f>BE33*$BK33*VLOOKUP($D33,'Land Price Phase Sc1&amp;2'!$B$119:$AU$165,9+CO$7-$BL$7,0)/1000000</f>
        <v>0</v>
      </c>
      <c r="CP33" s="108">
        <f>BF33*$BK33*VLOOKUP($D33,'Land Price Phase Sc1&amp;2'!$B$119:$AU$165,9+CP$7-$BL$7,0)/1000000</f>
        <v>0</v>
      </c>
      <c r="CQ33" s="108">
        <f>BG33*$BK33*VLOOKUP($D33,'Land Price Phase Sc1&amp;2'!$B$119:$AU$165,9+CQ$7-$BL$7,0)/1000000</f>
        <v>0</v>
      </c>
      <c r="CR33" s="108">
        <f t="shared" si="13"/>
        <v>26.845942027004028</v>
      </c>
      <c r="CS33" s="19"/>
      <c r="CT33" s="19"/>
      <c r="CU33" s="19"/>
      <c r="CV33" s="19"/>
      <c r="CW33" s="18"/>
      <c r="CX33" s="18"/>
      <c r="CY33" s="18"/>
      <c r="CZ33" s="18"/>
      <c r="DA33" s="20"/>
      <c r="DB33" s="20"/>
      <c r="DC33" s="20"/>
      <c r="DK33" s="10"/>
      <c r="DL33" s="10"/>
      <c r="DM33" s="10"/>
      <c r="DN33" s="10"/>
      <c r="DO33" s="10"/>
      <c r="DP33" s="10"/>
      <c r="DQ33" s="10"/>
      <c r="DR33" s="10"/>
      <c r="DS33" s="10"/>
      <c r="DT33" s="10"/>
      <c r="EB33" s="84"/>
      <c r="EC33" s="84"/>
    </row>
    <row r="34" spans="1:133" x14ac:dyDescent="0.3">
      <c r="A34" s="104" t="s">
        <v>29</v>
      </c>
      <c r="B34" s="104" t="s">
        <v>337</v>
      </c>
      <c r="C34" s="104"/>
      <c r="D34" s="104" t="s">
        <v>243</v>
      </c>
      <c r="E34" s="104" t="s">
        <v>288</v>
      </c>
      <c r="F34" s="105">
        <f>1+17+3</f>
        <v>21</v>
      </c>
      <c r="G34" s="105"/>
      <c r="H34" s="105"/>
      <c r="I34" s="105"/>
      <c r="J34" s="105">
        <f>F34</f>
        <v>21</v>
      </c>
      <c r="K34" s="105"/>
      <c r="L34" s="105"/>
      <c r="M34" s="105"/>
      <c r="N34" s="105"/>
      <c r="O34" s="104">
        <f>'Land Price Phase Sc1&amp;2'!D128</f>
        <v>2046</v>
      </c>
      <c r="P34" s="104">
        <f>'Land Price Phase Sc1&amp;2'!E128</f>
        <v>2050</v>
      </c>
      <c r="Q34" s="104">
        <f>'Land Price Phase Sc1&amp;2'!F128</f>
        <v>2054</v>
      </c>
      <c r="R34" s="106">
        <f t="shared" ref="R34:R35" si="68">SUM(AB34:BG34)</f>
        <v>0.99999999999999989</v>
      </c>
      <c r="S34" s="104"/>
      <c r="T34" s="107">
        <f>'Park spec inputs'!H$22</f>
        <v>0.2</v>
      </c>
      <c r="U34" s="107">
        <f>'Park spec inputs'!I$22</f>
        <v>0.3</v>
      </c>
      <c r="V34" s="107">
        <f>'Park spec inputs'!J$22</f>
        <v>0.5</v>
      </c>
      <c r="W34" s="107" t="e">
        <f t="shared" si="7"/>
        <v>#DIV/0!</v>
      </c>
      <c r="X34" s="107">
        <f t="shared" si="42"/>
        <v>0</v>
      </c>
      <c r="Y34" s="107">
        <f t="shared" si="9"/>
        <v>0</v>
      </c>
      <c r="Z34" s="104" t="s">
        <v>370</v>
      </c>
      <c r="AA34" s="108">
        <f t="shared" si="16"/>
        <v>0</v>
      </c>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11">
        <f>$T34/4</f>
        <v>0.05</v>
      </c>
      <c r="AX34" s="111">
        <f>AW34</f>
        <v>0.05</v>
      </c>
      <c r="AY34" s="111">
        <f t="shared" ref="AY34" si="69">AX34</f>
        <v>0.05</v>
      </c>
      <c r="AZ34" s="111">
        <f t="shared" ref="AZ34" si="70">AY34</f>
        <v>0.05</v>
      </c>
      <c r="BA34" s="111">
        <f>$U34/4</f>
        <v>7.4999999999999997E-2</v>
      </c>
      <c r="BB34" s="111">
        <f>BA34</f>
        <v>7.4999999999999997E-2</v>
      </c>
      <c r="BC34" s="111">
        <f>BB34</f>
        <v>7.4999999999999997E-2</v>
      </c>
      <c r="BD34" s="111">
        <f>BC34</f>
        <v>7.4999999999999997E-2</v>
      </c>
      <c r="BE34" s="111">
        <f>$V34/3</f>
        <v>0.16666666666666666</v>
      </c>
      <c r="BF34" s="111">
        <f>BE34</f>
        <v>0.16666666666666666</v>
      </c>
      <c r="BG34" s="111">
        <f>BF34</f>
        <v>0.16666666666666666</v>
      </c>
      <c r="BH34" s="109">
        <f t="shared" si="10"/>
        <v>0</v>
      </c>
      <c r="BI34" s="109">
        <f t="shared" si="11"/>
        <v>0.99999999999999989</v>
      </c>
      <c r="BJ34" s="109"/>
      <c r="BK34" s="104">
        <f t="shared" ref="BK34:BK35" si="71">SUMPRODUCT(F34:I34,$F$5:$I$5)</f>
        <v>84000</v>
      </c>
      <c r="BL34" s="108">
        <f>AB34*$BK34*'Land Price Phase Sc1&amp;2'!J$128/1000000</f>
        <v>0</v>
      </c>
      <c r="BM34" s="108">
        <f>AC34*$BK34*'Land Price Phase Sc1&amp;2'!K$128/1000000</f>
        <v>0</v>
      </c>
      <c r="BN34" s="108">
        <f>AD34*$BK34*'Land Price Phase Sc1&amp;2'!L$128/1000000</f>
        <v>0</v>
      </c>
      <c r="BO34" s="108">
        <f>AE34*$BK34*'Land Price Phase Sc1&amp;2'!M$128/1000000</f>
        <v>0</v>
      </c>
      <c r="BP34" s="108">
        <f>AF34*$BK34*'Land Price Phase Sc1&amp;2'!N$128/1000000</f>
        <v>0</v>
      </c>
      <c r="BQ34" s="108">
        <f>AG34*$BK34*'Land Price Phase Sc1&amp;2'!O$128/1000000</f>
        <v>0</v>
      </c>
      <c r="BR34" s="108">
        <f>AH34*$BK34*'Land Price Phase Sc1&amp;2'!P$128/1000000</f>
        <v>0</v>
      </c>
      <c r="BS34" s="108">
        <f>AI34*$BK34*'Land Price Phase Sc1&amp;2'!Q$128/1000000</f>
        <v>0</v>
      </c>
      <c r="BT34" s="108">
        <f>AJ34*$BK34*'Land Price Phase Sc1&amp;2'!R$128/1000000</f>
        <v>0</v>
      </c>
      <c r="BU34" s="108">
        <f>AK34*$BK34*'Land Price Phase Sc1&amp;2'!S$128/1000000</f>
        <v>0</v>
      </c>
      <c r="BV34" s="108">
        <f>AL34*$BK34*'Land Price Phase Sc1&amp;2'!T$128/1000000</f>
        <v>0</v>
      </c>
      <c r="BW34" s="108">
        <f>AM34*$BK34*'Land Price Phase Sc1&amp;2'!U$128/1000000</f>
        <v>0</v>
      </c>
      <c r="BX34" s="108">
        <f>AN34*$BK34*'Land Price Phase Sc1&amp;2'!V$128/1000000</f>
        <v>0</v>
      </c>
      <c r="BY34" s="108">
        <f>AO34*$BK34*'Land Price Phase Sc1&amp;2'!W$128/1000000</f>
        <v>0</v>
      </c>
      <c r="BZ34" s="108">
        <f>AP34*$BK34*'Land Price Phase Sc1&amp;2'!X$128/1000000</f>
        <v>0</v>
      </c>
      <c r="CA34" s="108">
        <f>AQ34*$BK34*'Land Price Phase Sc1&amp;2'!Y$128/1000000</f>
        <v>0</v>
      </c>
      <c r="CB34" s="108">
        <f>AR34*$BK34*'Land Price Phase Sc1&amp;2'!Z$128/1000000</f>
        <v>0</v>
      </c>
      <c r="CC34" s="108">
        <f>AS34*$BK34*'Land Price Phase Sc1&amp;2'!AA$128/1000000</f>
        <v>0</v>
      </c>
      <c r="CD34" s="108">
        <f>AT34*$BK34*'Land Price Phase Sc1&amp;2'!AB$128/1000000</f>
        <v>0</v>
      </c>
      <c r="CE34" s="108">
        <f>AU34*$BK34*'Land Price Phase Sc1&amp;2'!AC$128/1000000</f>
        <v>0</v>
      </c>
      <c r="CF34" s="108">
        <f>AV34*$BK34*'Land Price Phase Sc1&amp;2'!AD$128/1000000</f>
        <v>0</v>
      </c>
      <c r="CG34" s="108">
        <f>AW34*$BK34*'Land Price Phase Sc1&amp;2'!AE$128/1000000</f>
        <v>4.8780149928100558</v>
      </c>
      <c r="CH34" s="108">
        <f>AX34*$BK34*'Land Price Phase Sc1&amp;2'!AF$128/1000000</f>
        <v>5.2243540572995704</v>
      </c>
      <c r="CI34" s="108">
        <f>AY34*$BK34*'Land Price Phase Sc1&amp;2'!AG$128/1000000</f>
        <v>5.5952831953678386</v>
      </c>
      <c r="CJ34" s="108">
        <f>AZ34*$BK34*'Land Price Phase Sc1&amp;2'!AH$128/1000000</f>
        <v>5.9925483022389541</v>
      </c>
      <c r="CK34" s="108">
        <f>BA34*$BK34*'Land Price Phase Sc1&amp;2'!AI$128/1000000</f>
        <v>14.353024827251712</v>
      </c>
      <c r="CL34" s="108">
        <f>BB34*$BK34*'Land Price Phase Sc1&amp;2'!AJ$128/1000000</f>
        <v>15.372089589986583</v>
      </c>
      <c r="CM34" s="108">
        <f>BC34*$BK34*'Land Price Phase Sc1&amp;2'!AK$128/1000000</f>
        <v>16.463507950875631</v>
      </c>
      <c r="CN34" s="108">
        <f>BD34*$BK34*'Land Price Phase Sc1&amp;2'!AL$128/1000000</f>
        <v>17.632417015387798</v>
      </c>
      <c r="CO34" s="108">
        <f>BE34*$BK34*'Land Price Phase Sc1&amp;2'!AM$128/1000000</f>
        <v>135.61909038542785</v>
      </c>
      <c r="CP34" s="108">
        <f>BF34*$BK34*'Land Price Phase Sc1&amp;2'!AN$128/1000000</f>
        <v>145.24804580279323</v>
      </c>
      <c r="CQ34" s="108">
        <f>BG34*$BK34*'Land Price Phase Sc1&amp;2'!AO$128/1000000</f>
        <v>155.56065705479153</v>
      </c>
      <c r="CR34" s="108">
        <f t="shared" si="13"/>
        <v>521.93903317423076</v>
      </c>
      <c r="CS34" s="19"/>
      <c r="CT34" s="19"/>
      <c r="CU34" s="19"/>
      <c r="CV34" s="19"/>
      <c r="CW34" s="18"/>
      <c r="CX34" s="18"/>
      <c r="CY34" s="18"/>
      <c r="CZ34" s="18"/>
      <c r="DA34" s="20"/>
      <c r="DB34" s="20"/>
      <c r="DC34" s="20"/>
      <c r="DK34" s="10"/>
      <c r="DL34" s="10"/>
      <c r="DM34" s="10"/>
      <c r="DN34" s="10"/>
      <c r="DO34" s="10"/>
      <c r="DP34" s="10"/>
      <c r="DQ34" s="10"/>
      <c r="DR34" s="10"/>
      <c r="DS34" s="10"/>
      <c r="DT34" s="10"/>
      <c r="EB34" s="84"/>
      <c r="EC34" s="84"/>
    </row>
    <row r="35" spans="1:133" x14ac:dyDescent="0.3">
      <c r="A35" s="104" t="s">
        <v>29</v>
      </c>
      <c r="B35" s="104" t="s">
        <v>337</v>
      </c>
      <c r="C35" s="104"/>
      <c r="D35" s="104" t="s">
        <v>243</v>
      </c>
      <c r="E35" s="104" t="s">
        <v>244</v>
      </c>
      <c r="F35" s="105"/>
      <c r="G35" s="105">
        <v>5</v>
      </c>
      <c r="H35" s="105"/>
      <c r="I35" s="105"/>
      <c r="J35" s="105"/>
      <c r="K35" s="105">
        <f>G35</f>
        <v>5</v>
      </c>
      <c r="L35" s="105"/>
      <c r="M35" s="105"/>
      <c r="N35" s="105"/>
      <c r="O35" s="104">
        <f>O34</f>
        <v>2046</v>
      </c>
      <c r="P35" s="104">
        <f>'Land Price Phase Sc1&amp;2'!E129</f>
        <v>2050</v>
      </c>
      <c r="Q35" s="104">
        <f>'Land Price Phase Sc1&amp;2'!F129</f>
        <v>2054</v>
      </c>
      <c r="R35" s="106">
        <f t="shared" si="68"/>
        <v>1</v>
      </c>
      <c r="S35" s="107">
        <f>'Park spec inputs'!C$21</f>
        <v>0.15</v>
      </c>
      <c r="T35" s="107">
        <f>'Park spec inputs'!D$21</f>
        <v>0.5</v>
      </c>
      <c r="U35" s="107">
        <f>'Park spec inputs'!E$21</f>
        <v>0.25</v>
      </c>
      <c r="V35" s="107">
        <f>'Park spec inputs'!F$21</f>
        <v>0.1</v>
      </c>
      <c r="W35" s="107" t="e">
        <f t="shared" si="7"/>
        <v>#DIV/0!</v>
      </c>
      <c r="X35" s="107">
        <f t="shared" si="42"/>
        <v>0</v>
      </c>
      <c r="Y35" s="107">
        <f t="shared" si="9"/>
        <v>0</v>
      </c>
      <c r="Z35" s="104" t="s">
        <v>370</v>
      </c>
      <c r="AA35" s="108">
        <f t="shared" si="16"/>
        <v>0</v>
      </c>
      <c r="AB35" s="104"/>
      <c r="AC35" s="104"/>
      <c r="AD35" s="104"/>
      <c r="AE35" s="104"/>
      <c r="AF35" s="104"/>
      <c r="AG35" s="104"/>
      <c r="AH35" s="104"/>
      <c r="AI35" s="104"/>
      <c r="AJ35" s="104"/>
      <c r="AK35" s="104"/>
      <c r="AL35" s="104"/>
      <c r="AM35" s="104"/>
      <c r="AN35" s="104"/>
      <c r="AO35" s="104"/>
      <c r="AP35" s="104"/>
      <c r="AQ35" s="104"/>
      <c r="AR35" s="104"/>
      <c r="AS35" s="104"/>
      <c r="AT35" s="111">
        <f>$S35/3</f>
        <v>4.9999999999999996E-2</v>
      </c>
      <c r="AU35" s="111">
        <f>AT35</f>
        <v>4.9999999999999996E-2</v>
      </c>
      <c r="AV35" s="111">
        <f>AU35</f>
        <v>4.9999999999999996E-2</v>
      </c>
      <c r="AW35" s="111">
        <f>$T35/4</f>
        <v>0.125</v>
      </c>
      <c r="AX35" s="111">
        <f>AW35</f>
        <v>0.125</v>
      </c>
      <c r="AY35" s="111">
        <f>AX35</f>
        <v>0.125</v>
      </c>
      <c r="AZ35" s="111">
        <f>AY35</f>
        <v>0.125</v>
      </c>
      <c r="BA35" s="111">
        <f>$U35/4</f>
        <v>6.25E-2</v>
      </c>
      <c r="BB35" s="111">
        <f t="shared" ref="BB35:BD35" si="72">BA35</f>
        <v>6.25E-2</v>
      </c>
      <c r="BC35" s="111">
        <f t="shared" si="72"/>
        <v>6.25E-2</v>
      </c>
      <c r="BD35" s="111">
        <f t="shared" si="72"/>
        <v>6.25E-2</v>
      </c>
      <c r="BE35" s="111">
        <f>$V35/3</f>
        <v>3.3333333333333333E-2</v>
      </c>
      <c r="BF35" s="111">
        <f t="shared" ref="BF35:BG35" si="73">BE35</f>
        <v>3.3333333333333333E-2</v>
      </c>
      <c r="BG35" s="111">
        <f t="shared" si="73"/>
        <v>3.3333333333333333E-2</v>
      </c>
      <c r="BH35" s="109">
        <f t="shared" si="10"/>
        <v>0</v>
      </c>
      <c r="BI35" s="109">
        <f t="shared" si="11"/>
        <v>1</v>
      </c>
      <c r="BJ35" s="109"/>
      <c r="BK35" s="104">
        <f t="shared" si="71"/>
        <v>150000</v>
      </c>
      <c r="BL35" s="108">
        <f>AB35*$BK35*'Land Price Phase Sc1&amp;2'!J$128/1000000</f>
        <v>0</v>
      </c>
      <c r="BM35" s="108">
        <f>AC35*$BK35*'Land Price Phase Sc1&amp;2'!K$128/1000000</f>
        <v>0</v>
      </c>
      <c r="BN35" s="108">
        <f>AD35*$BK35*'Land Price Phase Sc1&amp;2'!L$128/1000000</f>
        <v>0</v>
      </c>
      <c r="BO35" s="108">
        <f>AE35*$BK35*'Land Price Phase Sc1&amp;2'!M$128/1000000</f>
        <v>0</v>
      </c>
      <c r="BP35" s="108">
        <f>AF35*$BK35*'Land Price Phase Sc1&amp;2'!N$128/1000000</f>
        <v>0</v>
      </c>
      <c r="BQ35" s="108">
        <f>AG35*$BK35*'Land Price Phase Sc1&amp;2'!O$128/1000000</f>
        <v>0</v>
      </c>
      <c r="BR35" s="108">
        <f>AH35*$BK35*'Land Price Phase Sc1&amp;2'!P$128/1000000</f>
        <v>0</v>
      </c>
      <c r="BS35" s="108">
        <f>AI35*$BK35*'Land Price Phase Sc1&amp;2'!Q$128/1000000</f>
        <v>0</v>
      </c>
      <c r="BT35" s="108">
        <f>AJ35*$BK35*'Land Price Phase Sc1&amp;2'!R$128/1000000</f>
        <v>0</v>
      </c>
      <c r="BU35" s="108">
        <f>AK35*$BK35*'Land Price Phase Sc1&amp;2'!S$128/1000000</f>
        <v>0</v>
      </c>
      <c r="BV35" s="108">
        <f>AL35*$BK35*'Land Price Phase Sc1&amp;2'!T$128/1000000</f>
        <v>0</v>
      </c>
      <c r="BW35" s="108">
        <f>AM35*$BK35*'Land Price Phase Sc1&amp;2'!U$128/1000000</f>
        <v>0</v>
      </c>
      <c r="BX35" s="108">
        <f>AN35*$BK35*'Land Price Phase Sc1&amp;2'!V$128/1000000</f>
        <v>0</v>
      </c>
      <c r="BY35" s="108">
        <f>AO35*$BK35*'Land Price Phase Sc1&amp;2'!W$128/1000000</f>
        <v>0</v>
      </c>
      <c r="BZ35" s="108">
        <f>AP35*$BK35*'Land Price Phase Sc1&amp;2'!X$128/1000000</f>
        <v>0</v>
      </c>
      <c r="CA35" s="108">
        <f>AQ35*$BK35*'Land Price Phase Sc1&amp;2'!Y$128/1000000</f>
        <v>0</v>
      </c>
      <c r="CB35" s="108">
        <f>AR35*$BK35*'Land Price Phase Sc1&amp;2'!Z$128/1000000</f>
        <v>0</v>
      </c>
      <c r="CC35" s="108">
        <f>AS35*$BK35*'Land Price Phase Sc1&amp;2'!AA$128/1000000</f>
        <v>0</v>
      </c>
      <c r="CD35" s="108">
        <f>AT35*$BK35*'Land Price Phase Sc1&amp;2'!AB$128/1000000</f>
        <v>3.6097907950095762</v>
      </c>
      <c r="CE35" s="108">
        <f>AU35*$BK35*'Land Price Phase Sc1&amp;2'!AC$128/1000000</f>
        <v>3.8660859414552564</v>
      </c>
      <c r="CF35" s="108">
        <f>AV35*$BK35*'Land Price Phase Sc1&amp;2'!AD$128/1000000</f>
        <v>4.1405780432985786</v>
      </c>
      <c r="CG35" s="108">
        <f>AW35*$BK35*'Land Price Phase Sc1&amp;2'!AE$128/1000000</f>
        <v>21.776852646473465</v>
      </c>
      <c r="CH35" s="108">
        <f>AX35*$BK35*'Land Price Phase Sc1&amp;2'!AF$128/1000000</f>
        <v>23.323009184373081</v>
      </c>
      <c r="CI35" s="108">
        <f>AY35*$BK35*'Land Price Phase Sc1&amp;2'!AG$128/1000000</f>
        <v>24.978942836463563</v>
      </c>
      <c r="CJ35" s="108">
        <f>AZ35*$BK35*'Land Price Phase Sc1&amp;2'!AH$128/1000000</f>
        <v>26.752447777852474</v>
      </c>
      <c r="CK35" s="108">
        <f>BA35*$BK35*'Land Price Phase Sc1&amp;2'!AI$128/1000000</f>
        <v>21.358667897695998</v>
      </c>
      <c r="CL35" s="108">
        <f>BB35*$BK35*'Land Price Phase Sc1&amp;2'!AJ$128/1000000</f>
        <v>22.875133318432418</v>
      </c>
      <c r="CM35" s="108">
        <f>BC35*$BK35*'Land Price Phase Sc1&amp;2'!AK$128/1000000</f>
        <v>24.499267784041116</v>
      </c>
      <c r="CN35" s="108">
        <f>BD35*$BK35*'Land Price Phase Sc1&amp;2'!AL$128/1000000</f>
        <v>26.238715796708036</v>
      </c>
      <c r="CO35" s="108">
        <f>BE35*$BK35*'Land Price Phase Sc1&amp;2'!AM$128/1000000</f>
        <v>48.435389423367099</v>
      </c>
      <c r="CP35" s="108">
        <f>BF35*$BK35*'Land Price Phase Sc1&amp;2'!AN$128/1000000</f>
        <v>51.874302072426154</v>
      </c>
      <c r="CQ35" s="108">
        <f>BG35*$BK35*'Land Price Phase Sc1&amp;2'!AO$128/1000000</f>
        <v>55.557377519568405</v>
      </c>
      <c r="CR35" s="108">
        <f t="shared" si="13"/>
        <v>359.28656103716514</v>
      </c>
      <c r="CS35" s="19"/>
      <c r="CT35" s="19"/>
      <c r="CU35" s="19"/>
      <c r="CV35" s="19"/>
      <c r="CW35" s="18"/>
      <c r="CX35" s="18"/>
      <c r="CY35" s="18"/>
      <c r="CZ35" s="18"/>
      <c r="DA35" s="20"/>
      <c r="DB35" s="20"/>
      <c r="DC35" s="20"/>
      <c r="DK35" s="10"/>
      <c r="DL35" s="10"/>
      <c r="DM35" s="10"/>
      <c r="DN35" s="10"/>
      <c r="DO35" s="10"/>
      <c r="DP35" s="10"/>
      <c r="DQ35" s="10"/>
      <c r="DR35" s="10"/>
      <c r="DS35" s="10"/>
      <c r="DT35" s="10"/>
      <c r="EB35" s="84"/>
      <c r="EC35" s="84"/>
    </row>
    <row r="36" spans="1:133" x14ac:dyDescent="0.3">
      <c r="A36" s="104" t="s">
        <v>239</v>
      </c>
      <c r="B36" s="104" t="s">
        <v>248</v>
      </c>
      <c r="C36" s="104" t="s">
        <v>27</v>
      </c>
      <c r="D36" s="104" t="s">
        <v>27</v>
      </c>
      <c r="E36" s="104" t="s">
        <v>250</v>
      </c>
      <c r="F36" s="105"/>
      <c r="G36" s="105"/>
      <c r="H36" s="104"/>
      <c r="I36" s="105"/>
      <c r="J36" s="105"/>
      <c r="K36" s="105"/>
      <c r="L36" s="105">
        <f>0.51977</f>
        <v>0.51976999999999995</v>
      </c>
      <c r="M36" s="105"/>
      <c r="N36" s="105"/>
      <c r="O36" s="104"/>
      <c r="P36" s="104"/>
      <c r="Q36" s="104" t="s">
        <v>239</v>
      </c>
      <c r="R36" s="104"/>
      <c r="S36" s="104"/>
      <c r="T36" s="104"/>
      <c r="U36" s="104"/>
      <c r="V36" s="104"/>
      <c r="W36" s="107">
        <f t="shared" si="7"/>
        <v>0</v>
      </c>
      <c r="X36" s="107">
        <f t="shared" si="42"/>
        <v>26.417963821242544</v>
      </c>
      <c r="Y36" s="107">
        <f t="shared" si="9"/>
        <v>72.634585876801495</v>
      </c>
      <c r="Z36" s="104" t="s">
        <v>370</v>
      </c>
      <c r="AA36" s="108">
        <f t="shared" si="16"/>
        <v>0</v>
      </c>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9">
        <f t="shared" si="10"/>
        <v>0</v>
      </c>
      <c r="BI36" s="109">
        <f t="shared" si="11"/>
        <v>0</v>
      </c>
      <c r="BJ36" s="109"/>
      <c r="BK36" s="104"/>
      <c r="BL36" s="104"/>
      <c r="BM36" s="104"/>
      <c r="BN36" s="104"/>
      <c r="BO36" s="104"/>
      <c r="BP36" s="104"/>
      <c r="BQ36" s="104"/>
      <c r="BR36" s="104"/>
      <c r="BS36" s="104"/>
      <c r="BT36" s="104"/>
      <c r="BU36" s="104"/>
      <c r="BV36" s="104"/>
      <c r="BW36" s="104"/>
      <c r="BX36" s="104"/>
      <c r="BY36" s="104"/>
      <c r="BZ36" s="104"/>
      <c r="CA36" s="104"/>
      <c r="CB36" s="104"/>
      <c r="CC36" s="104"/>
      <c r="CD36" s="104"/>
      <c r="CE36" s="104"/>
      <c r="CF36" s="104"/>
      <c r="CG36" s="104"/>
      <c r="CH36" s="104"/>
      <c r="CI36" s="104"/>
      <c r="CJ36" s="104"/>
      <c r="CK36" s="104"/>
      <c r="CL36" s="104"/>
      <c r="CM36" s="104"/>
      <c r="CN36" s="104"/>
      <c r="CO36" s="104"/>
      <c r="CP36" s="104"/>
      <c r="CQ36" s="104"/>
      <c r="CR36" s="108"/>
      <c r="DK36" s="10"/>
      <c r="DL36" s="10"/>
      <c r="DM36" s="10"/>
      <c r="DN36" s="10"/>
      <c r="DO36" s="10"/>
      <c r="DP36" s="10"/>
      <c r="DQ36" s="10"/>
      <c r="DR36" s="10"/>
      <c r="DS36" s="10"/>
      <c r="DT36" s="10"/>
      <c r="EB36" s="84"/>
      <c r="EC36" s="84"/>
    </row>
    <row r="37" spans="1:133" x14ac:dyDescent="0.3">
      <c r="A37" s="104" t="s">
        <v>27</v>
      </c>
      <c r="B37" s="104" t="s">
        <v>248</v>
      </c>
      <c r="C37" s="104" t="s">
        <v>27</v>
      </c>
      <c r="D37" s="104" t="s">
        <v>56</v>
      </c>
      <c r="E37" s="104" t="s">
        <v>339</v>
      </c>
      <c r="F37" s="105"/>
      <c r="G37" s="105"/>
      <c r="H37" s="105">
        <f>1-L36</f>
        <v>0.48023000000000005</v>
      </c>
      <c r="I37" s="105"/>
      <c r="J37" s="105"/>
      <c r="K37" s="105"/>
      <c r="L37" s="105">
        <f>H37</f>
        <v>0.48023000000000005</v>
      </c>
      <c r="M37" s="105"/>
      <c r="N37" s="105"/>
      <c r="O37" s="104">
        <f>VLOOKUP($D37,'Land Price Phase Sc1&amp;2'!$B$4:$F$50,3,0)</f>
        <v>2020</v>
      </c>
      <c r="P37" s="104">
        <f>VLOOKUP($D37,'Land Price Phase Sc1&amp;2'!$B$4:$F$50,4,0)</f>
        <v>2024</v>
      </c>
      <c r="Q37" s="104">
        <f>VLOOKUP($D37,'Land Price Phase Sc1&amp;2'!$B$4:$F$50,5,0)</f>
        <v>2028</v>
      </c>
      <c r="R37" s="106">
        <f>SUM(AB37:BG37)</f>
        <v>0.99999999999999989</v>
      </c>
      <c r="S37" s="107"/>
      <c r="T37" s="107"/>
      <c r="U37" s="107">
        <f>'Park spec inputs'!L23</f>
        <v>1</v>
      </c>
      <c r="V37" s="107">
        <f>'Park spec inputs'!M23</f>
        <v>0</v>
      </c>
      <c r="W37" s="107">
        <f t="shared" si="7"/>
        <v>0</v>
      </c>
      <c r="X37" s="107">
        <f t="shared" si="42"/>
        <v>26.417963821242544</v>
      </c>
      <c r="Y37" s="107">
        <f t="shared" si="9"/>
        <v>72.634585876801495</v>
      </c>
      <c r="Z37" s="104">
        <v>25</v>
      </c>
      <c r="AA37" s="108">
        <f t="shared" si="16"/>
        <v>72.5975747365149</v>
      </c>
      <c r="AB37" s="108"/>
      <c r="AC37" s="108">
        <v>0.1</v>
      </c>
      <c r="AD37" s="108">
        <v>0.2</v>
      </c>
      <c r="AE37" s="108">
        <v>0.2</v>
      </c>
      <c r="AF37" s="108">
        <v>0.2</v>
      </c>
      <c r="AG37" s="108">
        <v>0.2</v>
      </c>
      <c r="AH37" s="108">
        <v>0.1</v>
      </c>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9">
        <f t="shared" si="10"/>
        <v>0.99999999999999989</v>
      </c>
      <c r="BI37" s="109">
        <f t="shared" si="11"/>
        <v>0</v>
      </c>
      <c r="BJ37" s="109"/>
      <c r="BK37" s="104">
        <f t="shared" ref="BK37:BK38" si="74">SUMPRODUCT(F37:I37,$F$5:$I$5)</f>
        <v>48023.000000000007</v>
      </c>
      <c r="BL37" s="108">
        <f>AB37*$BK37*VLOOKUP($D37,'Land Price Phase Sc1&amp;2'!$B$119:$AU$165,9+BL$7-$BL$7,0)/1000000</f>
        <v>0</v>
      </c>
      <c r="BM37" s="108">
        <f>AC37*$BK37*VLOOKUP($D37,'Land Price Phase Sc1&amp;2'!$B$119:$AU$165,9+BM$7-$BL$7,0)/1000000</f>
        <v>2.6411689540000007</v>
      </c>
      <c r="BN37" s="108">
        <f>AD37*$BK37*VLOOKUP($D37,'Land Price Phase Sc1&amp;2'!$B$119:$AU$165,9+BN$7-$BL$7,0)/1000000</f>
        <v>5.5094784380440016</v>
      </c>
      <c r="BO37" s="108">
        <f>AE37*$BK37*VLOOKUP($D37,'Land Price Phase Sc1&amp;2'!$B$119:$AU$165,9+BO$7-$BL$7,0)/1000000</f>
        <v>16.816856510363607</v>
      </c>
      <c r="BP37" s="108">
        <f>AF37*$BK37*VLOOKUP($D37,'Land Price Phase Sc1&amp;2'!$B$119:$AU$165,9+BP$7-$BL$7,0)/1000000</f>
        <v>18.010853322599424</v>
      </c>
      <c r="BQ37" s="108">
        <f>AG37*$BK37*VLOOKUP($D37,'Land Price Phase Sc1&amp;2'!$B$119:$AU$165,9+BQ$7-$BL$7,0)/1000000</f>
        <v>19.289623908503984</v>
      </c>
      <c r="BR37" s="108">
        <f>AH37*$BK37*VLOOKUP($D37,'Land Price Phase Sc1&amp;2'!$B$119:$AU$165,9+BR$7-$BL$7,0)/1000000</f>
        <v>10.329593603003882</v>
      </c>
      <c r="BS37" s="108">
        <f>AI37*$BK37*VLOOKUP($D37,'Land Price Phase Sc1&amp;2'!$B$119:$AU$165,9+BS$7-$BL$7,0)/1000000</f>
        <v>0</v>
      </c>
      <c r="BT37" s="108">
        <f>AJ37*$BK37*VLOOKUP($D37,'Land Price Phase Sc1&amp;2'!$B$119:$AU$165,9+BT$7-$BL$7,0)/1000000</f>
        <v>0</v>
      </c>
      <c r="BU37" s="108">
        <f>AK37*$BK37*VLOOKUP($D37,'Land Price Phase Sc1&amp;2'!$B$119:$AU$165,9+BU$7-$BL$7,0)/1000000</f>
        <v>0</v>
      </c>
      <c r="BV37" s="108">
        <f>AL37*$BK37*VLOOKUP($D37,'Land Price Phase Sc1&amp;2'!$B$119:$AU$165,9+BV$7-$BL$7,0)/1000000</f>
        <v>0</v>
      </c>
      <c r="BW37" s="108">
        <f>AM37*$BK37*VLOOKUP($D37,'Land Price Phase Sc1&amp;2'!$B$119:$AU$165,9+BW$7-$BL$7,0)/1000000</f>
        <v>0</v>
      </c>
      <c r="BX37" s="108">
        <f>AN37*$BK37*VLOOKUP($D37,'Land Price Phase Sc1&amp;2'!$B$119:$AU$165,9+BX$7-$BL$7,0)/1000000</f>
        <v>0</v>
      </c>
      <c r="BY37" s="108">
        <f>AO37*$BK37*VLOOKUP($D37,'Land Price Phase Sc1&amp;2'!$B$119:$AU$165,9+BY$7-$BL$7,0)/1000000</f>
        <v>0</v>
      </c>
      <c r="BZ37" s="108">
        <f>AP37*$BK37*VLOOKUP($D37,'Land Price Phase Sc1&amp;2'!$B$119:$AU$165,9+BZ$7-$BL$7,0)/1000000</f>
        <v>0</v>
      </c>
      <c r="CA37" s="108">
        <f>AQ37*$BK37*VLOOKUP($D37,'Land Price Phase Sc1&amp;2'!$B$119:$AU$165,9+CA$7-$BL$7,0)/1000000</f>
        <v>0</v>
      </c>
      <c r="CB37" s="108">
        <f>AR37*$BK37*VLOOKUP($D37,'Land Price Phase Sc1&amp;2'!$B$119:$AU$165,9+CB$7-$BL$7,0)/1000000</f>
        <v>0</v>
      </c>
      <c r="CC37" s="108">
        <f>AS37*$BK37*VLOOKUP($D37,'Land Price Phase Sc1&amp;2'!$B$119:$AU$165,9+CC$7-$BL$7,0)/1000000</f>
        <v>0</v>
      </c>
      <c r="CD37" s="108">
        <f>AT37*$BK37*VLOOKUP($D37,'Land Price Phase Sc1&amp;2'!$B$119:$AU$165,9+CD$7-$BL$7,0)/1000000</f>
        <v>0</v>
      </c>
      <c r="CE37" s="108">
        <f>AU37*$BK37*VLOOKUP($D37,'Land Price Phase Sc1&amp;2'!$B$119:$AU$165,9+CE$7-$BL$7,0)/1000000</f>
        <v>0</v>
      </c>
      <c r="CF37" s="108">
        <f>AV37*$BK37*VLOOKUP($D37,'Land Price Phase Sc1&amp;2'!$B$119:$AU$165,9+CF$7-$BL$7,0)/1000000</f>
        <v>0</v>
      </c>
      <c r="CG37" s="108">
        <f>AW37*$BK37*VLOOKUP($D37,'Land Price Phase Sc1&amp;2'!$B$119:$AU$165,9+CG$7-$BL$7,0)/1000000</f>
        <v>0</v>
      </c>
      <c r="CH37" s="108">
        <f>AX37*$BK37*VLOOKUP($D37,'Land Price Phase Sc1&amp;2'!$B$119:$AU$165,9+CH$7-$BL$7,0)/1000000</f>
        <v>0</v>
      </c>
      <c r="CI37" s="108">
        <f>AY37*$BK37*VLOOKUP($D37,'Land Price Phase Sc1&amp;2'!$B$119:$AU$165,9+CI$7-$BL$7,0)/1000000</f>
        <v>0</v>
      </c>
      <c r="CJ37" s="108">
        <f>AZ37*$BK37*VLOOKUP($D37,'Land Price Phase Sc1&amp;2'!$B$119:$AU$165,9+CJ$7-$BL$7,0)/1000000</f>
        <v>0</v>
      </c>
      <c r="CK37" s="108">
        <f>BA37*$BK37*VLOOKUP($D37,'Land Price Phase Sc1&amp;2'!$B$119:$AU$165,9+CK$7-$BL$7,0)/1000000</f>
        <v>0</v>
      </c>
      <c r="CL37" s="108">
        <f>BB37*$BK37*VLOOKUP($D37,'Land Price Phase Sc1&amp;2'!$B$119:$AU$165,9+CL$7-$BL$7,0)/1000000</f>
        <v>0</v>
      </c>
      <c r="CM37" s="108">
        <f>BC37*$BK37*VLOOKUP($D37,'Land Price Phase Sc1&amp;2'!$B$119:$AU$165,9+CM$7-$BL$7,0)/1000000</f>
        <v>0</v>
      </c>
      <c r="CN37" s="108">
        <f>BD37*$BK37*VLOOKUP($D37,'Land Price Phase Sc1&amp;2'!$B$119:$AU$165,9+CN$7-$BL$7,0)/1000000</f>
        <v>0</v>
      </c>
      <c r="CO37" s="108">
        <f>BE37*$BK37*VLOOKUP($D37,'Land Price Phase Sc1&amp;2'!$B$119:$AU$165,9+CO$7-$BL$7,0)/1000000</f>
        <v>0</v>
      </c>
      <c r="CP37" s="108">
        <f>BF37*$BK37*VLOOKUP($D37,'Land Price Phase Sc1&amp;2'!$B$119:$AU$165,9+CP$7-$BL$7,0)/1000000</f>
        <v>0</v>
      </c>
      <c r="CQ37" s="108">
        <f>BG37*$BK37*VLOOKUP($D37,'Land Price Phase Sc1&amp;2'!$B$119:$AU$165,9+CQ$7-$BL$7,0)/1000000</f>
        <v>0</v>
      </c>
      <c r="CR37" s="108">
        <f t="shared" ref="CR37:CR55" si="75">SUM(BL37:CQ37)</f>
        <v>72.5975747365149</v>
      </c>
      <c r="CS37" s="19"/>
      <c r="CT37" s="19"/>
      <c r="CU37" s="19"/>
      <c r="CV37" s="19"/>
      <c r="CW37" s="18"/>
      <c r="CX37" s="18"/>
      <c r="CY37" s="18"/>
      <c r="CZ37" s="18"/>
      <c r="DA37" s="20"/>
      <c r="DB37" s="20"/>
      <c r="DC37" s="20"/>
      <c r="DK37" s="10"/>
      <c r="DL37" s="10"/>
      <c r="DM37" s="10"/>
      <c r="DN37" s="10"/>
      <c r="DO37" s="10"/>
      <c r="DP37" s="10"/>
      <c r="DQ37" s="10"/>
      <c r="DR37" s="10"/>
      <c r="DS37" s="10"/>
      <c r="DT37" s="10"/>
      <c r="EB37" s="84"/>
      <c r="EC37" s="84"/>
    </row>
    <row r="38" spans="1:133" x14ac:dyDescent="0.3">
      <c r="A38" s="104" t="str">
        <f>A17</f>
        <v>Warkworth</v>
      </c>
      <c r="B38" s="104" t="s">
        <v>248</v>
      </c>
      <c r="C38" s="104" t="s">
        <v>22</v>
      </c>
      <c r="D38" s="104" t="str">
        <f>D17</f>
        <v>Warkworth South-East, South-west</v>
      </c>
      <c r="E38" s="104"/>
      <c r="F38" s="105"/>
      <c r="G38" s="105"/>
      <c r="H38" s="105">
        <v>1</v>
      </c>
      <c r="I38" s="105"/>
      <c r="J38" s="105"/>
      <c r="K38" s="105"/>
      <c r="L38" s="105">
        <f t="shared" ref="L38" si="76">H38</f>
        <v>1</v>
      </c>
      <c r="M38" s="105"/>
      <c r="N38" s="105"/>
      <c r="O38" s="104">
        <f>VLOOKUP($D38,'Land Price Phase Sc1&amp;2'!$B$4:$F$50,3,0)</f>
        <v>2041</v>
      </c>
      <c r="P38" s="104">
        <f>VLOOKUP($D38,'Land Price Phase Sc1&amp;2'!$B$4:$F$50,4,0)</f>
        <v>2045</v>
      </c>
      <c r="Q38" s="104">
        <f>VLOOKUP($D38,'Land Price Phase Sc1&amp;2'!$B$4:$F$50,5,0)</f>
        <v>2049</v>
      </c>
      <c r="R38" s="106">
        <f>SUM(AB38:BG38)</f>
        <v>1</v>
      </c>
      <c r="S38" s="107">
        <f>'Park spec inputs'!C23</f>
        <v>0.4</v>
      </c>
      <c r="T38" s="107">
        <f>'Park spec inputs'!D23</f>
        <v>0.4</v>
      </c>
      <c r="U38" s="107">
        <f>'Park spec inputs'!E23</f>
        <v>0.2</v>
      </c>
      <c r="V38" s="107">
        <f>'Park spec inputs'!F23</f>
        <v>0</v>
      </c>
      <c r="W38" s="107">
        <f t="shared" si="7"/>
        <v>0</v>
      </c>
      <c r="X38" s="107">
        <f t="shared" si="42"/>
        <v>26.417963821242544</v>
      </c>
      <c r="Y38" s="107">
        <f t="shared" si="9"/>
        <v>72.634585876801495</v>
      </c>
      <c r="Z38" s="104" t="s">
        <v>370</v>
      </c>
      <c r="AA38" s="108">
        <f t="shared" si="16"/>
        <v>0</v>
      </c>
      <c r="AB38" s="111"/>
      <c r="AC38" s="111"/>
      <c r="AD38" s="111"/>
      <c r="AE38" s="111"/>
      <c r="AF38" s="111"/>
      <c r="AG38" s="111"/>
      <c r="AH38" s="111"/>
      <c r="AI38" s="111"/>
      <c r="AJ38" s="111"/>
      <c r="AK38" s="111"/>
      <c r="AL38" s="111"/>
      <c r="AM38" s="111"/>
      <c r="AN38" s="111"/>
      <c r="AO38" s="111">
        <f>$S38/3</f>
        <v>0.13333333333333333</v>
      </c>
      <c r="AP38" s="111">
        <f>AO38</f>
        <v>0.13333333333333333</v>
      </c>
      <c r="AQ38" s="111">
        <f>AP38</f>
        <v>0.13333333333333333</v>
      </c>
      <c r="AR38" s="111">
        <f>$T38/4</f>
        <v>0.1</v>
      </c>
      <c r="AS38" s="111">
        <f>AR38</f>
        <v>0.1</v>
      </c>
      <c r="AT38" s="111">
        <f>AS38</f>
        <v>0.1</v>
      </c>
      <c r="AU38" s="111">
        <f>AT38</f>
        <v>0.1</v>
      </c>
      <c r="AV38" s="111">
        <f>$U38/4</f>
        <v>0.05</v>
      </c>
      <c r="AW38" s="111">
        <f t="shared" ref="AW38:AY38" si="77">AV38</f>
        <v>0.05</v>
      </c>
      <c r="AX38" s="111">
        <f t="shared" si="77"/>
        <v>0.05</v>
      </c>
      <c r="AY38" s="111">
        <f t="shared" si="77"/>
        <v>0.05</v>
      </c>
      <c r="AZ38" s="111">
        <f>$V38/3</f>
        <v>0</v>
      </c>
      <c r="BA38" s="111">
        <f t="shared" ref="BA38:BB38" si="78">AZ38</f>
        <v>0</v>
      </c>
      <c r="BB38" s="111">
        <f t="shared" si="78"/>
        <v>0</v>
      </c>
      <c r="BC38" s="104"/>
      <c r="BD38" s="104"/>
      <c r="BE38" s="104"/>
      <c r="BF38" s="104"/>
      <c r="BG38" s="104"/>
      <c r="BH38" s="109">
        <f t="shared" si="10"/>
        <v>0</v>
      </c>
      <c r="BI38" s="109">
        <f t="shared" si="11"/>
        <v>1</v>
      </c>
      <c r="BJ38" s="109"/>
      <c r="BK38" s="104">
        <f t="shared" si="74"/>
        <v>100000</v>
      </c>
      <c r="BL38" s="108">
        <f>AB38*$BK38*VLOOKUP($D38,'Land Price Phase Sc1&amp;2'!$B$119:$AU$165,9+BL$7-$BL$7,0)/1000000</f>
        <v>0</v>
      </c>
      <c r="BM38" s="108">
        <f>AC38*$BK38*VLOOKUP($D38,'Land Price Phase Sc1&amp;2'!$B$119:$AU$165,9+BM$7-$BL$7,0)/1000000</f>
        <v>0</v>
      </c>
      <c r="BN38" s="108">
        <f>AD38*$BK38*VLOOKUP($D38,'Land Price Phase Sc1&amp;2'!$B$119:$AU$165,9+BN$7-$BL$7,0)/1000000</f>
        <v>0</v>
      </c>
      <c r="BO38" s="108">
        <f>AE38*$BK38*VLOOKUP($D38,'Land Price Phase Sc1&amp;2'!$B$119:$AU$165,9+BO$7-$BL$7,0)/1000000</f>
        <v>0</v>
      </c>
      <c r="BP38" s="108">
        <f>AF38*$BK38*VLOOKUP($D38,'Land Price Phase Sc1&amp;2'!$B$119:$AU$165,9+BP$7-$BL$7,0)/1000000</f>
        <v>0</v>
      </c>
      <c r="BQ38" s="108">
        <f>AG38*$BK38*VLOOKUP($D38,'Land Price Phase Sc1&amp;2'!$B$119:$AU$165,9+BQ$7-$BL$7,0)/1000000</f>
        <v>0</v>
      </c>
      <c r="BR38" s="108">
        <f>AH38*$BK38*VLOOKUP($D38,'Land Price Phase Sc1&amp;2'!$B$119:$AU$165,9+BR$7-$BL$7,0)/1000000</f>
        <v>0</v>
      </c>
      <c r="BS38" s="108">
        <f>AI38*$BK38*VLOOKUP($D38,'Land Price Phase Sc1&amp;2'!$B$119:$AU$165,9+BS$7-$BL$7,0)/1000000</f>
        <v>0</v>
      </c>
      <c r="BT38" s="108">
        <f>AJ38*$BK38*VLOOKUP($D38,'Land Price Phase Sc1&amp;2'!$B$119:$AU$165,9+BT$7-$BL$7,0)/1000000</f>
        <v>0</v>
      </c>
      <c r="BU38" s="108">
        <f>AK38*$BK38*VLOOKUP($D38,'Land Price Phase Sc1&amp;2'!$B$119:$AU$165,9+BU$7-$BL$7,0)/1000000</f>
        <v>0</v>
      </c>
      <c r="BV38" s="108">
        <f>AL38*$BK38*VLOOKUP($D38,'Land Price Phase Sc1&amp;2'!$B$119:$AU$165,9+BV$7-$BL$7,0)/1000000</f>
        <v>0</v>
      </c>
      <c r="BW38" s="108">
        <f>AM38*$BK38*VLOOKUP($D38,'Land Price Phase Sc1&amp;2'!$B$119:$AU$165,9+BW$7-$BL$7,0)/1000000</f>
        <v>0</v>
      </c>
      <c r="BX38" s="108">
        <f>AN38*$BK38*VLOOKUP($D38,'Land Price Phase Sc1&amp;2'!$B$119:$AU$165,9+BX$7-$BL$7,0)/1000000</f>
        <v>0</v>
      </c>
      <c r="BY38" s="108">
        <f>AO38*$BK38*VLOOKUP($D38,'Land Price Phase Sc1&amp;2'!$B$119:$AU$165,9+BY$7-$BL$7,0)/1000000</f>
        <v>2.4397502991322004</v>
      </c>
      <c r="BZ38" s="108">
        <f>AP38*$BK38*VLOOKUP($D38,'Land Price Phase Sc1&amp;2'!$B$119:$AU$165,9+BZ$7-$BL$7,0)/1000000</f>
        <v>2.6129725703705859</v>
      </c>
      <c r="CA38" s="108">
        <f>AQ38*$BK38*VLOOKUP($D38,'Land Price Phase Sc1&amp;2'!$B$119:$AU$165,9+CA$7-$BL$7,0)/1000000</f>
        <v>2.7984936228668973</v>
      </c>
      <c r="CB38" s="108">
        <f>AR38*$BK38*VLOOKUP($D38,'Land Price Phase Sc1&amp;2'!$B$119:$AU$165,9+CB$7-$BL$7,0)/1000000</f>
        <v>3.8963426711175808</v>
      </c>
      <c r="CC38" s="108">
        <f>AS38*$BK38*VLOOKUP($D38,'Land Price Phase Sc1&amp;2'!$B$119:$AU$165,9+CC$7-$BL$7,0)/1000000</f>
        <v>4.1729830007669291</v>
      </c>
      <c r="CD38" s="108">
        <f>AT38*$BK38*VLOOKUP($D38,'Land Price Phase Sc1&amp;2'!$B$119:$AU$165,9+CD$7-$BL$7,0)/1000000</f>
        <v>4.4692647938213801</v>
      </c>
      <c r="CE38" s="108">
        <f>AU38*$BK38*VLOOKUP($D38,'Land Price Phase Sc1&amp;2'!$B$119:$AU$165,9+CE$7-$BL$7,0)/1000000</f>
        <v>4.7865825941826978</v>
      </c>
      <c r="CF38" s="108">
        <f>AV38*$BK38*VLOOKUP($D38,'Land Price Phase Sc1&amp;2'!$B$119:$AU$165,9+CF$7-$BL$7,0)/1000000</f>
        <v>4.5349188093270154</v>
      </c>
      <c r="CG38" s="108">
        <f>AW38*$BK38*VLOOKUP($D38,'Land Price Phase Sc1&amp;2'!$B$119:$AU$165,9+CG$7-$BL$7,0)/1000000</f>
        <v>4.8568980447892329</v>
      </c>
      <c r="CH38" s="108">
        <f>AX38*$BK38*VLOOKUP($D38,'Land Price Phase Sc1&amp;2'!$B$119:$AU$165,9+CH$7-$BL$7,0)/1000000</f>
        <v>5.2017378059692678</v>
      </c>
      <c r="CI38" s="108">
        <f>AY38*$BK38*VLOOKUP($D38,'Land Price Phase Sc1&amp;2'!$B$119:$AU$165,9+CI$7-$BL$7,0)/1000000</f>
        <v>5.5710611901930855</v>
      </c>
      <c r="CJ38" s="108">
        <f>AZ38*$BK38*VLOOKUP($D38,'Land Price Phase Sc1&amp;2'!$B$119:$AU$165,9+CJ$7-$BL$7,0)/1000000</f>
        <v>0</v>
      </c>
      <c r="CK38" s="108">
        <f>BA38*$BK38*VLOOKUP($D38,'Land Price Phase Sc1&amp;2'!$B$119:$AU$165,9+CK$7-$BL$7,0)/1000000</f>
        <v>0</v>
      </c>
      <c r="CL38" s="108">
        <f>BB38*$BK38*VLOOKUP($D38,'Land Price Phase Sc1&amp;2'!$B$119:$AU$165,9+CL$7-$BL$7,0)/1000000</f>
        <v>0</v>
      </c>
      <c r="CM38" s="108">
        <f>BC38*$BK38*VLOOKUP($D38,'Land Price Phase Sc1&amp;2'!$B$119:$AU$165,9+CM$7-$BL$7,0)/1000000</f>
        <v>0</v>
      </c>
      <c r="CN38" s="108">
        <f>BD38*$BK38*VLOOKUP($D38,'Land Price Phase Sc1&amp;2'!$B$119:$AU$165,9+CN$7-$BL$7,0)/1000000</f>
        <v>0</v>
      </c>
      <c r="CO38" s="108">
        <f>BE38*$BK38*VLOOKUP($D38,'Land Price Phase Sc1&amp;2'!$B$119:$AU$165,9+CO$7-$BL$7,0)/1000000</f>
        <v>0</v>
      </c>
      <c r="CP38" s="108">
        <f>BF38*$BK38*VLOOKUP($D38,'Land Price Phase Sc1&amp;2'!$B$119:$AU$165,9+CP$7-$BL$7,0)/1000000</f>
        <v>0</v>
      </c>
      <c r="CQ38" s="108">
        <f>BG38*$BK38*VLOOKUP($D38,'Land Price Phase Sc1&amp;2'!$B$119:$AU$165,9+CQ$7-$BL$7,0)/1000000</f>
        <v>0</v>
      </c>
      <c r="CR38" s="108">
        <f t="shared" si="75"/>
        <v>45.341005402536872</v>
      </c>
      <c r="CS38" s="19"/>
      <c r="CT38" s="19"/>
      <c r="CU38" s="19"/>
      <c r="CV38" s="19"/>
      <c r="CW38" s="18"/>
      <c r="CX38" s="18"/>
      <c r="CY38" s="18"/>
      <c r="CZ38" s="18"/>
      <c r="DA38" s="20"/>
      <c r="DB38" s="20"/>
      <c r="DC38" s="20"/>
      <c r="DK38" s="10"/>
      <c r="DL38" s="10"/>
      <c r="DM38" s="10"/>
      <c r="DN38" s="10"/>
      <c r="DO38" s="10"/>
      <c r="DP38" s="10"/>
      <c r="DQ38" s="10"/>
      <c r="DR38" s="10"/>
      <c r="DS38" s="10"/>
      <c r="DT38" s="10"/>
      <c r="EB38" s="84"/>
      <c r="EC38" s="84"/>
    </row>
    <row r="39" spans="1:133" x14ac:dyDescent="0.3">
      <c r="A39" s="104" t="s">
        <v>239</v>
      </c>
      <c r="B39" s="104" t="s">
        <v>28</v>
      </c>
      <c r="C39" s="104"/>
      <c r="D39" s="104" t="s">
        <v>117</v>
      </c>
      <c r="E39" s="104" t="str">
        <f>E42</f>
        <v>2555m2 already acq in trig Rd</v>
      </c>
      <c r="F39" s="105"/>
      <c r="G39" s="104"/>
      <c r="H39" s="105"/>
      <c r="I39" s="105"/>
      <c r="J39" s="105"/>
      <c r="K39" s="105">
        <f>1-G42</f>
        <v>8.5166666666666613E-2</v>
      </c>
      <c r="L39" s="105"/>
      <c r="M39" s="105"/>
      <c r="N39" s="105"/>
      <c r="O39" s="104"/>
      <c r="P39" s="104"/>
      <c r="Q39" s="104" t="s">
        <v>239</v>
      </c>
      <c r="R39" s="104"/>
      <c r="S39" s="104"/>
      <c r="T39" s="104"/>
      <c r="U39" s="104"/>
      <c r="V39" s="104"/>
      <c r="W39" s="107">
        <f t="shared" si="7"/>
        <v>0.711860292938581</v>
      </c>
      <c r="X39" s="107">
        <f t="shared" si="42"/>
        <v>10.538842255767012</v>
      </c>
      <c r="Y39" s="107">
        <f t="shared" si="9"/>
        <v>28.271393808318997</v>
      </c>
      <c r="Z39" s="104" t="s">
        <v>370</v>
      </c>
      <c r="AA39" s="108">
        <f t="shared" si="16"/>
        <v>0</v>
      </c>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9">
        <f t="shared" si="10"/>
        <v>0</v>
      </c>
      <c r="BI39" s="109">
        <f t="shared" si="11"/>
        <v>0</v>
      </c>
      <c r="BJ39" s="109"/>
      <c r="BK39" s="104"/>
      <c r="BL39" s="104"/>
      <c r="BM39" s="104"/>
      <c r="BN39" s="104"/>
      <c r="BO39" s="104"/>
      <c r="BP39" s="104"/>
      <c r="BQ39" s="104"/>
      <c r="BR39" s="104"/>
      <c r="BS39" s="104"/>
      <c r="BT39" s="104"/>
      <c r="BU39" s="104"/>
      <c r="BV39" s="104"/>
      <c r="BW39" s="104"/>
      <c r="BX39" s="104"/>
      <c r="BY39" s="104"/>
      <c r="BZ39" s="104"/>
      <c r="CA39" s="104"/>
      <c r="CB39" s="104"/>
      <c r="CC39" s="104"/>
      <c r="CD39" s="104"/>
      <c r="CE39" s="104"/>
      <c r="CF39" s="104"/>
      <c r="CG39" s="104"/>
      <c r="CH39" s="104"/>
      <c r="CI39" s="104"/>
      <c r="CJ39" s="104"/>
      <c r="CK39" s="104"/>
      <c r="CL39" s="104"/>
      <c r="CM39" s="104"/>
      <c r="CN39" s="104"/>
      <c r="CO39" s="104"/>
      <c r="CP39" s="104"/>
      <c r="CQ39" s="104"/>
      <c r="CR39" s="108"/>
      <c r="DK39" s="10"/>
      <c r="DL39" s="10"/>
      <c r="DM39" s="10"/>
      <c r="DN39" s="10"/>
      <c r="DO39" s="10"/>
      <c r="DP39" s="10"/>
      <c r="DQ39" s="10"/>
      <c r="DR39" s="10"/>
      <c r="DS39" s="10"/>
      <c r="DT39" s="10"/>
      <c r="EB39" s="84"/>
      <c r="EC39" s="84"/>
    </row>
    <row r="40" spans="1:133" x14ac:dyDescent="0.3">
      <c r="A40" s="104" t="s">
        <v>28</v>
      </c>
      <c r="B40" s="104" t="s">
        <v>186</v>
      </c>
      <c r="C40" s="104"/>
      <c r="D40" s="104" t="s">
        <v>245</v>
      </c>
      <c r="E40" s="104" t="s">
        <v>246</v>
      </c>
      <c r="F40" s="105"/>
      <c r="G40" s="105">
        <v>1</v>
      </c>
      <c r="H40" s="105"/>
      <c r="I40" s="105"/>
      <c r="J40" s="105"/>
      <c r="K40" s="105">
        <f>G40</f>
        <v>1</v>
      </c>
      <c r="L40" s="105"/>
      <c r="M40" s="105"/>
      <c r="N40" s="105"/>
      <c r="O40" s="104"/>
      <c r="P40" s="104"/>
      <c r="Q40" s="104">
        <v>2023</v>
      </c>
      <c r="R40" s="106">
        <f t="shared" ref="R40:R52" si="79">SUM(AB40:BG40)</f>
        <v>1</v>
      </c>
      <c r="S40" s="104"/>
      <c r="T40" s="104"/>
      <c r="U40" s="104"/>
      <c r="V40" s="104" t="s">
        <v>460</v>
      </c>
      <c r="W40" s="107">
        <f t="shared" si="7"/>
        <v>0.21355808788157429</v>
      </c>
      <c r="X40" s="107">
        <f t="shared" si="42"/>
        <v>12.397284936348779</v>
      </c>
      <c r="Y40" s="107">
        <f t="shared" si="9"/>
        <v>12.428393162351888</v>
      </c>
      <c r="Z40" s="104">
        <v>25</v>
      </c>
      <c r="AA40" s="108">
        <f t="shared" si="16"/>
        <v>5.1735863234395447</v>
      </c>
      <c r="AB40" s="108"/>
      <c r="AC40" s="108"/>
      <c r="AD40" s="108"/>
      <c r="AE40" s="108"/>
      <c r="AF40" s="108"/>
      <c r="AG40" s="108"/>
      <c r="AH40" s="108"/>
      <c r="AI40" s="108"/>
      <c r="AJ40" s="108"/>
      <c r="AK40" s="108">
        <v>0.06</v>
      </c>
      <c r="AL40" s="108">
        <f>AL116</f>
        <v>0.10472734996525389</v>
      </c>
      <c r="AM40" s="108">
        <f t="shared" ref="AM40:AQ40" si="80">AM116</f>
        <v>0.10601471966704468</v>
      </c>
      <c r="AN40" s="108">
        <f t="shared" si="80"/>
        <v>0.10750477164694536</v>
      </c>
      <c r="AO40" s="108">
        <f t="shared" si="80"/>
        <v>0.10314837920794254</v>
      </c>
      <c r="AP40" s="108">
        <f t="shared" si="80"/>
        <v>4.8886873976350477E-2</v>
      </c>
      <c r="AQ40" s="108">
        <f t="shared" si="80"/>
        <v>5.2554477979523215E-2</v>
      </c>
      <c r="AR40" s="103">
        <f>(1-SUM(AK40:AQ40))/2</f>
        <v>0.20858171377846996</v>
      </c>
      <c r="AS40" s="103">
        <f>AR40</f>
        <v>0.20858171377846996</v>
      </c>
      <c r="AT40" s="104"/>
      <c r="AU40" s="104"/>
      <c r="AV40" s="104"/>
      <c r="AW40" s="104"/>
      <c r="AX40" s="104"/>
      <c r="AY40" s="104"/>
      <c r="AZ40" s="104"/>
      <c r="BA40" s="104"/>
      <c r="BB40" s="104"/>
      <c r="BC40" s="104"/>
      <c r="BD40" s="104"/>
      <c r="BE40" s="104"/>
      <c r="BF40" s="104"/>
      <c r="BG40" s="104"/>
      <c r="BH40" s="109">
        <f t="shared" si="10"/>
        <v>0.06</v>
      </c>
      <c r="BI40" s="109">
        <f t="shared" si="11"/>
        <v>0.94000000000000017</v>
      </c>
      <c r="BJ40" s="109"/>
      <c r="BK40" s="104">
        <f t="shared" ref="BK40:BK52" si="81">SUMPRODUCT(F40:I40,$F$5:$I$5)</f>
        <v>30000</v>
      </c>
      <c r="BL40" s="108">
        <f>AB40*$BK40*'Cost inputs'!$E$26*'Land Price Phase Sc1&amp;2'!J$114/1000000</f>
        <v>0</v>
      </c>
      <c r="BM40" s="108">
        <f>AC40*$BK40*'Cost inputs'!$E$26*'Land Price Phase Sc1&amp;2'!K$114/1000000</f>
        <v>0</v>
      </c>
      <c r="BN40" s="108">
        <f>AD40*$BK40*'Cost inputs'!$E$26*'Land Price Phase Sc1&amp;2'!L$114/1000000</f>
        <v>0</v>
      </c>
      <c r="BO40" s="108">
        <f>AE40*$BK40*'Cost inputs'!$E$26*'Land Price Phase Sc1&amp;2'!M$114/1000000</f>
        <v>0</v>
      </c>
      <c r="BP40" s="108">
        <f>AF40*$BK40*'Cost inputs'!$E$26*'Land Price Phase Sc1&amp;2'!N$114/1000000</f>
        <v>0</v>
      </c>
      <c r="BQ40" s="108">
        <f>AG40*$BK40*'Cost inputs'!$E$26*'Land Price Phase Sc1&amp;2'!O$114/1000000</f>
        <v>0</v>
      </c>
      <c r="BR40" s="108">
        <f>AH40*$BK40*'Cost inputs'!$E$26*'Land Price Phase Sc1&amp;2'!P$114/1000000</f>
        <v>0</v>
      </c>
      <c r="BS40" s="108">
        <f>AI40*$BK40*'Cost inputs'!$E$26*'Land Price Phase Sc1&amp;2'!Q$114/1000000</f>
        <v>0</v>
      </c>
      <c r="BT40" s="108">
        <f>AJ40*$BK40*'Cost inputs'!$E$26*'Land Price Phase Sc1&amp;2'!R$114/1000000</f>
        <v>0</v>
      </c>
      <c r="BU40" s="108">
        <f>AK40*$BK40*'Cost inputs'!$E$26*'Land Price Phase Sc1&amp;2'!S$114/1000000</f>
        <v>5.1735863234395447</v>
      </c>
      <c r="BV40" s="108">
        <f>AL40*$BK40*'Cost inputs'!$E$26*'Land Price Phase Sc1&amp;2'!T$114/1000000</f>
        <v>9.6714153406449341</v>
      </c>
      <c r="BW40" s="108">
        <f>AM40*$BK40*'Cost inputs'!$E$26*'Land Price Phase Sc1&amp;2'!U$114/1000000</f>
        <v>10.485413465546673</v>
      </c>
      <c r="BX40" s="108">
        <f>AN40*$BK40*'Cost inputs'!$E$26*'Land Price Phase Sc1&amp;2'!V$114/1000000</f>
        <v>11.387715353357127</v>
      </c>
      <c r="BY40" s="108">
        <f>AO40*$BK40*'Cost inputs'!$E$26*'Land Price Phase Sc1&amp;2'!W$114/1000000</f>
        <v>11.702017439782443</v>
      </c>
      <c r="BZ40" s="108">
        <f>AP40*$BK40*'Cost inputs'!$E$26*'Land Price Phase Sc1&amp;2'!X$114/1000000</f>
        <v>5.9399128249385837</v>
      </c>
      <c r="CA40" s="108">
        <f>AQ40*$BK40*'Cost inputs'!$E$26*'Land Price Phase Sc1&amp;2'!Y$114/1000000</f>
        <v>6.8389117737639431</v>
      </c>
      <c r="CB40" s="108">
        <f>AR40*$BK40*'Cost inputs'!$E$26*'Land Price Phase Sc1&amp;2'!Z$114/1000000</f>
        <v>29.069862445507475</v>
      </c>
      <c r="CC40" s="108">
        <f>AS40*$BK40*'Cost inputs'!$E$26*'Land Price Phase Sc1&amp;2'!AA$114/1000000</f>
        <v>31.133822679138504</v>
      </c>
      <c r="CD40" s="108">
        <f>AT40*$BK40*'Cost inputs'!$E$26*'Land Price Phase Sc1&amp;2'!AB$114/1000000</f>
        <v>0</v>
      </c>
      <c r="CE40" s="108">
        <f>AU40*$BK40*'Cost inputs'!$E$26*'Land Price Phase Sc1&amp;2'!AC$114/1000000</f>
        <v>0</v>
      </c>
      <c r="CF40" s="108">
        <f>AV40*$BK40*'Cost inputs'!$E$26*'Land Price Phase Sc1&amp;2'!AD$114/1000000</f>
        <v>0</v>
      </c>
      <c r="CG40" s="108">
        <f>AW40*$BK40*'Cost inputs'!$E$26*'Land Price Phase Sc1&amp;2'!AE$114/1000000</f>
        <v>0</v>
      </c>
      <c r="CH40" s="108">
        <f>AX40*$BK40*'Cost inputs'!$E$26*'Land Price Phase Sc1&amp;2'!AF$114/1000000</f>
        <v>0</v>
      </c>
      <c r="CI40" s="108">
        <f>AY40*$BK40*'Cost inputs'!$E$26*'Land Price Phase Sc1&amp;2'!AG$114/1000000</f>
        <v>0</v>
      </c>
      <c r="CJ40" s="108">
        <f>AZ40*$BK40*'Cost inputs'!$E$26*'Land Price Phase Sc1&amp;2'!AH$114/1000000</f>
        <v>0</v>
      </c>
      <c r="CK40" s="108">
        <f>BA40*$BK40*'Cost inputs'!$E$26*'Land Price Phase Sc1&amp;2'!AI$114/1000000</f>
        <v>0</v>
      </c>
      <c r="CL40" s="108">
        <f>BB40*$BK40*'Cost inputs'!$E$26*'Land Price Phase Sc1&amp;2'!AJ$114/1000000</f>
        <v>0</v>
      </c>
      <c r="CM40" s="108">
        <f>BC40*$BK40*'Cost inputs'!$E$26*'Land Price Phase Sc1&amp;2'!AK$114/1000000</f>
        <v>0</v>
      </c>
      <c r="CN40" s="108">
        <f>BD40*$BK40*'Cost inputs'!$E$26*'Land Price Phase Sc1&amp;2'!AL$114/1000000</f>
        <v>0</v>
      </c>
      <c r="CO40" s="108">
        <f>BE40*$BK40*'Cost inputs'!$E$26*'Land Price Phase Sc1&amp;2'!AM$114/1000000</f>
        <v>0</v>
      </c>
      <c r="CP40" s="108">
        <f>BF40*$BK40*'Cost inputs'!$E$26*'Land Price Phase Sc1&amp;2'!AN$114/1000000</f>
        <v>0</v>
      </c>
      <c r="CQ40" s="108">
        <f>BG40*$BK40*'Cost inputs'!$E$26*'Land Price Phase Sc1&amp;2'!AO$114/1000000</f>
        <v>0</v>
      </c>
      <c r="CR40" s="108">
        <f t="shared" si="75"/>
        <v>121.40265764611921</v>
      </c>
      <c r="CS40" s="19"/>
      <c r="CT40" s="19"/>
      <c r="CU40" s="19"/>
      <c r="CV40" s="19"/>
      <c r="CW40" s="18"/>
      <c r="CX40" s="18"/>
      <c r="CY40" s="18"/>
      <c r="CZ40" s="18"/>
      <c r="DA40" s="20"/>
      <c r="DB40" s="20"/>
      <c r="DC40" s="20"/>
      <c r="DK40" s="10"/>
      <c r="DL40" s="10"/>
      <c r="DM40" s="10"/>
      <c r="DN40" s="10"/>
      <c r="DO40" s="10"/>
      <c r="DP40" s="10"/>
      <c r="DQ40" s="10"/>
      <c r="DR40" s="10"/>
      <c r="DS40" s="10"/>
      <c r="DT40" s="10"/>
      <c r="EB40" s="84"/>
      <c r="EC40" s="84"/>
    </row>
    <row r="41" spans="1:133" x14ac:dyDescent="0.3">
      <c r="A41" s="104" t="s">
        <v>28</v>
      </c>
      <c r="B41" s="104" t="s">
        <v>186</v>
      </c>
      <c r="C41" s="104"/>
      <c r="D41" s="104" t="s">
        <v>245</v>
      </c>
      <c r="E41" s="142" t="s">
        <v>247</v>
      </c>
      <c r="F41" s="105">
        <v>1</v>
      </c>
      <c r="G41" s="105"/>
      <c r="H41" s="105"/>
      <c r="I41" s="105"/>
      <c r="J41" s="105">
        <f>F41</f>
        <v>1</v>
      </c>
      <c r="K41" s="105"/>
      <c r="L41" s="105"/>
      <c r="M41" s="105"/>
      <c r="N41" s="105"/>
      <c r="O41" s="104"/>
      <c r="P41" s="104"/>
      <c r="Q41" s="104">
        <v>2023</v>
      </c>
      <c r="R41" s="106">
        <f t="shared" si="79"/>
        <v>1</v>
      </c>
      <c r="S41" s="104"/>
      <c r="T41" s="104"/>
      <c r="U41" s="104"/>
      <c r="V41" s="104" t="s">
        <v>461</v>
      </c>
      <c r="W41" s="107">
        <f t="shared" si="7"/>
        <v>0.21355808788157429</v>
      </c>
      <c r="X41" s="107">
        <f t="shared" si="42"/>
        <v>12.397284936348779</v>
      </c>
      <c r="Y41" s="107">
        <f t="shared" si="9"/>
        <v>12.428393162351888</v>
      </c>
      <c r="Z41" s="104">
        <v>25</v>
      </c>
      <c r="AA41" s="108">
        <f t="shared" si="16"/>
        <v>7.2166563864605555</v>
      </c>
      <c r="AB41" s="108">
        <f>0.2</f>
        <v>0.2</v>
      </c>
      <c r="AC41" s="108">
        <v>0.2</v>
      </c>
      <c r="AD41" s="108">
        <v>0.2</v>
      </c>
      <c r="AE41" s="108">
        <v>0.2</v>
      </c>
      <c r="AF41" s="108">
        <v>0.2</v>
      </c>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9">
        <f t="shared" si="10"/>
        <v>1</v>
      </c>
      <c r="BI41" s="109">
        <f t="shared" si="11"/>
        <v>0</v>
      </c>
      <c r="BJ41" s="109"/>
      <c r="BK41" s="104">
        <f t="shared" si="81"/>
        <v>4000</v>
      </c>
      <c r="BL41" s="108">
        <f>AB41*$BK41*'Cost inputs'!$E$26*'Land Price Phase Sc1&amp;2'!J$114/1000000</f>
        <v>1.2747200000000001</v>
      </c>
      <c r="BM41" s="108">
        <f>AC41*$BK41*'Cost inputs'!$E$26*'Land Price Phase Sc1&amp;2'!K$114/1000000</f>
        <v>1.3639504000000002</v>
      </c>
      <c r="BN41" s="108">
        <f>AD41*$BK41*'Cost inputs'!$E$26*'Land Price Phase Sc1&amp;2'!L$114/1000000</f>
        <v>1.4226002672</v>
      </c>
      <c r="BO41" s="108">
        <f>AE41*$BK41*'Cost inputs'!$E$26*'Land Price Phase Sc1&amp;2'!M$114/1000000</f>
        <v>1.5236048861712002</v>
      </c>
      <c r="BP41" s="108">
        <f>AF41*$BK41*'Cost inputs'!$E$26*'Land Price Phase Sc1&amp;2'!N$114/1000000</f>
        <v>1.6317808330893551</v>
      </c>
      <c r="BQ41" s="108">
        <f>AG41*$BK41*'Cost inputs'!$E$26*'Land Price Phase Sc1&amp;2'!O$114/1000000</f>
        <v>0</v>
      </c>
      <c r="BR41" s="108">
        <f>AH41*$BK41*'Cost inputs'!$E$26*'Land Price Phase Sc1&amp;2'!P$114/1000000</f>
        <v>0</v>
      </c>
      <c r="BS41" s="108">
        <f>AI41*$BK41*'Cost inputs'!$E$26*'Land Price Phase Sc1&amp;2'!Q$114/1000000</f>
        <v>0</v>
      </c>
      <c r="BT41" s="108">
        <f>AJ41*$BK41*'Cost inputs'!$E$26*'Land Price Phase Sc1&amp;2'!R$114/1000000</f>
        <v>0</v>
      </c>
      <c r="BU41" s="108">
        <f>AK41*$BK41*'Cost inputs'!$E$26*'Land Price Phase Sc1&amp;2'!S$114/1000000</f>
        <v>0</v>
      </c>
      <c r="BV41" s="108">
        <f>AL41*$BK41*'Cost inputs'!$E$26*'Land Price Phase Sc1&amp;2'!T$114/1000000</f>
        <v>0</v>
      </c>
      <c r="BW41" s="108">
        <f>AM41*$BK41*'Cost inputs'!$E$26*'Land Price Phase Sc1&amp;2'!U$114/1000000</f>
        <v>0</v>
      </c>
      <c r="BX41" s="108">
        <f>AN41*$BK41*'Cost inputs'!$E$26*'Land Price Phase Sc1&amp;2'!V$114/1000000</f>
        <v>0</v>
      </c>
      <c r="BY41" s="108">
        <f>AO41*$BK41*'Cost inputs'!$E$26*'Land Price Phase Sc1&amp;2'!W$114/1000000</f>
        <v>0</v>
      </c>
      <c r="BZ41" s="108">
        <f>AP41*$BK41*'Cost inputs'!$E$26*'Land Price Phase Sc1&amp;2'!X$114/1000000</f>
        <v>0</v>
      </c>
      <c r="CA41" s="108">
        <f>AQ41*$BK41*'Cost inputs'!$E$26*'Land Price Phase Sc1&amp;2'!Y$114/1000000</f>
        <v>0</v>
      </c>
      <c r="CB41" s="108">
        <f>AR41*$BK41*'Cost inputs'!$E$26*'Land Price Phase Sc1&amp;2'!Z$114/1000000</f>
        <v>0</v>
      </c>
      <c r="CC41" s="108">
        <f>AS41*$BK41*'Cost inputs'!$E$26*'Land Price Phase Sc1&amp;2'!AA$114/1000000</f>
        <v>0</v>
      </c>
      <c r="CD41" s="108">
        <f>AT41*$BK41*'Cost inputs'!$E$26*'Land Price Phase Sc1&amp;2'!AB$114/1000000</f>
        <v>0</v>
      </c>
      <c r="CE41" s="108">
        <f>AU41*$BK41*'Cost inputs'!$E$26*'Land Price Phase Sc1&amp;2'!AC$114/1000000</f>
        <v>0</v>
      </c>
      <c r="CF41" s="108">
        <f>AV41*$BK41*'Cost inputs'!$E$26*'Land Price Phase Sc1&amp;2'!AD$114/1000000</f>
        <v>0</v>
      </c>
      <c r="CG41" s="108">
        <f>AW41*$BK41*'Cost inputs'!$E$26*'Land Price Phase Sc1&amp;2'!AE$114/1000000</f>
        <v>0</v>
      </c>
      <c r="CH41" s="108">
        <f>AX41*$BK41*'Cost inputs'!$E$26*'Land Price Phase Sc1&amp;2'!AF$114/1000000</f>
        <v>0</v>
      </c>
      <c r="CI41" s="108">
        <f>AY41*$BK41*'Cost inputs'!$E$26*'Land Price Phase Sc1&amp;2'!AG$114/1000000</f>
        <v>0</v>
      </c>
      <c r="CJ41" s="108">
        <f>AZ41*$BK41*'Cost inputs'!$E$26*'Land Price Phase Sc1&amp;2'!AH$114/1000000</f>
        <v>0</v>
      </c>
      <c r="CK41" s="108">
        <f>BA41*$BK41*'Cost inputs'!$E$26*'Land Price Phase Sc1&amp;2'!AI$114/1000000</f>
        <v>0</v>
      </c>
      <c r="CL41" s="108">
        <f>BB41*$BK41*'Cost inputs'!$E$26*'Land Price Phase Sc1&amp;2'!AJ$114/1000000</f>
        <v>0</v>
      </c>
      <c r="CM41" s="108">
        <f>BC41*$BK41*'Cost inputs'!$E$26*'Land Price Phase Sc1&amp;2'!AK$114/1000000</f>
        <v>0</v>
      </c>
      <c r="CN41" s="108">
        <f>BD41*$BK41*'Cost inputs'!$E$26*'Land Price Phase Sc1&amp;2'!AL$114/1000000</f>
        <v>0</v>
      </c>
      <c r="CO41" s="108">
        <f>BE41*$BK41*'Cost inputs'!$E$26*'Land Price Phase Sc1&amp;2'!AM$114/1000000</f>
        <v>0</v>
      </c>
      <c r="CP41" s="108">
        <f>BF41*$BK41*'Cost inputs'!$E$26*'Land Price Phase Sc1&amp;2'!AN$114/1000000</f>
        <v>0</v>
      </c>
      <c r="CQ41" s="108">
        <f>BG41*$BK41*'Cost inputs'!$E$26*'Land Price Phase Sc1&amp;2'!AO$114/1000000</f>
        <v>0</v>
      </c>
      <c r="CR41" s="108">
        <f t="shared" si="75"/>
        <v>7.2166563864605555</v>
      </c>
      <c r="CS41" s="19"/>
      <c r="CT41" s="19"/>
      <c r="CU41" s="19"/>
      <c r="CV41" s="19"/>
      <c r="CW41" s="18"/>
      <c r="CX41" s="18"/>
      <c r="CY41" s="18"/>
      <c r="CZ41" s="18"/>
      <c r="DA41" s="20"/>
      <c r="DB41" s="20"/>
      <c r="DC41" s="20"/>
      <c r="DK41" s="10"/>
      <c r="DL41" s="10"/>
      <c r="DM41" s="10"/>
      <c r="DN41" s="10"/>
      <c r="DO41" s="10"/>
      <c r="DP41" s="10"/>
      <c r="DQ41" s="10"/>
      <c r="DR41" s="10"/>
      <c r="DS41" s="10"/>
      <c r="DT41" s="10"/>
      <c r="EB41" s="84"/>
      <c r="EC41" s="84"/>
    </row>
    <row r="42" spans="1:133" x14ac:dyDescent="0.3">
      <c r="A42" s="104" t="s">
        <v>28</v>
      </c>
      <c r="B42" s="104" t="s">
        <v>28</v>
      </c>
      <c r="C42" s="104"/>
      <c r="D42" s="104" t="s">
        <v>117</v>
      </c>
      <c r="E42" s="104" t="s">
        <v>249</v>
      </c>
      <c r="F42" s="105"/>
      <c r="G42" s="105">
        <f>(30000-2555)/30000</f>
        <v>0.91483333333333339</v>
      </c>
      <c r="H42" s="105"/>
      <c r="I42" s="105"/>
      <c r="J42" s="105"/>
      <c r="K42" s="105">
        <f>G42</f>
        <v>0.91483333333333339</v>
      </c>
      <c r="L42" s="105"/>
      <c r="M42" s="105"/>
      <c r="N42" s="105"/>
      <c r="O42" s="104">
        <f>VLOOKUP($D42,'Land Price Phase Sc1&amp;2'!$B$4:$F$50,3,0)</f>
        <v>2031</v>
      </c>
      <c r="P42" s="104">
        <f>VLOOKUP($D42,'Land Price Phase Sc1&amp;2'!$B$4:$F$50,4,0)</f>
        <v>2035</v>
      </c>
      <c r="Q42" s="104">
        <f>VLOOKUP($D42,'Land Price Phase Sc1&amp;2'!$B$4:$F$50,5,0)</f>
        <v>2039</v>
      </c>
      <c r="R42" s="106">
        <f t="shared" si="79"/>
        <v>1</v>
      </c>
      <c r="S42" s="107">
        <f>'Park spec inputs'!C$21</f>
        <v>0.15</v>
      </c>
      <c r="T42" s="107">
        <f>'Park spec inputs'!D$21</f>
        <v>0.5</v>
      </c>
      <c r="U42" s="107">
        <f>'Park spec inputs'!E$21</f>
        <v>0.25</v>
      </c>
      <c r="V42" s="107">
        <f>'Park spec inputs'!F$21</f>
        <v>0.1</v>
      </c>
      <c r="W42" s="107">
        <f t="shared" si="7"/>
        <v>0.711860292938581</v>
      </c>
      <c r="X42" s="107">
        <f t="shared" si="42"/>
        <v>10.538842255767012</v>
      </c>
      <c r="Y42" s="107">
        <f t="shared" si="9"/>
        <v>28.271393808318997</v>
      </c>
      <c r="Z42" s="104">
        <v>29</v>
      </c>
      <c r="AA42" s="108">
        <f t="shared" si="16"/>
        <v>7.5612814273116689</v>
      </c>
      <c r="AB42" s="104"/>
      <c r="AC42" s="104"/>
      <c r="AD42" s="104"/>
      <c r="AE42" s="111"/>
      <c r="AF42" s="111"/>
      <c r="AG42" s="111">
        <v>0.12102769837727564</v>
      </c>
      <c r="AH42" s="111">
        <f>AG42</f>
        <v>0.12102769837727564</v>
      </c>
      <c r="AI42" s="111">
        <f>AH42</f>
        <v>0.12102769837727564</v>
      </c>
      <c r="AJ42" s="111">
        <f>$T42/4</f>
        <v>0.125</v>
      </c>
      <c r="AK42" s="111">
        <f>AK44</f>
        <v>1.4129803340614668E-2</v>
      </c>
      <c r="AL42" s="111">
        <v>0.08</v>
      </c>
      <c r="AM42" s="111">
        <v>0.08</v>
      </c>
      <c r="AN42" s="111">
        <v>0.08</v>
      </c>
      <c r="AO42" s="111">
        <f>AN42</f>
        <v>0.08</v>
      </c>
      <c r="AP42" s="111">
        <f>(1-SUM(AG42:AO42))/2</f>
        <v>8.8893550763779305E-2</v>
      </c>
      <c r="AQ42" s="111">
        <f>AP42</f>
        <v>8.8893550763779305E-2</v>
      </c>
      <c r="AR42" s="111"/>
      <c r="AS42" s="111"/>
      <c r="AT42" s="111"/>
      <c r="AU42" s="111"/>
      <c r="AV42" s="104"/>
      <c r="AW42" s="104"/>
      <c r="AX42" s="104"/>
      <c r="AY42" s="104"/>
      <c r="AZ42" s="104"/>
      <c r="BA42" s="104"/>
      <c r="BB42" s="104"/>
      <c r="BC42" s="104"/>
      <c r="BD42" s="104"/>
      <c r="BE42" s="104"/>
      <c r="BF42" s="104"/>
      <c r="BG42" s="104"/>
      <c r="BH42" s="109">
        <f t="shared" si="10"/>
        <v>0.50221289847244155</v>
      </c>
      <c r="BI42" s="109">
        <f t="shared" si="11"/>
        <v>0.49778710152755862</v>
      </c>
      <c r="BJ42" s="109"/>
      <c r="BK42" s="104">
        <f t="shared" si="81"/>
        <v>27445</v>
      </c>
      <c r="BL42" s="108">
        <f>AB42*$BK42*VLOOKUP($D42,'Land Price Phase Sc1&amp;2'!$B$119:$AU$165,9+BL$7-$BL$7,0)/1000000</f>
        <v>0</v>
      </c>
      <c r="BM42" s="108">
        <f>AC42*$BK42*VLOOKUP($D42,'Land Price Phase Sc1&amp;2'!$B$119:$AU$165,9+BM$7-$BL$7,0)/1000000</f>
        <v>0</v>
      </c>
      <c r="BN42" s="108">
        <f>AD42*$BK42*VLOOKUP($D42,'Land Price Phase Sc1&amp;2'!$B$119:$AU$165,9+BN$7-$BL$7,0)/1000000</f>
        <v>0</v>
      </c>
      <c r="BO42" s="108">
        <f>AE42*$BK42*VLOOKUP($D42,'Land Price Phase Sc1&amp;2'!$B$119:$AU$165,9+BO$7-$BL$7,0)/1000000</f>
        <v>0</v>
      </c>
      <c r="BP42" s="108">
        <f>AF42*$BK42*VLOOKUP($D42,'Land Price Phase Sc1&amp;2'!$B$119:$AU$165,9+BP$7-$BL$7,0)/1000000</f>
        <v>0</v>
      </c>
      <c r="BQ42" s="108">
        <f>AG42*$BK42*VLOOKUP($D42,'Land Price Phase Sc1&amp;2'!$B$119:$AU$165,9+BQ$7-$BL$7,0)/1000000</f>
        <v>1.1703550442867077</v>
      </c>
      <c r="BR42" s="108">
        <f>AH42*$BK42*VLOOKUP($D42,'Land Price Phase Sc1&amp;2'!$B$119:$AU$165,9+BR$7-$BL$7,0)/1000000</f>
        <v>1.880175378646596</v>
      </c>
      <c r="BS42" s="108">
        <f>AI42*$BK42*VLOOKUP($D42,'Land Price Phase Sc1&amp;2'!$B$119:$AU$165,9+BS$7-$BL$7,0)/1000000</f>
        <v>2.0136678305305042</v>
      </c>
      <c r="BT42" s="108">
        <f>AJ42*$BK42*VLOOKUP($D42,'Land Price Phase Sc1&amp;2'!$B$119:$AU$165,9+BT$7-$BL$7,0)/1000000</f>
        <v>2.2274221886953445</v>
      </c>
      <c r="BU42" s="108">
        <f>AK42*$BK42*VLOOKUP($D42,'Land Price Phase Sc1&amp;2'!$B$119:$AU$165,9+BU$7-$BL$7,0)/1000000</f>
        <v>0.26966098515251652</v>
      </c>
      <c r="BV42" s="108">
        <f>AL42*$BK42*VLOOKUP($D42,'Land Price Phase Sc1&amp;2'!$B$119:$AU$165,9+BV$7-$BL$7,0)/1000000</f>
        <v>2.5726588571281828</v>
      </c>
      <c r="BW42" s="108">
        <f>AM42*$BK42*VLOOKUP($D42,'Land Price Phase Sc1&amp;2'!$B$119:$AU$165,9+BW$7-$BL$7,0)/1000000</f>
        <v>2.7553176359842837</v>
      </c>
      <c r="BX42" s="108">
        <f>AN42*$BK42*VLOOKUP($D42,'Land Price Phase Sc1&amp;2'!$B$119:$AU$165,9+BX$7-$BL$7,0)/1000000</f>
        <v>2.9509451881391677</v>
      </c>
      <c r="BY42" s="108">
        <f>AO42*$BK42*VLOOKUP($D42,'Land Price Phase Sc1&amp;2'!$B$119:$AU$165,9+BY$7-$BL$7,0)/1000000</f>
        <v>3.1604622964970477</v>
      </c>
      <c r="BZ42" s="108">
        <f>AP42*$BK42*VLOOKUP($D42,'Land Price Phase Sc1&amp;2'!$B$119:$AU$165,9+BZ$7-$BL$7,0)/1000000</f>
        <v>9.8809804050062109</v>
      </c>
      <c r="CA42" s="108">
        <f>AQ42*$BK42*VLOOKUP($D42,'Land Price Phase Sc1&amp;2'!$B$119:$AU$165,9+CA$7-$BL$7,0)/1000000</f>
        <v>10.582530013761652</v>
      </c>
      <c r="CB42" s="108">
        <f>AR42*$BK42*VLOOKUP($D42,'Land Price Phase Sc1&amp;2'!$B$119:$AU$165,9+CB$7-$BL$7,0)/1000000</f>
        <v>0</v>
      </c>
      <c r="CC42" s="108">
        <f>AS42*$BK42*VLOOKUP($D42,'Land Price Phase Sc1&amp;2'!$B$119:$AU$165,9+CC$7-$BL$7,0)/1000000</f>
        <v>0</v>
      </c>
      <c r="CD42" s="108">
        <f>AT42*$BK42*VLOOKUP($D42,'Land Price Phase Sc1&amp;2'!$B$119:$AU$165,9+CD$7-$BL$7,0)/1000000</f>
        <v>0</v>
      </c>
      <c r="CE42" s="108">
        <f>AU42*$BK42*VLOOKUP($D42,'Land Price Phase Sc1&amp;2'!$B$119:$AU$165,9+CE$7-$BL$7,0)/1000000</f>
        <v>0</v>
      </c>
      <c r="CF42" s="108">
        <f>AV42*$BK42*VLOOKUP($D42,'Land Price Phase Sc1&amp;2'!$B$119:$AU$165,9+CF$7-$BL$7,0)/1000000</f>
        <v>0</v>
      </c>
      <c r="CG42" s="108">
        <f>AW42*$BK42*VLOOKUP($D42,'Land Price Phase Sc1&amp;2'!$B$119:$AU$165,9+CG$7-$BL$7,0)/1000000</f>
        <v>0</v>
      </c>
      <c r="CH42" s="108">
        <f>AX42*$BK42*VLOOKUP($D42,'Land Price Phase Sc1&amp;2'!$B$119:$AU$165,9+CH$7-$BL$7,0)/1000000</f>
        <v>0</v>
      </c>
      <c r="CI42" s="108">
        <f>AY42*$BK42*VLOOKUP($D42,'Land Price Phase Sc1&amp;2'!$B$119:$AU$165,9+CI$7-$BL$7,0)/1000000</f>
        <v>0</v>
      </c>
      <c r="CJ42" s="108">
        <f>AZ42*$BK42*VLOOKUP($D42,'Land Price Phase Sc1&amp;2'!$B$119:$AU$165,9+CJ$7-$BL$7,0)/1000000</f>
        <v>0</v>
      </c>
      <c r="CK42" s="108">
        <f>BA42*$BK42*VLOOKUP($D42,'Land Price Phase Sc1&amp;2'!$B$119:$AU$165,9+CK$7-$BL$7,0)/1000000</f>
        <v>0</v>
      </c>
      <c r="CL42" s="108">
        <f>BB42*$BK42*VLOOKUP($D42,'Land Price Phase Sc1&amp;2'!$B$119:$AU$165,9+CL$7-$BL$7,0)/1000000</f>
        <v>0</v>
      </c>
      <c r="CM42" s="108">
        <f>BC42*$BK42*VLOOKUP($D42,'Land Price Phase Sc1&amp;2'!$B$119:$AU$165,9+CM$7-$BL$7,0)/1000000</f>
        <v>0</v>
      </c>
      <c r="CN42" s="108">
        <f>BD42*$BK42*VLOOKUP($D42,'Land Price Phase Sc1&amp;2'!$B$119:$AU$165,9+CN$7-$BL$7,0)/1000000</f>
        <v>0</v>
      </c>
      <c r="CO42" s="108">
        <f>BE42*$BK42*VLOOKUP($D42,'Land Price Phase Sc1&amp;2'!$B$119:$AU$165,9+CO$7-$BL$7,0)/1000000</f>
        <v>0</v>
      </c>
      <c r="CP42" s="108">
        <f>BF42*$BK42*VLOOKUP($D42,'Land Price Phase Sc1&amp;2'!$B$119:$AU$165,9+CP$7-$BL$7,0)/1000000</f>
        <v>0</v>
      </c>
      <c r="CQ42" s="108">
        <f>BG42*$BK42*VLOOKUP($D42,'Land Price Phase Sc1&amp;2'!$B$119:$AU$165,9+CQ$7-$BL$7,0)/1000000</f>
        <v>0</v>
      </c>
      <c r="CR42" s="108">
        <f t="shared" si="75"/>
        <v>39.464175823828214</v>
      </c>
      <c r="CS42" s="19"/>
      <c r="CT42" s="19"/>
      <c r="CU42" s="19"/>
      <c r="CV42" s="19"/>
      <c r="CW42" s="18"/>
      <c r="CX42" s="18"/>
      <c r="CY42" s="18"/>
      <c r="CZ42" s="18"/>
      <c r="DA42" s="20"/>
      <c r="DB42" s="20"/>
      <c r="DC42" s="20"/>
      <c r="DK42" s="10"/>
      <c r="DL42" s="10"/>
      <c r="DM42" s="10"/>
      <c r="DN42" s="10"/>
      <c r="DO42" s="10"/>
      <c r="DP42" s="10"/>
      <c r="DQ42" s="10"/>
      <c r="DR42" s="10"/>
      <c r="DS42" s="10"/>
      <c r="DT42" s="10"/>
      <c r="EB42" s="84"/>
      <c r="EC42" s="84"/>
    </row>
    <row r="43" spans="1:133" x14ac:dyDescent="0.3">
      <c r="A43" s="104" t="s">
        <v>27</v>
      </c>
      <c r="B43" s="104" t="s">
        <v>27</v>
      </c>
      <c r="C43" s="104"/>
      <c r="D43" s="104" t="s">
        <v>56</v>
      </c>
      <c r="E43" s="142" t="s">
        <v>346</v>
      </c>
      <c r="F43" s="143">
        <f>5000/4000</f>
        <v>1.25</v>
      </c>
      <c r="G43" s="144"/>
      <c r="H43" s="144"/>
      <c r="I43" s="144"/>
      <c r="J43" s="143">
        <f>F43</f>
        <v>1.25</v>
      </c>
      <c r="K43" s="144"/>
      <c r="L43" s="144"/>
      <c r="M43" s="144"/>
      <c r="N43" s="144"/>
      <c r="O43" s="142"/>
      <c r="P43" s="142"/>
      <c r="Q43" s="142" t="s">
        <v>240</v>
      </c>
      <c r="R43" s="146">
        <f t="shared" si="79"/>
        <v>1</v>
      </c>
      <c r="S43" s="145"/>
      <c r="T43" s="145"/>
      <c r="U43" s="145"/>
      <c r="V43" s="145"/>
      <c r="W43" s="147">
        <f t="shared" si="7"/>
        <v>0.711860292938581</v>
      </c>
      <c r="X43" s="147">
        <f t="shared" si="42"/>
        <v>91.820689263541368</v>
      </c>
      <c r="Y43" s="147">
        <f t="shared" si="9"/>
        <v>86.098507823793028</v>
      </c>
      <c r="Z43" s="142">
        <v>25</v>
      </c>
      <c r="AA43" s="148">
        <f t="shared" si="16"/>
        <v>2.6599499999999998</v>
      </c>
      <c r="AB43" s="151">
        <v>0.5</v>
      </c>
      <c r="AC43" s="151">
        <v>0.5</v>
      </c>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50">
        <f t="shared" si="10"/>
        <v>1</v>
      </c>
      <c r="BI43" s="150">
        <f t="shared" si="11"/>
        <v>0</v>
      </c>
      <c r="BJ43" s="150"/>
      <c r="BK43" s="142">
        <f t="shared" si="81"/>
        <v>5000</v>
      </c>
      <c r="BL43" s="148">
        <f>AB43*$BK43*500*'Land Price Phase Sc1&amp;2'!J$114/1000000</f>
        <v>1.2849999999999999</v>
      </c>
      <c r="BM43" s="148">
        <f>AC43*$BK43*500*'Land Price Phase Sc1&amp;2'!K$114/1000000</f>
        <v>1.3749499999999999</v>
      </c>
      <c r="BN43" s="148">
        <f>AD43*$BK43*500*'Land Price Phase Sc1&amp;2'!L$114/1000000</f>
        <v>0</v>
      </c>
      <c r="BO43" s="148">
        <f>AE43*$BK43*500*'Land Price Phase Sc1&amp;2'!M$114/1000000</f>
        <v>0</v>
      </c>
      <c r="BP43" s="148">
        <f>AF43*$BK43*500*'Land Price Phase Sc1&amp;2'!N$114/1000000</f>
        <v>0</v>
      </c>
      <c r="BQ43" s="148">
        <f>AG43*$BK43*500*'Land Price Phase Sc1&amp;2'!O$114/1000000</f>
        <v>0</v>
      </c>
      <c r="BR43" s="148">
        <f>AH43*$BK43*500*'Land Price Phase Sc1&amp;2'!P$114/1000000</f>
        <v>0</v>
      </c>
      <c r="BS43" s="148">
        <f>AI43*$BK43*500*'Land Price Phase Sc1&amp;2'!Q$114/1000000</f>
        <v>0</v>
      </c>
      <c r="BT43" s="148">
        <f>AJ43*$BK43*500*'Land Price Phase Sc1&amp;2'!R$114/1000000</f>
        <v>0</v>
      </c>
      <c r="BU43" s="148">
        <f>AK43*$BK43*500*'Land Price Phase Sc1&amp;2'!S$114/1000000</f>
        <v>0</v>
      </c>
      <c r="BV43" s="148">
        <f>AL43*$BK43*500*'Land Price Phase Sc1&amp;2'!T$114/1000000</f>
        <v>0</v>
      </c>
      <c r="BW43" s="148">
        <f>AM43*$BK43*500*'Land Price Phase Sc1&amp;2'!U$114/1000000</f>
        <v>0</v>
      </c>
      <c r="BX43" s="148">
        <f>AN43*$BK43*500*'Land Price Phase Sc1&amp;2'!V$114/1000000</f>
        <v>0</v>
      </c>
      <c r="BY43" s="148">
        <f>AO43*$BK43*500*'Land Price Phase Sc1&amp;2'!W$114/1000000</f>
        <v>0</v>
      </c>
      <c r="BZ43" s="148">
        <f>AP43*$BK43*500*'Land Price Phase Sc1&amp;2'!X$114/1000000</f>
        <v>0</v>
      </c>
      <c r="CA43" s="148">
        <f>AQ43*$BK43*500*'Land Price Phase Sc1&amp;2'!Y$114/1000000</f>
        <v>0</v>
      </c>
      <c r="CB43" s="148">
        <f>AR43*$BK43*500*'Land Price Phase Sc1&amp;2'!Z$114/1000000</f>
        <v>0</v>
      </c>
      <c r="CC43" s="148">
        <f>AS43*$BK43*500*'Land Price Phase Sc1&amp;2'!AA$114/1000000</f>
        <v>0</v>
      </c>
      <c r="CD43" s="148">
        <f>AT43*$BK43*500*'Land Price Phase Sc1&amp;2'!AB$114/1000000</f>
        <v>0</v>
      </c>
      <c r="CE43" s="148">
        <f>AU43*$BK43*500*'Land Price Phase Sc1&amp;2'!AC$114/1000000</f>
        <v>0</v>
      </c>
      <c r="CF43" s="148">
        <f>AV43*$BK43*500*'Land Price Phase Sc1&amp;2'!AD$114/1000000</f>
        <v>0</v>
      </c>
      <c r="CG43" s="148">
        <f>AW43*$BK43*500*'Land Price Phase Sc1&amp;2'!AE$114/1000000</f>
        <v>0</v>
      </c>
      <c r="CH43" s="148">
        <f>AX43*$BK43*500*'Land Price Phase Sc1&amp;2'!AF$114/1000000</f>
        <v>0</v>
      </c>
      <c r="CI43" s="148">
        <f>AY43*$BK43*500*'Land Price Phase Sc1&amp;2'!AG$114/1000000</f>
        <v>0</v>
      </c>
      <c r="CJ43" s="148">
        <f>AZ43*$BK43*500*'Land Price Phase Sc1&amp;2'!AH$114/1000000</f>
        <v>0</v>
      </c>
      <c r="CK43" s="148">
        <f>BA43*$BK43*500*'Land Price Phase Sc1&amp;2'!AI$114/1000000</f>
        <v>0</v>
      </c>
      <c r="CL43" s="148">
        <f>BB43*$BK43*500*'Land Price Phase Sc1&amp;2'!AJ$114/1000000</f>
        <v>0</v>
      </c>
      <c r="CM43" s="148">
        <f>BC43*$BK43*500*'Land Price Phase Sc1&amp;2'!AK$114/1000000</f>
        <v>0</v>
      </c>
      <c r="CN43" s="148">
        <f>BD43*$BK43*500*'Land Price Phase Sc1&amp;2'!AL$114/1000000</f>
        <v>0</v>
      </c>
      <c r="CO43" s="148">
        <f>BE43*$BK43*500*'Land Price Phase Sc1&amp;2'!AM$114/1000000</f>
        <v>0</v>
      </c>
      <c r="CP43" s="148">
        <f>BF43*$BK43*500*'Land Price Phase Sc1&amp;2'!AN$114/1000000</f>
        <v>0</v>
      </c>
      <c r="CQ43" s="148">
        <f>BG43*$BK43*500*'Land Price Phase Sc1&amp;2'!AO$114/1000000</f>
        <v>0</v>
      </c>
      <c r="CR43" s="148">
        <f t="shared" si="75"/>
        <v>2.6599499999999998</v>
      </c>
      <c r="CS43" s="19"/>
      <c r="CT43" s="19"/>
      <c r="CU43" s="19"/>
      <c r="CV43" s="19"/>
      <c r="CW43" s="18"/>
      <c r="CX43" s="18"/>
      <c r="CY43" s="18"/>
      <c r="CZ43" s="18"/>
      <c r="DA43" s="20"/>
      <c r="DB43" s="20"/>
      <c r="DC43" s="20"/>
      <c r="DK43" s="10"/>
      <c r="DL43" s="10"/>
      <c r="DM43" s="10"/>
      <c r="DN43" s="10"/>
      <c r="DO43" s="10"/>
      <c r="DP43" s="10"/>
      <c r="DQ43" s="10"/>
      <c r="DR43" s="10"/>
      <c r="DS43" s="10"/>
      <c r="DT43" s="10"/>
      <c r="EB43" s="84"/>
      <c r="EC43" s="84"/>
    </row>
    <row r="44" spans="1:133" x14ac:dyDescent="0.3">
      <c r="A44" s="104" t="s">
        <v>27</v>
      </c>
      <c r="B44" s="104" t="s">
        <v>27</v>
      </c>
      <c r="C44" s="104"/>
      <c r="D44" s="104" t="s">
        <v>56</v>
      </c>
      <c r="E44" s="104" t="s">
        <v>252</v>
      </c>
      <c r="F44" s="105">
        <v>12</v>
      </c>
      <c r="G44" s="105"/>
      <c r="H44" s="105"/>
      <c r="I44" s="105"/>
      <c r="J44" s="105">
        <f>F44</f>
        <v>12</v>
      </c>
      <c r="K44" s="105"/>
      <c r="L44" s="105"/>
      <c r="M44" s="105"/>
      <c r="N44" s="105"/>
      <c r="O44" s="104">
        <f>VLOOKUP($D44,'Land Price Phase Sc1&amp;2'!$B$4:$F$50,3,0)</f>
        <v>2020</v>
      </c>
      <c r="P44" s="104">
        <f>VLOOKUP($D44,'Land Price Phase Sc1&amp;2'!$B$4:$F$50,4,0)</f>
        <v>2024</v>
      </c>
      <c r="Q44" s="104">
        <f>VLOOKUP($D44,'Land Price Phase Sc1&amp;2'!$B$4:$F$50,5,0)</f>
        <v>2028</v>
      </c>
      <c r="R44" s="106">
        <f t="shared" si="79"/>
        <v>1</v>
      </c>
      <c r="S44" s="104"/>
      <c r="T44" s="107"/>
      <c r="U44" s="107">
        <f>'Park spec inputs'!L$22</f>
        <v>0.37499999999999994</v>
      </c>
      <c r="V44" s="107">
        <f>'Park spec inputs'!M$22</f>
        <v>0.625</v>
      </c>
      <c r="W44" s="107">
        <f t="shared" si="7"/>
        <v>0.711860292938581</v>
      </c>
      <c r="X44" s="107">
        <f t="shared" si="42"/>
        <v>91.820689263541368</v>
      </c>
      <c r="Y44" s="107">
        <f t="shared" si="9"/>
        <v>86.098507823793028</v>
      </c>
      <c r="Z44" s="104">
        <v>25</v>
      </c>
      <c r="AA44" s="108">
        <f t="shared" si="16"/>
        <v>35.598025207854207</v>
      </c>
      <c r="AB44" s="114">
        <f t="shared" ref="AB44:AQ44" si="82">AB109</f>
        <v>7.2277777590649045E-2</v>
      </c>
      <c r="AC44" s="114">
        <f t="shared" si="82"/>
        <v>3.7144039148275132E-2</v>
      </c>
      <c r="AD44" s="114">
        <f t="shared" si="82"/>
        <v>4.693886925000864E-2</v>
      </c>
      <c r="AE44" s="114">
        <f t="shared" si="82"/>
        <v>1.9207251627271639E-2</v>
      </c>
      <c r="AF44" s="114">
        <f t="shared" si="82"/>
        <v>3.0671470308457977E-2</v>
      </c>
      <c r="AG44" s="114">
        <f t="shared" si="82"/>
        <v>7.0574517253221988E-2</v>
      </c>
      <c r="AH44" s="114">
        <f t="shared" si="82"/>
        <v>5.784797696261839E-2</v>
      </c>
      <c r="AI44" s="114">
        <f t="shared" si="82"/>
        <v>6.2267232328672428E-2</v>
      </c>
      <c r="AJ44" s="114">
        <f t="shared" si="82"/>
        <v>4.8241630734504208E-2</v>
      </c>
      <c r="AK44" s="114">
        <f t="shared" si="82"/>
        <v>1.4129803340614668E-2</v>
      </c>
      <c r="AL44" s="114">
        <f t="shared" si="82"/>
        <v>0.10472734996525389</v>
      </c>
      <c r="AM44" s="114">
        <f t="shared" si="82"/>
        <v>0.10601471966704468</v>
      </c>
      <c r="AN44" s="114">
        <f t="shared" si="82"/>
        <v>0.10750477164694536</v>
      </c>
      <c r="AO44" s="114">
        <f t="shared" si="82"/>
        <v>0.10314837920794254</v>
      </c>
      <c r="AP44" s="114">
        <f t="shared" si="82"/>
        <v>4.8886873976350477E-2</v>
      </c>
      <c r="AQ44" s="114">
        <f t="shared" si="82"/>
        <v>5.2554477979523215E-2</v>
      </c>
      <c r="AR44" s="114">
        <f>1-SUM(AB44:AQ44)</f>
        <v>1.7862859012645727E-2</v>
      </c>
      <c r="AS44" s="114"/>
      <c r="AT44" s="114"/>
      <c r="AU44" s="114"/>
      <c r="AV44" s="114"/>
      <c r="AW44" s="114">
        <f t="shared" ref="AW44:BG44" si="83">AW109</f>
        <v>0</v>
      </c>
      <c r="AX44" s="114">
        <f t="shared" si="83"/>
        <v>0</v>
      </c>
      <c r="AY44" s="114">
        <f t="shared" si="83"/>
        <v>0</v>
      </c>
      <c r="AZ44" s="114">
        <f t="shared" si="83"/>
        <v>0</v>
      </c>
      <c r="BA44" s="114">
        <f t="shared" si="83"/>
        <v>0</v>
      </c>
      <c r="BB44" s="114">
        <f t="shared" si="83"/>
        <v>0</v>
      </c>
      <c r="BC44" s="114">
        <f t="shared" si="83"/>
        <v>0</v>
      </c>
      <c r="BD44" s="114">
        <f t="shared" si="83"/>
        <v>0</v>
      </c>
      <c r="BE44" s="114">
        <f t="shared" si="83"/>
        <v>0</v>
      </c>
      <c r="BF44" s="114">
        <f t="shared" si="83"/>
        <v>0</v>
      </c>
      <c r="BG44" s="114">
        <f t="shared" si="83"/>
        <v>0</v>
      </c>
      <c r="BH44" s="109">
        <f t="shared" si="10"/>
        <v>0.45930056854429413</v>
      </c>
      <c r="BI44" s="109">
        <f t="shared" si="11"/>
        <v>0.54069943145570587</v>
      </c>
      <c r="BJ44" s="109"/>
      <c r="BK44" s="104">
        <f t="shared" si="81"/>
        <v>48000</v>
      </c>
      <c r="BL44" s="108">
        <f>AB44*$BK44*VLOOKUP($D44,'Land Price Phase Sc1&amp;2'!$B$119:$AU$165,9+BL$7-$BL$7,0)/1000000</f>
        <v>1.7832373287164933</v>
      </c>
      <c r="BM44" s="108">
        <f>AC44*$BK44*VLOOKUP($D44,'Land Price Phase Sc1&amp;2'!$B$119:$AU$165,9+BM$7-$BL$7,0)/1000000</f>
        <v>0.98056697523688119</v>
      </c>
      <c r="BN44" s="108">
        <f>AD44*$BK44*VLOOKUP($D44,'Land Price Phase Sc1&amp;2'!$B$119:$AU$165,9+BN$7-$BL$7,0)/1000000</f>
        <v>1.2924241536218355</v>
      </c>
      <c r="BO44" s="108">
        <f>AE44*$BK44*VLOOKUP($D44,'Land Price Phase Sc1&amp;2'!$B$119:$AU$165,9+BO$7-$BL$7,0)/1000000</f>
        <v>1.6142544759349893</v>
      </c>
      <c r="BP44" s="108">
        <f>AF44*$BK44*VLOOKUP($D44,'Land Price Phase Sc1&amp;2'!$B$119:$AU$165,9+BP$7-$BL$7,0)/1000000</f>
        <v>2.7607738937464124</v>
      </c>
      <c r="BQ44" s="108">
        <f>AG44*$BK44*VLOOKUP($D44,'Land Price Phase Sc1&amp;2'!$B$119:$AU$165,9+BQ$7-$BL$7,0)/1000000</f>
        <v>6.8035194569545956</v>
      </c>
      <c r="BR44" s="108">
        <f>AH44*$BK44*VLOOKUP($D44,'Land Price Phase Sc1&amp;2'!$B$119:$AU$165,9+BR$7-$BL$7,0)/1000000</f>
        <v>5.9725990574161081</v>
      </c>
      <c r="BS44" s="108">
        <f>AI44*$BK44*VLOOKUP($D44,'Land Price Phase Sc1&amp;2'!$B$119:$AU$165,9+BS$7-$BL$7,0)/1000000</f>
        <v>6.8853214262380691</v>
      </c>
      <c r="BT44" s="108">
        <f>AJ44*$BK44*VLOOKUP($D44,'Land Price Phase Sc1&amp;2'!$B$119:$AU$165,9+BT$7-$BL$7,0)/1000000</f>
        <v>5.713156325147537</v>
      </c>
      <c r="BU44" s="108">
        <f>AK44*$BK44*VLOOKUP($D44,'Land Price Phase Sc1&amp;2'!$B$119:$AU$165,9+BU$7-$BL$7,0)/1000000</f>
        <v>1.7921721148412832</v>
      </c>
      <c r="BV44" s="108">
        <f>AL44*$BK44*VLOOKUP($D44,'Land Price Phase Sc1&amp;2'!$B$119:$AU$165,9+BV$7-$BL$7,0)/1000000</f>
        <v>14.226339984948678</v>
      </c>
      <c r="BW44" s="108">
        <f>AM44*$BK44*VLOOKUP($D44,'Land Price Phase Sc1&amp;2'!$B$119:$AU$165,9+BW$7-$BL$7,0)/1000000</f>
        <v>15.423704968675105</v>
      </c>
      <c r="BX44" s="108">
        <f>AN44*$BK44*VLOOKUP($D44,'Land Price Phase Sc1&amp;2'!$B$119:$AU$165,9+BX$7-$BL$7,0)/1000000</f>
        <v>16.750961939131773</v>
      </c>
      <c r="BY44" s="108">
        <f>AO44*$BK44*VLOOKUP($D44,'Land Price Phase Sc1&amp;2'!$B$119:$AU$165,9+BY$7-$BL$7,0)/1000000</f>
        <v>17.213290169486434</v>
      </c>
      <c r="BZ44" s="108">
        <f>AP44*$BK44*VLOOKUP($D44,'Land Price Phase Sc1&amp;2'!$B$119:$AU$165,9+BZ$7-$BL$7,0)/1000000</f>
        <v>8.7374201553935311</v>
      </c>
      <c r="CA44" s="108">
        <f>AQ44*$BK44*VLOOKUP($D44,'Land Price Phase Sc1&amp;2'!$B$119:$AU$165,9+CA$7-$BL$7,0)/1000000</f>
        <v>10.059818609149543</v>
      </c>
      <c r="CB44" s="108">
        <f>AR44*$BK44*VLOOKUP($D44,'Land Price Phase Sc1&amp;2'!$B$119:$AU$165,9+CB$7-$BL$7,0)/1000000</f>
        <v>3.6620212878926233</v>
      </c>
      <c r="CC44" s="108">
        <f>AS44*$BK44*VLOOKUP($D44,'Land Price Phase Sc1&amp;2'!$B$119:$AU$165,9+CC$7-$BL$7,0)/1000000</f>
        <v>0</v>
      </c>
      <c r="CD44" s="108">
        <f>AT44*$BK44*VLOOKUP($D44,'Land Price Phase Sc1&amp;2'!$B$119:$AU$165,9+CD$7-$BL$7,0)/1000000</f>
        <v>0</v>
      </c>
      <c r="CE44" s="108">
        <f>AU44*$BK44*VLOOKUP($D44,'Land Price Phase Sc1&amp;2'!$B$119:$AU$165,9+CE$7-$BL$7,0)/1000000</f>
        <v>0</v>
      </c>
      <c r="CF44" s="108">
        <f>AV44*$BK44*VLOOKUP($D44,'Land Price Phase Sc1&amp;2'!$B$119:$AU$165,9+CF$7-$BL$7,0)/1000000</f>
        <v>0</v>
      </c>
      <c r="CG44" s="108">
        <f>AW44*$BK44*VLOOKUP($D44,'Land Price Phase Sc1&amp;2'!$B$119:$AU$165,9+CG$7-$BL$7,0)/1000000</f>
        <v>0</v>
      </c>
      <c r="CH44" s="108">
        <f>AX44*$BK44*VLOOKUP($D44,'Land Price Phase Sc1&amp;2'!$B$119:$AU$165,9+CH$7-$BL$7,0)/1000000</f>
        <v>0</v>
      </c>
      <c r="CI44" s="108">
        <f>AY44*$BK44*VLOOKUP($D44,'Land Price Phase Sc1&amp;2'!$B$119:$AU$165,9+CI$7-$BL$7,0)/1000000</f>
        <v>0</v>
      </c>
      <c r="CJ44" s="108">
        <f>AZ44*$BK44*VLOOKUP($D44,'Land Price Phase Sc1&amp;2'!$B$119:$AU$165,9+CJ$7-$BL$7,0)/1000000</f>
        <v>0</v>
      </c>
      <c r="CK44" s="108">
        <f>BA44*$BK44*VLOOKUP($D44,'Land Price Phase Sc1&amp;2'!$B$119:$AU$165,9+CK$7-$BL$7,0)/1000000</f>
        <v>0</v>
      </c>
      <c r="CL44" s="108">
        <f>BB44*$BK44*VLOOKUP($D44,'Land Price Phase Sc1&amp;2'!$B$119:$AU$165,9+CL$7-$BL$7,0)/1000000</f>
        <v>0</v>
      </c>
      <c r="CM44" s="108">
        <f>BC44*$BK44*VLOOKUP($D44,'Land Price Phase Sc1&amp;2'!$B$119:$AU$165,9+CM$7-$BL$7,0)/1000000</f>
        <v>0</v>
      </c>
      <c r="CN44" s="108">
        <f>BD44*$BK44*VLOOKUP($D44,'Land Price Phase Sc1&amp;2'!$B$119:$AU$165,9+CN$7-$BL$7,0)/1000000</f>
        <v>0</v>
      </c>
      <c r="CO44" s="108">
        <f>BE44*$BK44*VLOOKUP($D44,'Land Price Phase Sc1&amp;2'!$B$119:$AU$165,9+CO$7-$BL$7,0)/1000000</f>
        <v>0</v>
      </c>
      <c r="CP44" s="108">
        <f>BF44*$BK44*VLOOKUP($D44,'Land Price Phase Sc1&amp;2'!$B$119:$AU$165,9+CP$7-$BL$7,0)/1000000</f>
        <v>0</v>
      </c>
      <c r="CQ44" s="108">
        <f>BG44*$BK44*VLOOKUP($D44,'Land Price Phase Sc1&amp;2'!$B$119:$AU$165,9+CQ$7-$BL$7,0)/1000000</f>
        <v>0</v>
      </c>
      <c r="CR44" s="108">
        <f t="shared" si="75"/>
        <v>121.6715823225319</v>
      </c>
      <c r="CS44" s="19"/>
      <c r="CT44" s="19"/>
      <c r="CU44" s="19"/>
      <c r="CV44" s="19"/>
      <c r="CW44" s="18"/>
      <c r="CX44" s="18"/>
      <c r="CY44" s="18"/>
      <c r="CZ44" s="18"/>
      <c r="DA44" s="20"/>
      <c r="DB44" s="20"/>
      <c r="DC44" s="20"/>
      <c r="DK44" s="10"/>
      <c r="DL44" s="10"/>
      <c r="DM44" s="10"/>
      <c r="DN44" s="10"/>
      <c r="DO44" s="10"/>
      <c r="DP44" s="10"/>
      <c r="DQ44" s="10"/>
      <c r="DR44" s="10"/>
      <c r="DS44" s="10"/>
      <c r="DT44" s="10"/>
      <c r="EB44" s="84"/>
      <c r="EC44" s="84"/>
    </row>
    <row r="45" spans="1:133" x14ac:dyDescent="0.3">
      <c r="A45" s="104" t="s">
        <v>27</v>
      </c>
      <c r="B45" s="104" t="s">
        <v>27</v>
      </c>
      <c r="C45" s="104"/>
      <c r="D45" s="104" t="s">
        <v>56</v>
      </c>
      <c r="E45" s="104" t="s">
        <v>252</v>
      </c>
      <c r="F45" s="105"/>
      <c r="G45" s="105">
        <v>2</v>
      </c>
      <c r="H45" s="105"/>
      <c r="I45" s="105"/>
      <c r="J45" s="105"/>
      <c r="K45" s="105">
        <f>G45</f>
        <v>2</v>
      </c>
      <c r="L45" s="105"/>
      <c r="M45" s="105"/>
      <c r="N45" s="105"/>
      <c r="O45" s="104">
        <f>VLOOKUP($D45,'Land Price Phase Sc1&amp;2'!$B$4:$F$50,3,0)</f>
        <v>2020</v>
      </c>
      <c r="P45" s="104">
        <f>VLOOKUP($D45,'Land Price Phase Sc1&amp;2'!$B$4:$F$50,4,0)</f>
        <v>2024</v>
      </c>
      <c r="Q45" s="104">
        <f>VLOOKUP($D45,'Land Price Phase Sc1&amp;2'!$B$4:$F$50,5,0)</f>
        <v>2028</v>
      </c>
      <c r="R45" s="106">
        <f t="shared" si="79"/>
        <v>1</v>
      </c>
      <c r="S45" s="107"/>
      <c r="T45" s="107"/>
      <c r="U45" s="107">
        <f>'Park spec inputs'!L21</f>
        <v>0.7142857142857143</v>
      </c>
      <c r="V45" s="107">
        <f>'Park spec inputs'!M21</f>
        <v>0.28571428571428575</v>
      </c>
      <c r="W45" s="107">
        <f t="shared" si="7"/>
        <v>0.711860292938581</v>
      </c>
      <c r="X45" s="107">
        <f t="shared" si="42"/>
        <v>91.820689263541368</v>
      </c>
      <c r="Y45" s="107">
        <f t="shared" si="9"/>
        <v>86.098507823793028</v>
      </c>
      <c r="Z45" s="104">
        <v>25</v>
      </c>
      <c r="AA45" s="105">
        <f t="shared" si="16"/>
        <v>44.497531509817748</v>
      </c>
      <c r="AB45" s="114">
        <f>AB44</f>
        <v>7.2277777590649045E-2</v>
      </c>
      <c r="AC45" s="114">
        <f t="shared" ref="AC45:AR45" si="84">AC44</f>
        <v>3.7144039148275132E-2</v>
      </c>
      <c r="AD45" s="114">
        <f t="shared" si="84"/>
        <v>4.693886925000864E-2</v>
      </c>
      <c r="AE45" s="114">
        <f t="shared" si="84"/>
        <v>1.9207251627271639E-2</v>
      </c>
      <c r="AF45" s="114">
        <f t="shared" si="84"/>
        <v>3.0671470308457977E-2</v>
      </c>
      <c r="AG45" s="114">
        <f t="shared" si="84"/>
        <v>7.0574517253221988E-2</v>
      </c>
      <c r="AH45" s="114">
        <f t="shared" si="84"/>
        <v>5.784797696261839E-2</v>
      </c>
      <c r="AI45" s="114">
        <f t="shared" si="84"/>
        <v>6.2267232328672428E-2</v>
      </c>
      <c r="AJ45" s="114">
        <f t="shared" si="84"/>
        <v>4.8241630734504208E-2</v>
      </c>
      <c r="AK45" s="114">
        <f t="shared" si="84"/>
        <v>1.4129803340614668E-2</v>
      </c>
      <c r="AL45" s="114">
        <f t="shared" si="84"/>
        <v>0.10472734996525389</v>
      </c>
      <c r="AM45" s="114">
        <f t="shared" si="84"/>
        <v>0.10601471966704468</v>
      </c>
      <c r="AN45" s="114">
        <f t="shared" si="84"/>
        <v>0.10750477164694536</v>
      </c>
      <c r="AO45" s="114">
        <f t="shared" si="84"/>
        <v>0.10314837920794254</v>
      </c>
      <c r="AP45" s="114">
        <f t="shared" si="84"/>
        <v>4.8886873976350477E-2</v>
      </c>
      <c r="AQ45" s="114">
        <f t="shared" si="84"/>
        <v>5.2554477979523215E-2</v>
      </c>
      <c r="AR45" s="114">
        <f t="shared" si="84"/>
        <v>1.7862859012645727E-2</v>
      </c>
      <c r="AS45" s="114"/>
      <c r="AT45" s="114"/>
      <c r="AU45" s="114"/>
      <c r="AV45" s="114"/>
      <c r="AW45" s="114">
        <f t="shared" ref="AW45" si="85">AW44</f>
        <v>0</v>
      </c>
      <c r="AX45" s="114">
        <f t="shared" ref="AX45" si="86">AX44</f>
        <v>0</v>
      </c>
      <c r="AY45" s="114">
        <f t="shared" ref="AY45" si="87">AY44</f>
        <v>0</v>
      </c>
      <c r="AZ45" s="114">
        <f t="shared" ref="AZ45" si="88">AZ44</f>
        <v>0</v>
      </c>
      <c r="BA45" s="114">
        <f t="shared" ref="BA45" si="89">BA44</f>
        <v>0</v>
      </c>
      <c r="BB45" s="114">
        <f t="shared" ref="BB45" si="90">BB44</f>
        <v>0</v>
      </c>
      <c r="BC45" s="114">
        <f t="shared" ref="BC45" si="91">BC44</f>
        <v>0</v>
      </c>
      <c r="BD45" s="114">
        <f t="shared" ref="BD45" si="92">BD44</f>
        <v>0</v>
      </c>
      <c r="BE45" s="114">
        <f t="shared" ref="BE45" si="93">BE44</f>
        <v>0</v>
      </c>
      <c r="BF45" s="114">
        <f t="shared" ref="BF45" si="94">BF44</f>
        <v>0</v>
      </c>
      <c r="BG45" s="114">
        <f t="shared" ref="BG45" si="95">BG44</f>
        <v>0</v>
      </c>
      <c r="BH45" s="109">
        <f t="shared" si="10"/>
        <v>0.45930056854429413</v>
      </c>
      <c r="BI45" s="109">
        <f t="shared" si="11"/>
        <v>0.54069943145570587</v>
      </c>
      <c r="BJ45" s="109"/>
      <c r="BK45" s="104">
        <f t="shared" si="81"/>
        <v>60000</v>
      </c>
      <c r="BL45" s="108">
        <f>AB45*$BK45*VLOOKUP($D45,'Land Price Phase Sc1&amp;2'!$B$119:$AU$165,9+BL$7-$BL$7,0)/1000000</f>
        <v>2.2290466608956168</v>
      </c>
      <c r="BM45" s="108">
        <f>AC45*$BK45*VLOOKUP($D45,'Land Price Phase Sc1&amp;2'!$B$119:$AU$165,9+BM$7-$BL$7,0)/1000000</f>
        <v>1.2257087190461013</v>
      </c>
      <c r="BN45" s="108">
        <f>AD45*$BK45*VLOOKUP($D45,'Land Price Phase Sc1&amp;2'!$B$119:$AU$165,9+BN$7-$BL$7,0)/1000000</f>
        <v>1.615530192027294</v>
      </c>
      <c r="BO45" s="108">
        <f>AE45*$BK45*VLOOKUP($D45,'Land Price Phase Sc1&amp;2'!$B$119:$AU$165,9+BO$7-$BL$7,0)/1000000</f>
        <v>2.017818094918737</v>
      </c>
      <c r="BP45" s="108">
        <f>AF45*$BK45*VLOOKUP($D45,'Land Price Phase Sc1&amp;2'!$B$119:$AU$165,9+BP$7-$BL$7,0)/1000000</f>
        <v>3.450967367183015</v>
      </c>
      <c r="BQ45" s="108">
        <f>AG45*$BK45*VLOOKUP($D45,'Land Price Phase Sc1&amp;2'!$B$119:$AU$165,9+BQ$7-$BL$7,0)/1000000</f>
        <v>8.5043993211932438</v>
      </c>
      <c r="BR45" s="108">
        <f>AH45*$BK45*VLOOKUP($D45,'Land Price Phase Sc1&amp;2'!$B$119:$AU$165,9+BR$7-$BL$7,0)/1000000</f>
        <v>7.465748821770136</v>
      </c>
      <c r="BS45" s="108">
        <f>AI45*$BK45*VLOOKUP($D45,'Land Price Phase Sc1&amp;2'!$B$119:$AU$165,9+BS$7-$BL$7,0)/1000000</f>
        <v>8.6066517827975861</v>
      </c>
      <c r="BT45" s="108">
        <f>AJ45*$BK45*VLOOKUP($D45,'Land Price Phase Sc1&amp;2'!$B$119:$AU$165,9+BT$7-$BL$7,0)/1000000</f>
        <v>7.1414454064344204</v>
      </c>
      <c r="BU45" s="108">
        <f>AK45*$BK45*VLOOKUP($D45,'Land Price Phase Sc1&amp;2'!$B$119:$AU$165,9+BU$7-$BL$7,0)/1000000</f>
        <v>2.240215143551604</v>
      </c>
      <c r="BV45" s="108">
        <f>AL45*$BK45*VLOOKUP($D45,'Land Price Phase Sc1&amp;2'!$B$119:$AU$165,9+BV$7-$BL$7,0)/1000000</f>
        <v>17.782924981185847</v>
      </c>
      <c r="BW45" s="108">
        <f>AM45*$BK45*VLOOKUP($D45,'Land Price Phase Sc1&amp;2'!$B$119:$AU$165,9+BW$7-$BL$7,0)/1000000</f>
        <v>19.279631210843885</v>
      </c>
      <c r="BX45" s="108">
        <f>AN45*$BK45*VLOOKUP($D45,'Land Price Phase Sc1&amp;2'!$B$119:$AU$165,9+BX$7-$BL$7,0)/1000000</f>
        <v>20.938702423914716</v>
      </c>
      <c r="BY45" s="108">
        <f>AO45*$BK45*VLOOKUP($D45,'Land Price Phase Sc1&amp;2'!$B$119:$AU$165,9+BY$7-$BL$7,0)/1000000</f>
        <v>21.516612711858038</v>
      </c>
      <c r="BZ45" s="108">
        <f>AP45*$BK45*VLOOKUP($D45,'Land Price Phase Sc1&amp;2'!$B$119:$AU$165,9+BZ$7-$BL$7,0)/1000000</f>
        <v>10.921775194241913</v>
      </c>
      <c r="CA45" s="108">
        <f>AQ45*$BK45*VLOOKUP($D45,'Land Price Phase Sc1&amp;2'!$B$119:$AU$165,9+CA$7-$BL$7,0)/1000000</f>
        <v>12.574773261436928</v>
      </c>
      <c r="CB45" s="108">
        <f>AR45*$BK45*VLOOKUP($D45,'Land Price Phase Sc1&amp;2'!$B$119:$AU$165,9+CB$7-$BL$7,0)/1000000</f>
        <v>4.577526609865779</v>
      </c>
      <c r="CC45" s="108">
        <f>AS45*$BK45*VLOOKUP($D45,'Land Price Phase Sc1&amp;2'!$B$119:$AU$165,9+CC$7-$BL$7,0)/1000000</f>
        <v>0</v>
      </c>
      <c r="CD45" s="108">
        <f>AT45*$BK45*VLOOKUP($D45,'Land Price Phase Sc1&amp;2'!$B$119:$AU$165,9+CD$7-$BL$7,0)/1000000</f>
        <v>0</v>
      </c>
      <c r="CE45" s="108">
        <f>AU45*$BK45*VLOOKUP($D45,'Land Price Phase Sc1&amp;2'!$B$119:$AU$165,9+CE$7-$BL$7,0)/1000000</f>
        <v>0</v>
      </c>
      <c r="CF45" s="108">
        <f>AV45*$BK45*VLOOKUP($D45,'Land Price Phase Sc1&amp;2'!$B$119:$AU$165,9+CF$7-$BL$7,0)/1000000</f>
        <v>0</v>
      </c>
      <c r="CG45" s="108">
        <f>AW45*$BK45*VLOOKUP($D45,'Land Price Phase Sc1&amp;2'!$B$119:$AU$165,9+CG$7-$BL$7,0)/1000000</f>
        <v>0</v>
      </c>
      <c r="CH45" s="108">
        <f>AX45*$BK45*VLOOKUP($D45,'Land Price Phase Sc1&amp;2'!$B$119:$AU$165,9+CH$7-$BL$7,0)/1000000</f>
        <v>0</v>
      </c>
      <c r="CI45" s="108">
        <f>AY45*$BK45*VLOOKUP($D45,'Land Price Phase Sc1&amp;2'!$B$119:$AU$165,9+CI$7-$BL$7,0)/1000000</f>
        <v>0</v>
      </c>
      <c r="CJ45" s="108">
        <f>AZ45*$BK45*VLOOKUP($D45,'Land Price Phase Sc1&amp;2'!$B$119:$AU$165,9+CJ$7-$BL$7,0)/1000000</f>
        <v>0</v>
      </c>
      <c r="CK45" s="108">
        <f>BA45*$BK45*VLOOKUP($D45,'Land Price Phase Sc1&amp;2'!$B$119:$AU$165,9+CK$7-$BL$7,0)/1000000</f>
        <v>0</v>
      </c>
      <c r="CL45" s="108">
        <f>BB45*$BK45*VLOOKUP($D45,'Land Price Phase Sc1&amp;2'!$B$119:$AU$165,9+CL$7-$BL$7,0)/1000000</f>
        <v>0</v>
      </c>
      <c r="CM45" s="108">
        <f>BC45*$BK45*VLOOKUP($D45,'Land Price Phase Sc1&amp;2'!$B$119:$AU$165,9+CM$7-$BL$7,0)/1000000</f>
        <v>0</v>
      </c>
      <c r="CN45" s="108">
        <f>BD45*$BK45*VLOOKUP($D45,'Land Price Phase Sc1&amp;2'!$B$119:$AU$165,9+CN$7-$BL$7,0)/1000000</f>
        <v>0</v>
      </c>
      <c r="CO45" s="108">
        <f>BE45*$BK45*VLOOKUP($D45,'Land Price Phase Sc1&amp;2'!$B$119:$AU$165,9+CO$7-$BL$7,0)/1000000</f>
        <v>0</v>
      </c>
      <c r="CP45" s="108">
        <f>BF45*$BK45*VLOOKUP($D45,'Land Price Phase Sc1&amp;2'!$B$119:$AU$165,9+CP$7-$BL$7,0)/1000000</f>
        <v>0</v>
      </c>
      <c r="CQ45" s="108">
        <f>BG45*$BK45*VLOOKUP($D45,'Land Price Phase Sc1&amp;2'!$B$119:$AU$165,9+CQ$7-$BL$7,0)/1000000</f>
        <v>0</v>
      </c>
      <c r="CR45" s="108">
        <f t="shared" si="75"/>
        <v>152.08947790316483</v>
      </c>
      <c r="CS45" s="19"/>
      <c r="CT45" s="19"/>
      <c r="CU45" s="19"/>
      <c r="CV45" s="19"/>
      <c r="CW45" s="18"/>
      <c r="CX45" s="18"/>
      <c r="CY45" s="18"/>
      <c r="CZ45" s="18"/>
      <c r="DA45" s="20"/>
      <c r="DB45" s="20"/>
      <c r="DC45" s="20"/>
      <c r="DK45" s="10"/>
      <c r="DL45" s="10"/>
      <c r="DM45" s="10"/>
      <c r="DN45" s="10"/>
      <c r="DO45" s="10"/>
      <c r="DP45" s="10"/>
      <c r="DQ45" s="10"/>
      <c r="DR45" s="10"/>
      <c r="DS45" s="10"/>
      <c r="DT45" s="10"/>
      <c r="EB45" s="84"/>
      <c r="EC45" s="84"/>
    </row>
    <row r="46" spans="1:133" x14ac:dyDescent="0.3">
      <c r="A46" s="104" t="s">
        <v>27</v>
      </c>
      <c r="B46" s="104" t="s">
        <v>27</v>
      </c>
      <c r="C46" s="104"/>
      <c r="D46" s="104" t="s">
        <v>56</v>
      </c>
      <c r="E46" s="104" t="s">
        <v>252</v>
      </c>
      <c r="F46" s="105"/>
      <c r="G46" s="105"/>
      <c r="H46" s="105"/>
      <c r="I46" s="105">
        <v>1</v>
      </c>
      <c r="J46" s="105"/>
      <c r="K46" s="105"/>
      <c r="L46" s="105"/>
      <c r="M46" s="105">
        <f>I46</f>
        <v>1</v>
      </c>
      <c r="N46" s="105"/>
      <c r="O46" s="104">
        <f>VLOOKUP($D46,'Land Price Phase Sc1&amp;2'!$B$4:$F$50,3,0)</f>
        <v>2020</v>
      </c>
      <c r="P46" s="104">
        <f>VLOOKUP($D46,'Land Price Phase Sc1&amp;2'!$B$4:$F$50,4,0)</f>
        <v>2024</v>
      </c>
      <c r="Q46" s="104">
        <f>VLOOKUP($D46,'Land Price Phase Sc1&amp;2'!$B$4:$F$50,5,0)</f>
        <v>2028</v>
      </c>
      <c r="R46" s="106">
        <f t="shared" si="79"/>
        <v>0.99999999999999989</v>
      </c>
      <c r="S46" s="104"/>
      <c r="T46" s="104"/>
      <c r="U46" s="104">
        <v>0.5</v>
      </c>
      <c r="V46" s="104">
        <v>0.5</v>
      </c>
      <c r="W46" s="107">
        <f t="shared" si="7"/>
        <v>0.711860292938581</v>
      </c>
      <c r="X46" s="107">
        <f t="shared" si="42"/>
        <v>91.820689263541368</v>
      </c>
      <c r="Y46" s="107">
        <f t="shared" si="9"/>
        <v>86.098507823793028</v>
      </c>
      <c r="Z46" s="104">
        <v>25</v>
      </c>
      <c r="AA46" s="108">
        <f t="shared" si="16"/>
        <v>3.0397697419243146</v>
      </c>
      <c r="AB46" s="104"/>
      <c r="AC46" s="104"/>
      <c r="AD46" s="104"/>
      <c r="AE46" s="104">
        <v>0.1</v>
      </c>
      <c r="AF46" s="104">
        <v>0.1</v>
      </c>
      <c r="AG46" s="104">
        <v>0.1</v>
      </c>
      <c r="AH46" s="104">
        <v>0.1</v>
      </c>
      <c r="AI46" s="104">
        <v>0.1</v>
      </c>
      <c r="AJ46" s="104">
        <v>0.1</v>
      </c>
      <c r="AK46" s="104">
        <v>0.1</v>
      </c>
      <c r="AL46" s="104">
        <v>0.1</v>
      </c>
      <c r="AM46" s="104">
        <v>0.1</v>
      </c>
      <c r="AN46" s="104">
        <v>0.1</v>
      </c>
      <c r="AO46" s="104"/>
      <c r="AP46" s="104"/>
      <c r="AQ46" s="104"/>
      <c r="AR46" s="104"/>
      <c r="AS46" s="104"/>
      <c r="AT46" s="104"/>
      <c r="AU46" s="104"/>
      <c r="AV46" s="104"/>
      <c r="AW46" s="104"/>
      <c r="AX46" s="104"/>
      <c r="AY46" s="104"/>
      <c r="AZ46" s="104"/>
      <c r="BA46" s="104"/>
      <c r="BB46" s="104"/>
      <c r="BC46" s="104"/>
      <c r="BD46" s="104"/>
      <c r="BE46" s="104"/>
      <c r="BF46" s="104"/>
      <c r="BG46" s="104"/>
      <c r="BH46" s="109">
        <f t="shared" si="10"/>
        <v>0.7</v>
      </c>
      <c r="BI46" s="109">
        <f t="shared" si="11"/>
        <v>0.30000000000000004</v>
      </c>
      <c r="BJ46" s="109"/>
      <c r="BK46" s="104">
        <f t="shared" si="81"/>
        <v>2000</v>
      </c>
      <c r="BL46" s="108">
        <f>AB46*$BK46*VLOOKUP($D46,'Land Price Phase Sc1&amp;2'!$B$119:$AU$165,9+BL$7-$BL$7,0)/1000000</f>
        <v>0</v>
      </c>
      <c r="BM46" s="108">
        <f>AC46*$BK46*VLOOKUP($D46,'Land Price Phase Sc1&amp;2'!$B$119:$AU$165,9+BM$7-$BL$7,0)/1000000</f>
        <v>0</v>
      </c>
      <c r="BN46" s="108">
        <f>AD46*$BK46*VLOOKUP($D46,'Land Price Phase Sc1&amp;2'!$B$119:$AU$165,9+BN$7-$BL$7,0)/1000000</f>
        <v>0</v>
      </c>
      <c r="BO46" s="108">
        <f>AE46*$BK46*VLOOKUP($D46,'Land Price Phase Sc1&amp;2'!$B$119:$AU$165,9+BO$7-$BL$7,0)/1000000</f>
        <v>0.35018338109579994</v>
      </c>
      <c r="BP46" s="108">
        <f>AF46*$BK46*VLOOKUP($D46,'Land Price Phase Sc1&amp;2'!$B$119:$AU$165,9+BP$7-$BL$7,0)/1000000</f>
        <v>0.37504640115360183</v>
      </c>
      <c r="BQ46" s="108">
        <f>AG46*$BK46*VLOOKUP($D46,'Land Price Phase Sc1&amp;2'!$B$119:$AU$165,9+BQ$7-$BL$7,0)/1000000</f>
        <v>0.40167469563550751</v>
      </c>
      <c r="BR46" s="108">
        <f>AH46*$BK46*VLOOKUP($D46,'Land Price Phase Sc1&amp;2'!$B$119:$AU$165,9+BR$7-$BL$7,0)/1000000</f>
        <v>0.43019359902562854</v>
      </c>
      <c r="BS46" s="108">
        <f>AI46*$BK46*VLOOKUP($D46,'Land Price Phase Sc1&amp;2'!$B$119:$AU$165,9+BS$7-$BL$7,0)/1000000</f>
        <v>0.46073734455644816</v>
      </c>
      <c r="BT46" s="108">
        <f>AJ46*$BK46*VLOOKUP($D46,'Land Price Phase Sc1&amp;2'!$B$119:$AU$165,9+BT$7-$BL$7,0)/1000000</f>
        <v>0.49344969601995597</v>
      </c>
      <c r="BU46" s="108">
        <f>AK46*$BK46*VLOOKUP($D46,'Land Price Phase Sc1&amp;2'!$B$119:$AU$165,9+BU$7-$BL$7,0)/1000000</f>
        <v>0.52848462443737287</v>
      </c>
      <c r="BV46" s="108">
        <f>AL46*$BK46*VLOOKUP($D46,'Land Price Phase Sc1&amp;2'!$B$119:$AU$165,9+BV$7-$BL$7,0)/1000000</f>
        <v>0.56600703277242637</v>
      </c>
      <c r="BW46" s="108">
        <f>AM46*$BK46*VLOOKUP($D46,'Land Price Phase Sc1&amp;2'!$B$119:$AU$165,9+BW$7-$BL$7,0)/1000000</f>
        <v>0.60619353209926863</v>
      </c>
      <c r="BX46" s="108">
        <f>AN46*$BK46*VLOOKUP($D46,'Land Price Phase Sc1&amp;2'!$B$119:$AU$165,9+BX$7-$BL$7,0)/1000000</f>
        <v>0.64923327287831656</v>
      </c>
      <c r="BY46" s="108">
        <f>AO46*$BK46*VLOOKUP($D46,'Land Price Phase Sc1&amp;2'!$B$119:$AU$165,9+BY$7-$BL$7,0)/1000000</f>
        <v>0</v>
      </c>
      <c r="BZ46" s="108">
        <f>AP46*$BK46*VLOOKUP($D46,'Land Price Phase Sc1&amp;2'!$B$119:$AU$165,9+BZ$7-$BL$7,0)/1000000</f>
        <v>0</v>
      </c>
      <c r="CA46" s="108">
        <f>AQ46*$BK46*VLOOKUP($D46,'Land Price Phase Sc1&amp;2'!$B$119:$AU$165,9+CA$7-$BL$7,0)/1000000</f>
        <v>0</v>
      </c>
      <c r="CB46" s="108">
        <f>AR46*$BK46*VLOOKUP($D46,'Land Price Phase Sc1&amp;2'!$B$119:$AU$165,9+CB$7-$BL$7,0)/1000000</f>
        <v>0</v>
      </c>
      <c r="CC46" s="108">
        <f>AS46*$BK46*VLOOKUP($D46,'Land Price Phase Sc1&amp;2'!$B$119:$AU$165,9+CC$7-$BL$7,0)/1000000</f>
        <v>0</v>
      </c>
      <c r="CD46" s="108">
        <f>AT46*$BK46*VLOOKUP($D46,'Land Price Phase Sc1&amp;2'!$B$119:$AU$165,9+CD$7-$BL$7,0)/1000000</f>
        <v>0</v>
      </c>
      <c r="CE46" s="108">
        <f>AU46*$BK46*VLOOKUP($D46,'Land Price Phase Sc1&amp;2'!$B$119:$AU$165,9+CE$7-$BL$7,0)/1000000</f>
        <v>0</v>
      </c>
      <c r="CF46" s="108">
        <f>AV46*$BK46*VLOOKUP($D46,'Land Price Phase Sc1&amp;2'!$B$119:$AU$165,9+CF$7-$BL$7,0)/1000000</f>
        <v>0</v>
      </c>
      <c r="CG46" s="108">
        <f>AW46*$BK46*VLOOKUP($D46,'Land Price Phase Sc1&amp;2'!$B$119:$AU$165,9+CG$7-$BL$7,0)/1000000</f>
        <v>0</v>
      </c>
      <c r="CH46" s="108">
        <f>AX46*$BK46*VLOOKUP($D46,'Land Price Phase Sc1&amp;2'!$B$119:$AU$165,9+CH$7-$BL$7,0)/1000000</f>
        <v>0</v>
      </c>
      <c r="CI46" s="108">
        <f>AY46*$BK46*VLOOKUP($D46,'Land Price Phase Sc1&amp;2'!$B$119:$AU$165,9+CI$7-$BL$7,0)/1000000</f>
        <v>0</v>
      </c>
      <c r="CJ46" s="108">
        <f>AZ46*$BK46*VLOOKUP($D46,'Land Price Phase Sc1&amp;2'!$B$119:$AU$165,9+CJ$7-$BL$7,0)/1000000</f>
        <v>0</v>
      </c>
      <c r="CK46" s="108">
        <f>BA46*$BK46*VLOOKUP($D46,'Land Price Phase Sc1&amp;2'!$B$119:$AU$165,9+CK$7-$BL$7,0)/1000000</f>
        <v>0</v>
      </c>
      <c r="CL46" s="108">
        <f>BB46*$BK46*VLOOKUP($D46,'Land Price Phase Sc1&amp;2'!$B$119:$AU$165,9+CL$7-$BL$7,0)/1000000</f>
        <v>0</v>
      </c>
      <c r="CM46" s="108">
        <f>BC46*$BK46*VLOOKUP($D46,'Land Price Phase Sc1&amp;2'!$B$119:$AU$165,9+CM$7-$BL$7,0)/1000000</f>
        <v>0</v>
      </c>
      <c r="CN46" s="108">
        <f>BD46*$BK46*VLOOKUP($D46,'Land Price Phase Sc1&amp;2'!$B$119:$AU$165,9+CN$7-$BL$7,0)/1000000</f>
        <v>0</v>
      </c>
      <c r="CO46" s="108">
        <f>BE46*$BK46*VLOOKUP($D46,'Land Price Phase Sc1&amp;2'!$B$119:$AU$165,9+CO$7-$BL$7,0)/1000000</f>
        <v>0</v>
      </c>
      <c r="CP46" s="108">
        <f>BF46*$BK46*VLOOKUP($D46,'Land Price Phase Sc1&amp;2'!$B$119:$AU$165,9+CP$7-$BL$7,0)/1000000</f>
        <v>0</v>
      </c>
      <c r="CQ46" s="108">
        <f>BG46*$BK46*VLOOKUP($D46,'Land Price Phase Sc1&amp;2'!$B$119:$AU$165,9+CQ$7-$BL$7,0)/1000000</f>
        <v>0</v>
      </c>
      <c r="CR46" s="108">
        <f t="shared" si="75"/>
        <v>4.861203579674326</v>
      </c>
      <c r="CS46" s="19"/>
      <c r="CT46" s="19"/>
      <c r="CU46" s="19"/>
      <c r="CV46" s="19"/>
      <c r="CW46" s="18"/>
      <c r="CX46" s="18"/>
      <c r="CY46" s="18"/>
      <c r="CZ46" s="18"/>
      <c r="DA46" s="20"/>
      <c r="DB46" s="20"/>
      <c r="DC46" s="20"/>
      <c r="DK46" s="10"/>
      <c r="DL46" s="10"/>
      <c r="DM46" s="10"/>
      <c r="DN46" s="10"/>
      <c r="DO46" s="10"/>
      <c r="DP46" s="10"/>
      <c r="DQ46" s="10"/>
      <c r="DR46" s="10"/>
      <c r="DS46" s="10"/>
      <c r="DT46" s="10"/>
      <c r="EB46" s="84"/>
      <c r="EC46" s="84"/>
    </row>
    <row r="47" spans="1:133" x14ac:dyDescent="0.3">
      <c r="A47" s="104" t="s">
        <v>27</v>
      </c>
      <c r="B47" s="104" t="s">
        <v>28</v>
      </c>
      <c r="C47" s="104"/>
      <c r="D47" s="104" t="str">
        <f>'Land Price Phase Sc1&amp;2'!B5</f>
        <v>Redhills North/Whenuapai west</v>
      </c>
      <c r="E47" s="104"/>
      <c r="F47" s="105">
        <v>2</v>
      </c>
      <c r="G47" s="105"/>
      <c r="H47" s="105"/>
      <c r="I47" s="105"/>
      <c r="J47" s="105">
        <f>F47</f>
        <v>2</v>
      </c>
      <c r="K47" s="105"/>
      <c r="L47" s="105"/>
      <c r="M47" s="105"/>
      <c r="N47" s="105"/>
      <c r="O47" s="104">
        <f>VLOOKUP($D47,'Land Price Phase Sc1&amp;2'!$B$4:$F$50,3,0)</f>
        <v>2031</v>
      </c>
      <c r="P47" s="104">
        <f>VLOOKUP($D47,'Land Price Phase Sc1&amp;2'!$B$4:$F$50,4,0)</f>
        <v>2035</v>
      </c>
      <c r="Q47" s="104">
        <f>VLOOKUP($D47,'Land Price Phase Sc1&amp;2'!$B$4:$F$50,5,0)</f>
        <v>2039</v>
      </c>
      <c r="R47" s="106">
        <f t="shared" si="79"/>
        <v>1</v>
      </c>
      <c r="S47" s="104"/>
      <c r="T47" s="107">
        <f>'Park spec inputs'!H$22</f>
        <v>0.2</v>
      </c>
      <c r="U47" s="107">
        <f>'Park spec inputs'!I$22</f>
        <v>0.3</v>
      </c>
      <c r="V47" s="107">
        <f>'Park spec inputs'!J$22</f>
        <v>0.5</v>
      </c>
      <c r="W47" s="107">
        <f t="shared" si="7"/>
        <v>0.711860292938581</v>
      </c>
      <c r="X47" s="107">
        <f t="shared" si="42"/>
        <v>10.538842255767012</v>
      </c>
      <c r="Y47" s="107">
        <f t="shared" si="9"/>
        <v>28.271393808318997</v>
      </c>
      <c r="Z47" s="104">
        <v>32</v>
      </c>
      <c r="AA47" s="108">
        <f t="shared" si="16"/>
        <v>1.0880633306470364</v>
      </c>
      <c r="AB47" s="104"/>
      <c r="AC47" s="104"/>
      <c r="AD47" s="104"/>
      <c r="AE47" s="104"/>
      <c r="AF47" s="104"/>
      <c r="AG47" s="104"/>
      <c r="AH47" s="111">
        <v>0.10996857409440532</v>
      </c>
      <c r="AI47" s="111">
        <v>0.11</v>
      </c>
      <c r="AJ47" s="111">
        <v>4.9999999999999649E-2</v>
      </c>
      <c r="AK47" s="111">
        <f t="shared" ref="AK47" si="96">AJ47</f>
        <v>4.9999999999999649E-2</v>
      </c>
      <c r="AL47" s="111">
        <f>$U47/4</f>
        <v>7.4999999999999997E-2</v>
      </c>
      <c r="AM47" s="111">
        <f t="shared" ref="AM47:AO47" si="97">AL47</f>
        <v>7.4999999999999997E-2</v>
      </c>
      <c r="AN47" s="111">
        <f t="shared" si="97"/>
        <v>7.4999999999999997E-2</v>
      </c>
      <c r="AO47" s="111">
        <f t="shared" si="97"/>
        <v>7.4999999999999997E-2</v>
      </c>
      <c r="AP47" s="111">
        <f>(1-SUM(AH47:AO47))/3</f>
        <v>0.12667714196853183</v>
      </c>
      <c r="AQ47" s="111">
        <f>AP47</f>
        <v>0.12667714196853183</v>
      </c>
      <c r="AR47" s="111">
        <f>AQ47</f>
        <v>0.12667714196853183</v>
      </c>
      <c r="AS47" s="104"/>
      <c r="AT47" s="104"/>
      <c r="AU47" s="104"/>
      <c r="AV47" s="104"/>
      <c r="AW47" s="104"/>
      <c r="AX47" s="104"/>
      <c r="AY47" s="104"/>
      <c r="AZ47" s="104"/>
      <c r="BA47" s="104"/>
      <c r="BB47" s="104"/>
      <c r="BC47" s="104"/>
      <c r="BD47" s="104"/>
      <c r="BE47" s="104"/>
      <c r="BF47" s="104"/>
      <c r="BG47" s="104"/>
      <c r="BH47" s="109">
        <f t="shared" si="10"/>
        <v>0.3199685740944046</v>
      </c>
      <c r="BI47" s="109">
        <f t="shared" si="11"/>
        <v>0.68003142590559551</v>
      </c>
      <c r="BJ47" s="109"/>
      <c r="BK47" s="104">
        <f t="shared" si="81"/>
        <v>8000</v>
      </c>
      <c r="BL47" s="108">
        <f>AB47*$BK47*VLOOKUP($D47,'Land Price Phase Sc1&amp;2'!$B$119:$AU$165,9+BL$7-$BL$7,0)/1000000</f>
        <v>0</v>
      </c>
      <c r="BM47" s="108">
        <f>AC47*$BK47*VLOOKUP($D47,'Land Price Phase Sc1&amp;2'!$B$119:$AU$165,9+BM$7-$BL$7,0)/1000000</f>
        <v>0</v>
      </c>
      <c r="BN47" s="108">
        <f>AD47*$BK47*VLOOKUP($D47,'Land Price Phase Sc1&amp;2'!$B$119:$AU$165,9+BN$7-$BL$7,0)/1000000</f>
        <v>0</v>
      </c>
      <c r="BO47" s="108">
        <f>AE47*$BK47*VLOOKUP($D47,'Land Price Phase Sc1&amp;2'!$B$119:$AU$165,9+BO$7-$BL$7,0)/1000000</f>
        <v>0</v>
      </c>
      <c r="BP47" s="108">
        <f>AF47*$BK47*VLOOKUP($D47,'Land Price Phase Sc1&amp;2'!$B$119:$AU$165,9+BP$7-$BL$7,0)/1000000</f>
        <v>0</v>
      </c>
      <c r="BQ47" s="108">
        <f>AG47*$BK47*VLOOKUP($D47,'Land Price Phase Sc1&amp;2'!$B$119:$AU$165,9+BQ$7-$BL$7,0)/1000000</f>
        <v>0</v>
      </c>
      <c r="BR47" s="108">
        <f>AH47*$BK47*VLOOKUP($D47,'Land Price Phase Sc1&amp;2'!$B$119:$AU$165,9+BR$7-$BL$7,0)/1000000</f>
        <v>0.34526377358711774</v>
      </c>
      <c r="BS47" s="108">
        <f>AI47*$BK47*VLOOKUP($D47,'Land Price Phase Sc1&amp;2'!$B$119:$AU$165,9+BS$7-$BL$7,0)/1000000</f>
        <v>0.36988317345443983</v>
      </c>
      <c r="BT47" s="108">
        <f>AJ47*$BK47*VLOOKUP($D47,'Land Price Phase Sc1&amp;2'!$B$119:$AU$165,9+BT$7-$BL$7,0)/1000000</f>
        <v>0.18006585398622829</v>
      </c>
      <c r="BU47" s="108">
        <f>AK47*$BK47*VLOOKUP($D47,'Land Price Phase Sc1&amp;2'!$B$119:$AU$165,9+BU$7-$BL$7,0)/1000000</f>
        <v>0.1928505296192505</v>
      </c>
      <c r="BV47" s="108">
        <f>AL47*$BK47*VLOOKUP($D47,'Land Price Phase Sc1&amp;2'!$B$119:$AU$165,9+BV$7-$BL$7,0)/1000000</f>
        <v>0.59579687660255398</v>
      </c>
      <c r="BW47" s="108">
        <f>AM47*$BK47*VLOOKUP($D47,'Land Price Phase Sc1&amp;2'!$B$119:$AU$165,9+BW$7-$BL$7,0)/1000000</f>
        <v>0.63809845484133532</v>
      </c>
      <c r="BX47" s="108">
        <f>AN47*$BK47*VLOOKUP($D47,'Land Price Phase Sc1&amp;2'!$B$119:$AU$165,9+BX$7-$BL$7,0)/1000000</f>
        <v>0.68340344513507001</v>
      </c>
      <c r="BY47" s="108">
        <f>AO47*$BK47*VLOOKUP($D47,'Land Price Phase Sc1&amp;2'!$B$119:$AU$165,9+BY$7-$BL$7,0)/1000000</f>
        <v>0.73192508973965986</v>
      </c>
      <c r="BZ47" s="108">
        <f>AP47*$BK47*VLOOKUP($D47,'Land Price Phase Sc1&amp;2'!$B$119:$AU$165,9+BZ$7-$BL$7,0)/1000000</f>
        <v>3.7734444287265423</v>
      </c>
      <c r="CA47" s="108">
        <f>AQ47*$BK47*VLOOKUP($D47,'Land Price Phase Sc1&amp;2'!$B$119:$AU$165,9+CA$7-$BL$7,0)/1000000</f>
        <v>4.0413589831661261</v>
      </c>
      <c r="CB47" s="108">
        <f>AR47*$BK47*VLOOKUP($D47,'Land Price Phase Sc1&amp;2'!$B$119:$AU$165,9+CB$7-$BL$7,0)/1000000</f>
        <v>4.3282954709709216</v>
      </c>
      <c r="CC47" s="108">
        <f>AS47*$BK47*VLOOKUP($D47,'Land Price Phase Sc1&amp;2'!$B$119:$AU$165,9+CC$7-$BL$7,0)/1000000</f>
        <v>0</v>
      </c>
      <c r="CD47" s="108">
        <f>AT47*$BK47*VLOOKUP($D47,'Land Price Phase Sc1&amp;2'!$B$119:$AU$165,9+CD$7-$BL$7,0)/1000000</f>
        <v>0</v>
      </c>
      <c r="CE47" s="108">
        <f>AU47*$BK47*VLOOKUP($D47,'Land Price Phase Sc1&amp;2'!$B$119:$AU$165,9+CE$7-$BL$7,0)/1000000</f>
        <v>0</v>
      </c>
      <c r="CF47" s="108">
        <f>AV47*$BK47*VLOOKUP($D47,'Land Price Phase Sc1&amp;2'!$B$119:$AU$165,9+CF$7-$BL$7,0)/1000000</f>
        <v>0</v>
      </c>
      <c r="CG47" s="108">
        <f>AW47*$BK47*VLOOKUP($D47,'Land Price Phase Sc1&amp;2'!$B$119:$AU$165,9+CG$7-$BL$7,0)/1000000</f>
        <v>0</v>
      </c>
      <c r="CH47" s="108">
        <f>AX47*$BK47*VLOOKUP($D47,'Land Price Phase Sc1&amp;2'!$B$119:$AU$165,9+CH$7-$BL$7,0)/1000000</f>
        <v>0</v>
      </c>
      <c r="CI47" s="108">
        <f>AY47*$BK47*VLOOKUP($D47,'Land Price Phase Sc1&amp;2'!$B$119:$AU$165,9+CI$7-$BL$7,0)/1000000</f>
        <v>0</v>
      </c>
      <c r="CJ47" s="108">
        <f>AZ47*$BK47*VLOOKUP($D47,'Land Price Phase Sc1&amp;2'!$B$119:$AU$165,9+CJ$7-$BL$7,0)/1000000</f>
        <v>0</v>
      </c>
      <c r="CK47" s="108">
        <f>BA47*$BK47*VLOOKUP($D47,'Land Price Phase Sc1&amp;2'!$B$119:$AU$165,9+CK$7-$BL$7,0)/1000000</f>
        <v>0</v>
      </c>
      <c r="CL47" s="108">
        <f>BB47*$BK47*VLOOKUP($D47,'Land Price Phase Sc1&amp;2'!$B$119:$AU$165,9+CL$7-$BL$7,0)/1000000</f>
        <v>0</v>
      </c>
      <c r="CM47" s="108">
        <f>BC47*$BK47*VLOOKUP($D47,'Land Price Phase Sc1&amp;2'!$B$119:$AU$165,9+CM$7-$BL$7,0)/1000000</f>
        <v>0</v>
      </c>
      <c r="CN47" s="108">
        <f>BD47*$BK47*VLOOKUP($D47,'Land Price Phase Sc1&amp;2'!$B$119:$AU$165,9+CN$7-$BL$7,0)/1000000</f>
        <v>0</v>
      </c>
      <c r="CO47" s="108">
        <f>BE47*$BK47*VLOOKUP($D47,'Land Price Phase Sc1&amp;2'!$B$119:$AU$165,9+CO$7-$BL$7,0)/1000000</f>
        <v>0</v>
      </c>
      <c r="CP47" s="108">
        <f>BF47*$BK47*VLOOKUP($D47,'Land Price Phase Sc1&amp;2'!$B$119:$AU$165,9+CP$7-$BL$7,0)/1000000</f>
        <v>0</v>
      </c>
      <c r="CQ47" s="108">
        <f>BG47*$BK47*VLOOKUP($D47,'Land Price Phase Sc1&amp;2'!$B$119:$AU$165,9+CQ$7-$BL$7,0)/1000000</f>
        <v>0</v>
      </c>
      <c r="CR47" s="108">
        <f t="shared" si="75"/>
        <v>15.880386079829247</v>
      </c>
      <c r="CS47" s="19"/>
      <c r="CT47" s="19"/>
      <c r="CU47" s="19"/>
      <c r="CV47" s="19"/>
      <c r="CW47" s="18"/>
      <c r="CX47" s="18"/>
      <c r="CY47" s="18"/>
      <c r="CZ47" s="18"/>
      <c r="DA47" s="20"/>
      <c r="DB47" s="20"/>
      <c r="DC47" s="20"/>
      <c r="DK47" s="10"/>
      <c r="DL47" s="10"/>
      <c r="DM47" s="10"/>
      <c r="DN47" s="10"/>
      <c r="DO47" s="10"/>
      <c r="DP47" s="10"/>
      <c r="DQ47" s="10"/>
      <c r="DR47" s="10"/>
      <c r="DS47" s="10"/>
      <c r="DT47" s="10"/>
      <c r="EB47" s="84"/>
      <c r="EC47" s="84"/>
    </row>
    <row r="48" spans="1:133" x14ac:dyDescent="0.3">
      <c r="A48" s="104" t="s">
        <v>28</v>
      </c>
      <c r="B48" s="104" t="s">
        <v>28</v>
      </c>
      <c r="C48" s="104"/>
      <c r="D48" s="104" t="str">
        <f>'Land Price Phase Sc1&amp;2'!B6</f>
        <v>Whenuapai North (Stage 1a)</v>
      </c>
      <c r="E48" s="104"/>
      <c r="F48" s="105">
        <v>1</v>
      </c>
      <c r="G48" s="105"/>
      <c r="H48" s="105"/>
      <c r="I48" s="105"/>
      <c r="J48" s="105">
        <f t="shared" ref="J48:M55" si="98">F48</f>
        <v>1</v>
      </c>
      <c r="K48" s="105"/>
      <c r="L48" s="105"/>
      <c r="M48" s="105"/>
      <c r="N48" s="105"/>
      <c r="O48" s="104">
        <f>VLOOKUP($D48,'Land Price Phase Sc1&amp;2'!$B$4:$F$50,3,0)</f>
        <v>2031</v>
      </c>
      <c r="P48" s="104">
        <f>VLOOKUP($D48,'Land Price Phase Sc1&amp;2'!$B$4:$F$50,4,0)</f>
        <v>2035</v>
      </c>
      <c r="Q48" s="104">
        <f>VLOOKUP($D48,'Land Price Phase Sc1&amp;2'!$B$4:$F$50,5,0)</f>
        <v>2039</v>
      </c>
      <c r="R48" s="106">
        <f t="shared" si="79"/>
        <v>1</v>
      </c>
      <c r="S48" s="104"/>
      <c r="T48" s="107">
        <f>'Park spec inputs'!H$22</f>
        <v>0.2</v>
      </c>
      <c r="U48" s="107">
        <f>'Park spec inputs'!I$22</f>
        <v>0.3</v>
      </c>
      <c r="V48" s="107">
        <f>'Park spec inputs'!J$22</f>
        <v>0.5</v>
      </c>
      <c r="W48" s="107">
        <f t="shared" si="7"/>
        <v>0.711860292938581</v>
      </c>
      <c r="X48" s="107">
        <f t="shared" si="42"/>
        <v>10.538842255767012</v>
      </c>
      <c r="Y48" s="107">
        <f t="shared" si="9"/>
        <v>28.271393808318997</v>
      </c>
      <c r="Z48" s="104">
        <v>32</v>
      </c>
      <c r="AA48" s="108">
        <f t="shared" si="16"/>
        <v>0.78466105575507428</v>
      </c>
      <c r="AB48" s="104"/>
      <c r="AC48" s="104"/>
      <c r="AD48" s="104"/>
      <c r="AE48" s="104"/>
      <c r="AF48" s="104"/>
      <c r="AG48" s="104"/>
      <c r="AH48" s="111">
        <f>AH47</f>
        <v>0.10996857409440532</v>
      </c>
      <c r="AI48" s="111">
        <f t="shared" ref="AI48:AR48" si="99">AI47</f>
        <v>0.11</v>
      </c>
      <c r="AJ48" s="111">
        <f t="shared" si="99"/>
        <v>4.9999999999999649E-2</v>
      </c>
      <c r="AK48" s="111">
        <f t="shared" si="99"/>
        <v>4.9999999999999649E-2</v>
      </c>
      <c r="AL48" s="111">
        <f t="shared" si="99"/>
        <v>7.4999999999999997E-2</v>
      </c>
      <c r="AM48" s="111">
        <f t="shared" si="99"/>
        <v>7.4999999999999997E-2</v>
      </c>
      <c r="AN48" s="111">
        <f t="shared" si="99"/>
        <v>7.4999999999999997E-2</v>
      </c>
      <c r="AO48" s="111">
        <f t="shared" si="99"/>
        <v>7.4999999999999997E-2</v>
      </c>
      <c r="AP48" s="111">
        <f t="shared" si="99"/>
        <v>0.12667714196853183</v>
      </c>
      <c r="AQ48" s="111">
        <f t="shared" si="99"/>
        <v>0.12667714196853183</v>
      </c>
      <c r="AR48" s="111">
        <f t="shared" si="99"/>
        <v>0.12667714196853183</v>
      </c>
      <c r="AS48" s="104"/>
      <c r="AT48" s="104"/>
      <c r="AU48" s="104"/>
      <c r="AV48" s="104"/>
      <c r="AW48" s="104"/>
      <c r="AX48" s="104"/>
      <c r="AY48" s="104"/>
      <c r="AZ48" s="104"/>
      <c r="BA48" s="104"/>
      <c r="BB48" s="104"/>
      <c r="BC48" s="104"/>
      <c r="BD48" s="104"/>
      <c r="BE48" s="104"/>
      <c r="BF48" s="104"/>
      <c r="BG48" s="104"/>
      <c r="BH48" s="109">
        <f t="shared" si="10"/>
        <v>0.3199685740944046</v>
      </c>
      <c r="BI48" s="109">
        <f t="shared" si="11"/>
        <v>0.68003142590559551</v>
      </c>
      <c r="BJ48" s="109"/>
      <c r="BK48" s="104">
        <f t="shared" si="81"/>
        <v>4000</v>
      </c>
      <c r="BL48" s="108">
        <f>AB48*$BK48*VLOOKUP($D48,'Land Price Phase Sc1&amp;2'!$B$119:$AU$165,9+BL$7-$BL$7,0)/1000000</f>
        <v>0</v>
      </c>
      <c r="BM48" s="108">
        <f>AC48*$BK48*VLOOKUP($D48,'Land Price Phase Sc1&amp;2'!$B$119:$AU$165,9+BM$7-$BL$7,0)/1000000</f>
        <v>0</v>
      </c>
      <c r="BN48" s="108">
        <f>AD48*$BK48*VLOOKUP($D48,'Land Price Phase Sc1&amp;2'!$B$119:$AU$165,9+BN$7-$BL$7,0)/1000000</f>
        <v>0</v>
      </c>
      <c r="BO48" s="108">
        <f>AE48*$BK48*VLOOKUP($D48,'Land Price Phase Sc1&amp;2'!$B$119:$AU$165,9+BO$7-$BL$7,0)/1000000</f>
        <v>0</v>
      </c>
      <c r="BP48" s="108">
        <f>AF48*$BK48*VLOOKUP($D48,'Land Price Phase Sc1&amp;2'!$B$119:$AU$165,9+BP$7-$BL$7,0)/1000000</f>
        <v>0</v>
      </c>
      <c r="BQ48" s="108">
        <f>AG48*$BK48*VLOOKUP($D48,'Land Price Phase Sc1&amp;2'!$B$119:$AU$165,9+BQ$7-$BL$7,0)/1000000</f>
        <v>0</v>
      </c>
      <c r="BR48" s="108">
        <f>AH48*$BK48*VLOOKUP($D48,'Land Price Phase Sc1&amp;2'!$B$119:$AU$165,9+BR$7-$BL$7,0)/1000000</f>
        <v>0.24898829825994068</v>
      </c>
      <c r="BS48" s="108">
        <f>AI48*$BK48*VLOOKUP($D48,'Land Price Phase Sc1&amp;2'!$B$119:$AU$165,9+BS$7-$BL$7,0)/1000000</f>
        <v>0.26674267316425948</v>
      </c>
      <c r="BT48" s="108">
        <f>AJ48*$BK48*VLOOKUP($D48,'Land Price Phase Sc1&amp;2'!$B$119:$AU$165,9+BT$7-$BL$7,0)/1000000</f>
        <v>0.12985518316314543</v>
      </c>
      <c r="BU48" s="108">
        <f>AK48*$BK48*VLOOKUP($D48,'Land Price Phase Sc1&amp;2'!$B$119:$AU$165,9+BU$7-$BL$7,0)/1000000</f>
        <v>0.13907490116772872</v>
      </c>
      <c r="BV48" s="108">
        <f>AL48*$BK48*VLOOKUP($D48,'Land Price Phase Sc1&amp;2'!$B$119:$AU$165,9+BV$7-$BL$7,0)/1000000</f>
        <v>0.35152015719550689</v>
      </c>
      <c r="BW48" s="108">
        <f>AM48*$BK48*VLOOKUP($D48,'Land Price Phase Sc1&amp;2'!$B$119:$AU$165,9+BW$7-$BL$7,0)/1000000</f>
        <v>0.37647808835638785</v>
      </c>
      <c r="BX48" s="108">
        <f>AN48*$BK48*VLOOKUP($D48,'Land Price Phase Sc1&amp;2'!$B$119:$AU$165,9+BX$7-$BL$7,0)/1000000</f>
        <v>0.40320803262969135</v>
      </c>
      <c r="BY48" s="108">
        <f>AO48*$BK48*VLOOKUP($D48,'Land Price Phase Sc1&amp;2'!$B$119:$AU$165,9+BY$7-$BL$7,0)/1000000</f>
        <v>0.43183580294639939</v>
      </c>
      <c r="BZ48" s="108">
        <f>AP48*$BK48*VLOOKUP($D48,'Land Price Phase Sc1&amp;2'!$B$119:$AU$165,9+BZ$7-$BL$7,0)/1000000</f>
        <v>2.0522241629916285</v>
      </c>
      <c r="CA48" s="108">
        <f>AQ48*$BK48*VLOOKUP($D48,'Land Price Phase Sc1&amp;2'!$B$119:$AU$165,9+CA$7-$BL$7,0)/1000000</f>
        <v>2.1979320785640333</v>
      </c>
      <c r="CB48" s="108">
        <f>AR48*$BK48*VLOOKUP($D48,'Land Price Phase Sc1&amp;2'!$B$119:$AU$165,9+CB$7-$BL$7,0)/1000000</f>
        <v>2.3539852561420798</v>
      </c>
      <c r="CC48" s="108">
        <f>AS48*$BK48*VLOOKUP($D48,'Land Price Phase Sc1&amp;2'!$B$119:$AU$165,9+CC$7-$BL$7,0)/1000000</f>
        <v>0</v>
      </c>
      <c r="CD48" s="108">
        <f>AT48*$BK48*VLOOKUP($D48,'Land Price Phase Sc1&amp;2'!$B$119:$AU$165,9+CD$7-$BL$7,0)/1000000</f>
        <v>0</v>
      </c>
      <c r="CE48" s="108">
        <f>AU48*$BK48*VLOOKUP($D48,'Land Price Phase Sc1&amp;2'!$B$119:$AU$165,9+CE$7-$BL$7,0)/1000000</f>
        <v>0</v>
      </c>
      <c r="CF48" s="108">
        <f>AV48*$BK48*VLOOKUP($D48,'Land Price Phase Sc1&amp;2'!$B$119:$AU$165,9+CF$7-$BL$7,0)/1000000</f>
        <v>0</v>
      </c>
      <c r="CG48" s="108">
        <f>AW48*$BK48*VLOOKUP($D48,'Land Price Phase Sc1&amp;2'!$B$119:$AU$165,9+CG$7-$BL$7,0)/1000000</f>
        <v>0</v>
      </c>
      <c r="CH48" s="108">
        <f>AX48*$BK48*VLOOKUP($D48,'Land Price Phase Sc1&amp;2'!$B$119:$AU$165,9+CH$7-$BL$7,0)/1000000</f>
        <v>0</v>
      </c>
      <c r="CI48" s="108">
        <f>AY48*$BK48*VLOOKUP($D48,'Land Price Phase Sc1&amp;2'!$B$119:$AU$165,9+CI$7-$BL$7,0)/1000000</f>
        <v>0</v>
      </c>
      <c r="CJ48" s="108">
        <f>AZ48*$BK48*VLOOKUP($D48,'Land Price Phase Sc1&amp;2'!$B$119:$AU$165,9+CJ$7-$BL$7,0)/1000000</f>
        <v>0</v>
      </c>
      <c r="CK48" s="108">
        <f>BA48*$BK48*VLOOKUP($D48,'Land Price Phase Sc1&amp;2'!$B$119:$AU$165,9+CK$7-$BL$7,0)/1000000</f>
        <v>0</v>
      </c>
      <c r="CL48" s="108">
        <f>BB48*$BK48*VLOOKUP($D48,'Land Price Phase Sc1&amp;2'!$B$119:$AU$165,9+CL$7-$BL$7,0)/1000000</f>
        <v>0</v>
      </c>
      <c r="CM48" s="108">
        <f>BC48*$BK48*VLOOKUP($D48,'Land Price Phase Sc1&amp;2'!$B$119:$AU$165,9+CM$7-$BL$7,0)/1000000</f>
        <v>0</v>
      </c>
      <c r="CN48" s="108">
        <f>BD48*$BK48*VLOOKUP($D48,'Land Price Phase Sc1&amp;2'!$B$119:$AU$165,9+CN$7-$BL$7,0)/1000000</f>
        <v>0</v>
      </c>
      <c r="CO48" s="108">
        <f>BE48*$BK48*VLOOKUP($D48,'Land Price Phase Sc1&amp;2'!$B$119:$AU$165,9+CO$7-$BL$7,0)/1000000</f>
        <v>0</v>
      </c>
      <c r="CP48" s="108">
        <f>BF48*$BK48*VLOOKUP($D48,'Land Price Phase Sc1&amp;2'!$B$119:$AU$165,9+CP$7-$BL$7,0)/1000000</f>
        <v>0</v>
      </c>
      <c r="CQ48" s="108">
        <f>BG48*$BK48*VLOOKUP($D48,'Land Price Phase Sc1&amp;2'!$B$119:$AU$165,9+CQ$7-$BL$7,0)/1000000</f>
        <v>0</v>
      </c>
      <c r="CR48" s="108">
        <f t="shared" si="75"/>
        <v>8.9518446345808016</v>
      </c>
      <c r="CS48" s="19"/>
      <c r="CT48" s="19"/>
      <c r="CU48" s="19"/>
      <c r="CV48" s="19"/>
      <c r="CW48" s="18"/>
      <c r="CX48" s="18"/>
      <c r="CY48" s="18"/>
      <c r="CZ48" s="18"/>
      <c r="DA48" s="20"/>
      <c r="DB48" s="20"/>
      <c r="DC48" s="20"/>
      <c r="DK48" s="10"/>
      <c r="DL48" s="10"/>
      <c r="DM48" s="10"/>
      <c r="DN48" s="10"/>
      <c r="DO48" s="10"/>
      <c r="DP48" s="10"/>
      <c r="DQ48" s="10"/>
      <c r="DR48" s="10"/>
      <c r="DS48" s="10"/>
      <c r="DT48" s="10"/>
      <c r="EB48" s="84"/>
      <c r="EC48" s="84"/>
    </row>
    <row r="49" spans="1:133" x14ac:dyDescent="0.3">
      <c r="A49" s="104" t="s">
        <v>28</v>
      </c>
      <c r="B49" s="104" t="str">
        <f>B48</f>
        <v>Whenuapai</v>
      </c>
      <c r="C49" s="104"/>
      <c r="D49" s="104" t="str">
        <f>'Land Price Phase Sc1&amp;2'!B7</f>
        <v>Whenuapai north (Stage 1b)</v>
      </c>
      <c r="E49" s="104" t="s">
        <v>254</v>
      </c>
      <c r="F49" s="105">
        <v>5</v>
      </c>
      <c r="G49" s="105"/>
      <c r="H49" s="105"/>
      <c r="I49" s="105"/>
      <c r="J49" s="105">
        <f t="shared" si="98"/>
        <v>5</v>
      </c>
      <c r="K49" s="105"/>
      <c r="L49" s="105"/>
      <c r="M49" s="105"/>
      <c r="N49" s="105"/>
      <c r="O49" s="104">
        <f>VLOOKUP($D49,'Land Price Phase Sc1&amp;2'!$B$4:$F$50,3,0)</f>
        <v>2031</v>
      </c>
      <c r="P49" s="104">
        <f>VLOOKUP($D49,'Land Price Phase Sc1&amp;2'!$B$4:$F$50,4,0)</f>
        <v>2035</v>
      </c>
      <c r="Q49" s="104">
        <f>VLOOKUP($D49,'Land Price Phase Sc1&amp;2'!$B$4:$F$50,5,0)</f>
        <v>2039</v>
      </c>
      <c r="R49" s="106">
        <f t="shared" si="79"/>
        <v>1</v>
      </c>
      <c r="S49" s="104"/>
      <c r="T49" s="107">
        <f>'Park spec inputs'!H$22</f>
        <v>0.2</v>
      </c>
      <c r="U49" s="107">
        <f>'Park spec inputs'!I$22</f>
        <v>0.3</v>
      </c>
      <c r="V49" s="107">
        <f>'Park spec inputs'!J$22</f>
        <v>0.5</v>
      </c>
      <c r="W49" s="107">
        <f t="shared" si="7"/>
        <v>0.711860292938581</v>
      </c>
      <c r="X49" s="107">
        <f t="shared" si="42"/>
        <v>10.538842255767012</v>
      </c>
      <c r="Y49" s="107">
        <f t="shared" si="9"/>
        <v>28.271393808318997</v>
      </c>
      <c r="Z49" s="104">
        <v>32</v>
      </c>
      <c r="AA49" s="108">
        <f t="shared" si="16"/>
        <v>3.9233052787753713</v>
      </c>
      <c r="AB49" s="104"/>
      <c r="AC49" s="104"/>
      <c r="AD49" s="104"/>
      <c r="AE49" s="104"/>
      <c r="AF49" s="104"/>
      <c r="AG49" s="104"/>
      <c r="AH49" s="111">
        <f>AH48</f>
        <v>0.10996857409440532</v>
      </c>
      <c r="AI49" s="111">
        <f t="shared" ref="AI49" si="100">AI48</f>
        <v>0.11</v>
      </c>
      <c r="AJ49" s="111">
        <f t="shared" ref="AJ49" si="101">AJ48</f>
        <v>4.9999999999999649E-2</v>
      </c>
      <c r="AK49" s="111">
        <f t="shared" ref="AK49" si="102">AK48</f>
        <v>4.9999999999999649E-2</v>
      </c>
      <c r="AL49" s="111">
        <f t="shared" ref="AL49" si="103">AL48</f>
        <v>7.4999999999999997E-2</v>
      </c>
      <c r="AM49" s="111">
        <f t="shared" ref="AM49" si="104">AM48</f>
        <v>7.4999999999999997E-2</v>
      </c>
      <c r="AN49" s="111">
        <f t="shared" ref="AN49" si="105">AN48</f>
        <v>7.4999999999999997E-2</v>
      </c>
      <c r="AO49" s="111">
        <f t="shared" ref="AO49" si="106">AO48</f>
        <v>7.4999999999999997E-2</v>
      </c>
      <c r="AP49" s="111">
        <f t="shared" ref="AP49" si="107">AP48</f>
        <v>0.12667714196853183</v>
      </c>
      <c r="AQ49" s="111">
        <f t="shared" ref="AQ49" si="108">AQ48</f>
        <v>0.12667714196853183</v>
      </c>
      <c r="AR49" s="111">
        <f t="shared" ref="AR49" si="109">AR48</f>
        <v>0.12667714196853183</v>
      </c>
      <c r="AS49" s="104"/>
      <c r="AT49" s="104"/>
      <c r="AU49" s="104"/>
      <c r="AV49" s="104"/>
      <c r="AW49" s="104"/>
      <c r="AX49" s="104"/>
      <c r="AY49" s="104"/>
      <c r="AZ49" s="104"/>
      <c r="BA49" s="104"/>
      <c r="BB49" s="104"/>
      <c r="BC49" s="104"/>
      <c r="BD49" s="104"/>
      <c r="BE49" s="104"/>
      <c r="BF49" s="104"/>
      <c r="BG49" s="104"/>
      <c r="BH49" s="109">
        <f t="shared" si="10"/>
        <v>0.3199685740944046</v>
      </c>
      <c r="BI49" s="109">
        <f t="shared" si="11"/>
        <v>0.68003142590559551</v>
      </c>
      <c r="BJ49" s="109"/>
      <c r="BK49" s="104">
        <f t="shared" si="81"/>
        <v>20000</v>
      </c>
      <c r="BL49" s="108">
        <f>AB49*$BK49*VLOOKUP($D49,'Land Price Phase Sc1&amp;2'!$B$119:$AU$165,9+BL$7-$BL$7,0)/1000000</f>
        <v>0</v>
      </c>
      <c r="BM49" s="108">
        <f>AC49*$BK49*VLOOKUP($D49,'Land Price Phase Sc1&amp;2'!$B$119:$AU$165,9+BM$7-$BL$7,0)/1000000</f>
        <v>0</v>
      </c>
      <c r="BN49" s="108">
        <f>AD49*$BK49*VLOOKUP($D49,'Land Price Phase Sc1&amp;2'!$B$119:$AU$165,9+BN$7-$BL$7,0)/1000000</f>
        <v>0</v>
      </c>
      <c r="BO49" s="108">
        <f>AE49*$BK49*VLOOKUP($D49,'Land Price Phase Sc1&amp;2'!$B$119:$AU$165,9+BO$7-$BL$7,0)/1000000</f>
        <v>0</v>
      </c>
      <c r="BP49" s="108">
        <f>AF49*$BK49*VLOOKUP($D49,'Land Price Phase Sc1&amp;2'!$B$119:$AU$165,9+BP$7-$BL$7,0)/1000000</f>
        <v>0</v>
      </c>
      <c r="BQ49" s="108">
        <f>AG49*$BK49*VLOOKUP($D49,'Land Price Phase Sc1&amp;2'!$B$119:$AU$165,9+BQ$7-$BL$7,0)/1000000</f>
        <v>0</v>
      </c>
      <c r="BR49" s="108">
        <f>AH49*$BK49*VLOOKUP($D49,'Land Price Phase Sc1&amp;2'!$B$119:$AU$165,9+BR$7-$BL$7,0)/1000000</f>
        <v>1.2449414912997032</v>
      </c>
      <c r="BS49" s="108">
        <f>AI49*$BK49*VLOOKUP($D49,'Land Price Phase Sc1&amp;2'!$B$119:$AU$165,9+BS$7-$BL$7,0)/1000000</f>
        <v>1.3337133658212974</v>
      </c>
      <c r="BT49" s="108">
        <f>AJ49*$BK49*VLOOKUP($D49,'Land Price Phase Sc1&amp;2'!$B$119:$AU$165,9+BT$7-$BL$7,0)/1000000</f>
        <v>0.64927591581572708</v>
      </c>
      <c r="BU49" s="108">
        <f>AK49*$BK49*VLOOKUP($D49,'Land Price Phase Sc1&amp;2'!$B$119:$AU$165,9+BU$7-$BL$7,0)/1000000</f>
        <v>0.69537450583864358</v>
      </c>
      <c r="BV49" s="108">
        <f>AL49*$BK49*VLOOKUP($D49,'Land Price Phase Sc1&amp;2'!$B$119:$AU$165,9+BV$7-$BL$7,0)/1000000</f>
        <v>1.7576007859775344</v>
      </c>
      <c r="BW49" s="108">
        <f>AM49*$BK49*VLOOKUP($D49,'Land Price Phase Sc1&amp;2'!$B$119:$AU$165,9+BW$7-$BL$7,0)/1000000</f>
        <v>1.8823904417819393</v>
      </c>
      <c r="BX49" s="108">
        <f>AN49*$BK49*VLOOKUP($D49,'Land Price Phase Sc1&amp;2'!$B$119:$AU$165,9+BX$7-$BL$7,0)/1000000</f>
        <v>2.0160401631484568</v>
      </c>
      <c r="BY49" s="108">
        <f>AO49*$BK49*VLOOKUP($D49,'Land Price Phase Sc1&amp;2'!$B$119:$AU$165,9+BY$7-$BL$7,0)/1000000</f>
        <v>2.1591790147319965</v>
      </c>
      <c r="BZ49" s="108">
        <f>AP49*$BK49*VLOOKUP($D49,'Land Price Phase Sc1&amp;2'!$B$119:$AU$165,9+BZ$7-$BL$7,0)/1000000</f>
        <v>10.261120814958142</v>
      </c>
      <c r="CA49" s="108">
        <f>AQ49*$BK49*VLOOKUP($D49,'Land Price Phase Sc1&amp;2'!$B$119:$AU$165,9+CA$7-$BL$7,0)/1000000</f>
        <v>10.989660392820168</v>
      </c>
      <c r="CB49" s="108">
        <f>AR49*$BK49*VLOOKUP($D49,'Land Price Phase Sc1&amp;2'!$B$119:$AU$165,9+CB$7-$BL$7,0)/1000000</f>
        <v>11.769926280710399</v>
      </c>
      <c r="CC49" s="108">
        <f>AS49*$BK49*VLOOKUP($D49,'Land Price Phase Sc1&amp;2'!$B$119:$AU$165,9+CC$7-$BL$7,0)/1000000</f>
        <v>0</v>
      </c>
      <c r="CD49" s="108">
        <f>AT49*$BK49*VLOOKUP($D49,'Land Price Phase Sc1&amp;2'!$B$119:$AU$165,9+CD$7-$BL$7,0)/1000000</f>
        <v>0</v>
      </c>
      <c r="CE49" s="108">
        <f>AU49*$BK49*VLOOKUP($D49,'Land Price Phase Sc1&amp;2'!$B$119:$AU$165,9+CE$7-$BL$7,0)/1000000</f>
        <v>0</v>
      </c>
      <c r="CF49" s="108">
        <f>AV49*$BK49*VLOOKUP($D49,'Land Price Phase Sc1&amp;2'!$B$119:$AU$165,9+CF$7-$BL$7,0)/1000000</f>
        <v>0</v>
      </c>
      <c r="CG49" s="108">
        <f>AW49*$BK49*VLOOKUP($D49,'Land Price Phase Sc1&amp;2'!$B$119:$AU$165,9+CG$7-$BL$7,0)/1000000</f>
        <v>0</v>
      </c>
      <c r="CH49" s="108">
        <f>AX49*$BK49*VLOOKUP($D49,'Land Price Phase Sc1&amp;2'!$B$119:$AU$165,9+CH$7-$BL$7,0)/1000000</f>
        <v>0</v>
      </c>
      <c r="CI49" s="108">
        <f>AY49*$BK49*VLOOKUP($D49,'Land Price Phase Sc1&amp;2'!$B$119:$AU$165,9+CI$7-$BL$7,0)/1000000</f>
        <v>0</v>
      </c>
      <c r="CJ49" s="108">
        <f>AZ49*$BK49*VLOOKUP($D49,'Land Price Phase Sc1&amp;2'!$B$119:$AU$165,9+CJ$7-$BL$7,0)/1000000</f>
        <v>0</v>
      </c>
      <c r="CK49" s="108">
        <f>BA49*$BK49*VLOOKUP($D49,'Land Price Phase Sc1&amp;2'!$B$119:$AU$165,9+CK$7-$BL$7,0)/1000000</f>
        <v>0</v>
      </c>
      <c r="CL49" s="108">
        <f>BB49*$BK49*VLOOKUP($D49,'Land Price Phase Sc1&amp;2'!$B$119:$AU$165,9+CL$7-$BL$7,0)/1000000</f>
        <v>0</v>
      </c>
      <c r="CM49" s="108">
        <f>BC49*$BK49*VLOOKUP($D49,'Land Price Phase Sc1&amp;2'!$B$119:$AU$165,9+CM$7-$BL$7,0)/1000000</f>
        <v>0</v>
      </c>
      <c r="CN49" s="108">
        <f>BD49*$BK49*VLOOKUP($D49,'Land Price Phase Sc1&amp;2'!$B$119:$AU$165,9+CN$7-$BL$7,0)/1000000</f>
        <v>0</v>
      </c>
      <c r="CO49" s="108">
        <f>BE49*$BK49*VLOOKUP($D49,'Land Price Phase Sc1&amp;2'!$B$119:$AU$165,9+CO$7-$BL$7,0)/1000000</f>
        <v>0</v>
      </c>
      <c r="CP49" s="108">
        <f>BF49*$BK49*VLOOKUP($D49,'Land Price Phase Sc1&amp;2'!$B$119:$AU$165,9+CP$7-$BL$7,0)/1000000</f>
        <v>0</v>
      </c>
      <c r="CQ49" s="108">
        <f>BG49*$BK49*VLOOKUP($D49,'Land Price Phase Sc1&amp;2'!$B$119:$AU$165,9+CQ$7-$BL$7,0)/1000000</f>
        <v>0</v>
      </c>
      <c r="CR49" s="108">
        <f t="shared" si="75"/>
        <v>44.759223172904008</v>
      </c>
      <c r="CS49" s="19"/>
      <c r="CT49" s="19"/>
      <c r="CU49" s="19"/>
      <c r="CV49" s="19"/>
      <c r="CW49" s="18"/>
      <c r="CX49" s="18"/>
      <c r="CY49" s="18"/>
      <c r="CZ49" s="18"/>
      <c r="DA49" s="20"/>
      <c r="DB49" s="20"/>
      <c r="DC49" s="20"/>
      <c r="DK49" s="10"/>
      <c r="DL49" s="10"/>
      <c r="DM49" s="10"/>
      <c r="DN49" s="10"/>
      <c r="DO49" s="10"/>
      <c r="DP49" s="10"/>
      <c r="DQ49" s="10"/>
      <c r="DR49" s="10"/>
      <c r="DS49" s="10"/>
      <c r="DT49" s="10"/>
      <c r="EB49" s="84"/>
      <c r="EC49" s="84"/>
    </row>
    <row r="50" spans="1:133" x14ac:dyDescent="0.3">
      <c r="A50" s="104" t="s">
        <v>28</v>
      </c>
      <c r="B50" s="104" t="str">
        <f t="shared" ref="B50:B54" si="110">B49</f>
        <v>Whenuapai</v>
      </c>
      <c r="C50" s="104"/>
      <c r="D50" s="104" t="str">
        <f>D49</f>
        <v>Whenuapai north (Stage 1b)</v>
      </c>
      <c r="E50" s="104" t="s">
        <v>254</v>
      </c>
      <c r="F50" s="105"/>
      <c r="G50" s="105">
        <v>1</v>
      </c>
      <c r="H50" s="105"/>
      <c r="I50" s="105"/>
      <c r="J50" s="105"/>
      <c r="K50" s="105">
        <f t="shared" si="98"/>
        <v>1</v>
      </c>
      <c r="L50" s="105"/>
      <c r="M50" s="105"/>
      <c r="N50" s="105"/>
      <c r="O50" s="104">
        <f>VLOOKUP($D50,'Land Price Phase Sc1&amp;2'!$B$4:$F$50,3,0)</f>
        <v>2031</v>
      </c>
      <c r="P50" s="104">
        <f>VLOOKUP($D50,'Land Price Phase Sc1&amp;2'!$B$4:$F$50,4,0)</f>
        <v>2035</v>
      </c>
      <c r="Q50" s="104">
        <f>VLOOKUP($D50,'Land Price Phase Sc1&amp;2'!$B$4:$F$50,5,0)</f>
        <v>2039</v>
      </c>
      <c r="R50" s="106">
        <f t="shared" si="79"/>
        <v>1</v>
      </c>
      <c r="S50" s="107">
        <f>'Park spec inputs'!C$21</f>
        <v>0.15</v>
      </c>
      <c r="T50" s="107">
        <f>'Park spec inputs'!D$21</f>
        <v>0.5</v>
      </c>
      <c r="U50" s="107">
        <f>'Park spec inputs'!E$21</f>
        <v>0.25</v>
      </c>
      <c r="V50" s="107">
        <f>'Park spec inputs'!F$21</f>
        <v>0.1</v>
      </c>
      <c r="W50" s="107">
        <f t="shared" si="7"/>
        <v>0.711860292938581</v>
      </c>
      <c r="X50" s="107">
        <f t="shared" si="42"/>
        <v>10.538842255767012</v>
      </c>
      <c r="Y50" s="107">
        <f t="shared" si="9"/>
        <v>28.271393808318997</v>
      </c>
      <c r="Z50" s="104">
        <v>29</v>
      </c>
      <c r="AA50" s="108">
        <f t="shared" si="16"/>
        <v>10.648765106293887</v>
      </c>
      <c r="AB50" s="104"/>
      <c r="AC50" s="104"/>
      <c r="AD50" s="104"/>
      <c r="AE50" s="111">
        <v>0.17499999999999999</v>
      </c>
      <c r="AF50" s="111">
        <f>AE50</f>
        <v>0.17499999999999999</v>
      </c>
      <c r="AG50" s="111">
        <v>0.11</v>
      </c>
      <c r="AH50" s="111">
        <v>0.125</v>
      </c>
      <c r="AI50" s="111">
        <v>0.125</v>
      </c>
      <c r="AJ50" s="111">
        <v>7.826754329489391E-2</v>
      </c>
      <c r="AK50" s="111">
        <v>1.0813875670097521E-2</v>
      </c>
      <c r="AL50" s="111">
        <f>(1-SUM(AE50:AK50))/2</f>
        <v>0.1004592905175043</v>
      </c>
      <c r="AM50" s="111">
        <f>AL50</f>
        <v>0.1004592905175043</v>
      </c>
      <c r="AN50" s="111"/>
      <c r="AO50" s="111"/>
      <c r="AP50" s="111"/>
      <c r="AQ50" s="111"/>
      <c r="AR50" s="111"/>
      <c r="AS50" s="104"/>
      <c r="AT50" s="104"/>
      <c r="AU50" s="104"/>
      <c r="AV50" s="104"/>
      <c r="AW50" s="104"/>
      <c r="AX50" s="104"/>
      <c r="AY50" s="104"/>
      <c r="AZ50" s="104"/>
      <c r="BA50" s="104"/>
      <c r="BB50" s="104"/>
      <c r="BC50" s="104"/>
      <c r="BD50" s="104"/>
      <c r="BE50" s="104"/>
      <c r="BF50" s="104"/>
      <c r="BG50" s="104"/>
      <c r="BH50" s="109">
        <f t="shared" si="10"/>
        <v>0.79908141896499141</v>
      </c>
      <c r="BI50" s="109">
        <f t="shared" si="11"/>
        <v>0.20091858103500859</v>
      </c>
      <c r="BJ50" s="109"/>
      <c r="BK50" s="104">
        <f t="shared" si="81"/>
        <v>30000</v>
      </c>
      <c r="BL50" s="108">
        <f>AB50*$BK50*VLOOKUP($D50,'Land Price Phase Sc1&amp;2'!$B$119:$AU$165,9+BL$7-$BL$7,0)/1000000</f>
        <v>0</v>
      </c>
      <c r="BM50" s="108">
        <f>AC50*$BK50*VLOOKUP($D50,'Land Price Phase Sc1&amp;2'!$B$119:$AU$165,9+BM$7-$BL$7,0)/1000000</f>
        <v>0</v>
      </c>
      <c r="BN50" s="108">
        <f>AD50*$BK50*VLOOKUP($D50,'Land Price Phase Sc1&amp;2'!$B$119:$AU$165,9+BN$7-$BL$7,0)/1000000</f>
        <v>0</v>
      </c>
      <c r="BO50" s="108">
        <f>AE50*$BK50*VLOOKUP($D50,'Land Price Phase Sc1&amp;2'!$B$119:$AU$165,9+BO$7-$BL$7,0)/1000000</f>
        <v>1.6126866234674999</v>
      </c>
      <c r="BP50" s="108">
        <f>AF50*$BK50*VLOOKUP($D50,'Land Price Phase Sc1&amp;2'!$B$119:$AU$165,9+BP$7-$BL$7,0)/1000000</f>
        <v>1.7271873737336925</v>
      </c>
      <c r="BQ50" s="108">
        <f>AG50*$BK50*VLOOKUP($D50,'Land Price Phase Sc1&amp;2'!$B$119:$AU$165,9+BQ$7-$BL$7,0)/1000000</f>
        <v>1.1627425399975218</v>
      </c>
      <c r="BR50" s="108">
        <f>AH50*$BK50*VLOOKUP($D50,'Land Price Phase Sc1&amp;2'!$B$119:$AU$165,9+BR$7-$BL$7,0)/1000000</f>
        <v>2.1226657846659305</v>
      </c>
      <c r="BS50" s="108">
        <f>AI50*$BK50*VLOOKUP($D50,'Land Price Phase Sc1&amp;2'!$B$119:$AU$165,9+BS$7-$BL$7,0)/1000000</f>
        <v>2.2733750553772114</v>
      </c>
      <c r="BT50" s="108">
        <f>AJ50*$BK50*VLOOKUP($D50,'Land Price Phase Sc1&amp;2'!$B$119:$AU$165,9+BT$7-$BL$7,0)/1000000</f>
        <v>1.5245169255431901</v>
      </c>
      <c r="BU50" s="108">
        <f>AK50*$BK50*VLOOKUP($D50,'Land Price Phase Sc1&amp;2'!$B$119:$AU$165,9+BU$7-$BL$7,0)/1000000</f>
        <v>0.22559080350883942</v>
      </c>
      <c r="BV50" s="108">
        <f>AL50*$BK50*VLOOKUP($D50,'Land Price Phase Sc1&amp;2'!$B$119:$AU$165,9+BV$7-$BL$7,0)/1000000</f>
        <v>3.5313465594462206</v>
      </c>
      <c r="BW50" s="108">
        <f>AM50*$BK50*VLOOKUP($D50,'Land Price Phase Sc1&amp;2'!$B$119:$AU$165,9+BW$7-$BL$7,0)/1000000</f>
        <v>3.7820721651669018</v>
      </c>
      <c r="BX50" s="108">
        <f>AN50*$BK50*VLOOKUP($D50,'Land Price Phase Sc1&amp;2'!$B$119:$AU$165,9+BX$7-$BL$7,0)/1000000</f>
        <v>0</v>
      </c>
      <c r="BY50" s="108">
        <f>AO50*$BK50*VLOOKUP($D50,'Land Price Phase Sc1&amp;2'!$B$119:$AU$165,9+BY$7-$BL$7,0)/1000000</f>
        <v>0</v>
      </c>
      <c r="BZ50" s="108">
        <f>AP50*$BK50*VLOOKUP($D50,'Land Price Phase Sc1&amp;2'!$B$119:$AU$165,9+BZ$7-$BL$7,0)/1000000</f>
        <v>0</v>
      </c>
      <c r="CA50" s="108">
        <f>AQ50*$BK50*VLOOKUP($D50,'Land Price Phase Sc1&amp;2'!$B$119:$AU$165,9+CA$7-$BL$7,0)/1000000</f>
        <v>0</v>
      </c>
      <c r="CB50" s="108">
        <f>AR50*$BK50*VLOOKUP($D50,'Land Price Phase Sc1&amp;2'!$B$119:$AU$165,9+CB$7-$BL$7,0)/1000000</f>
        <v>0</v>
      </c>
      <c r="CC50" s="108">
        <f>AS50*$BK50*VLOOKUP($D50,'Land Price Phase Sc1&amp;2'!$B$119:$AU$165,9+CC$7-$BL$7,0)/1000000</f>
        <v>0</v>
      </c>
      <c r="CD50" s="108">
        <f>AT50*$BK50*VLOOKUP($D50,'Land Price Phase Sc1&amp;2'!$B$119:$AU$165,9+CD$7-$BL$7,0)/1000000</f>
        <v>0</v>
      </c>
      <c r="CE50" s="108">
        <f>AU50*$BK50*VLOOKUP($D50,'Land Price Phase Sc1&amp;2'!$B$119:$AU$165,9+CE$7-$BL$7,0)/1000000</f>
        <v>0</v>
      </c>
      <c r="CF50" s="108">
        <f>AV50*$BK50*VLOOKUP($D50,'Land Price Phase Sc1&amp;2'!$B$119:$AU$165,9+CF$7-$BL$7,0)/1000000</f>
        <v>0</v>
      </c>
      <c r="CG50" s="108">
        <f>AW50*$BK50*VLOOKUP($D50,'Land Price Phase Sc1&amp;2'!$B$119:$AU$165,9+CG$7-$BL$7,0)/1000000</f>
        <v>0</v>
      </c>
      <c r="CH50" s="108">
        <f>AX50*$BK50*VLOOKUP($D50,'Land Price Phase Sc1&amp;2'!$B$119:$AU$165,9+CH$7-$BL$7,0)/1000000</f>
        <v>0</v>
      </c>
      <c r="CI50" s="108">
        <f>AY50*$BK50*VLOOKUP($D50,'Land Price Phase Sc1&amp;2'!$B$119:$AU$165,9+CI$7-$BL$7,0)/1000000</f>
        <v>0</v>
      </c>
      <c r="CJ50" s="108">
        <f>AZ50*$BK50*VLOOKUP($D50,'Land Price Phase Sc1&amp;2'!$B$119:$AU$165,9+CJ$7-$BL$7,0)/1000000</f>
        <v>0</v>
      </c>
      <c r="CK50" s="108">
        <f>BA50*$BK50*VLOOKUP($D50,'Land Price Phase Sc1&amp;2'!$B$119:$AU$165,9+CK$7-$BL$7,0)/1000000</f>
        <v>0</v>
      </c>
      <c r="CL50" s="108">
        <f>BB50*$BK50*VLOOKUP($D50,'Land Price Phase Sc1&amp;2'!$B$119:$AU$165,9+CL$7-$BL$7,0)/1000000</f>
        <v>0</v>
      </c>
      <c r="CM50" s="108">
        <f>BC50*$BK50*VLOOKUP($D50,'Land Price Phase Sc1&amp;2'!$B$119:$AU$165,9+CM$7-$BL$7,0)/1000000</f>
        <v>0</v>
      </c>
      <c r="CN50" s="108">
        <f>BD50*$BK50*VLOOKUP($D50,'Land Price Phase Sc1&amp;2'!$B$119:$AU$165,9+CN$7-$BL$7,0)/1000000</f>
        <v>0</v>
      </c>
      <c r="CO50" s="108">
        <f>BE50*$BK50*VLOOKUP($D50,'Land Price Phase Sc1&amp;2'!$B$119:$AU$165,9+CO$7-$BL$7,0)/1000000</f>
        <v>0</v>
      </c>
      <c r="CP50" s="108">
        <f>BF50*$BK50*VLOOKUP($D50,'Land Price Phase Sc1&amp;2'!$B$119:$AU$165,9+CP$7-$BL$7,0)/1000000</f>
        <v>0</v>
      </c>
      <c r="CQ50" s="108">
        <f>BG50*$BK50*VLOOKUP($D50,'Land Price Phase Sc1&amp;2'!$B$119:$AU$165,9+CQ$7-$BL$7,0)/1000000</f>
        <v>0</v>
      </c>
      <c r="CR50" s="108">
        <f t="shared" si="75"/>
        <v>17.962183830907009</v>
      </c>
      <c r="CS50" s="19"/>
      <c r="CT50" s="19"/>
      <c r="CU50" s="19"/>
      <c r="CV50" s="19"/>
      <c r="CW50" s="18"/>
      <c r="CX50" s="18"/>
      <c r="CY50" s="18"/>
      <c r="CZ50" s="18"/>
      <c r="DA50" s="20"/>
      <c r="DB50" s="20"/>
      <c r="DC50" s="20"/>
      <c r="DK50" s="10"/>
      <c r="DL50" s="10"/>
      <c r="DM50" s="10"/>
      <c r="DN50" s="10"/>
      <c r="DO50" s="10"/>
      <c r="DP50" s="10"/>
      <c r="DQ50" s="10"/>
      <c r="DR50" s="10"/>
      <c r="DS50" s="10"/>
      <c r="DT50" s="10"/>
      <c r="EB50" s="84"/>
      <c r="EC50" s="84"/>
    </row>
    <row r="51" spans="1:133" x14ac:dyDescent="0.3">
      <c r="A51" s="104" t="s">
        <v>28</v>
      </c>
      <c r="B51" s="104" t="str">
        <f t="shared" si="110"/>
        <v>Whenuapai</v>
      </c>
      <c r="C51" s="104"/>
      <c r="D51" s="104" t="str">
        <f>'Land Price Phase Sc1&amp;2'!B8</f>
        <v>Whenuapai North (Stage 2)</v>
      </c>
      <c r="E51" s="104"/>
      <c r="F51" s="105">
        <v>5</v>
      </c>
      <c r="G51" s="105"/>
      <c r="H51" s="105"/>
      <c r="I51" s="105"/>
      <c r="J51" s="105">
        <f t="shared" si="98"/>
        <v>5</v>
      </c>
      <c r="K51" s="105"/>
      <c r="L51" s="105"/>
      <c r="M51" s="105"/>
      <c r="N51" s="105"/>
      <c r="O51" s="104">
        <f>VLOOKUP($D51,'Land Price Phase Sc1&amp;2'!$B$4:$F$50,3,0)</f>
        <v>2046</v>
      </c>
      <c r="P51" s="104">
        <f>VLOOKUP($D51,'Land Price Phase Sc1&amp;2'!$B$4:$F$50,4,0)</f>
        <v>2050</v>
      </c>
      <c r="Q51" s="104">
        <f>VLOOKUP($D51,'Land Price Phase Sc1&amp;2'!$B$4:$F$50,5,0)</f>
        <v>2054</v>
      </c>
      <c r="R51" s="106">
        <f t="shared" si="79"/>
        <v>0.99999999999999989</v>
      </c>
      <c r="S51" s="104"/>
      <c r="T51" s="107">
        <f>'Park spec inputs'!H$22</f>
        <v>0.2</v>
      </c>
      <c r="U51" s="107">
        <f>'Park spec inputs'!I$22</f>
        <v>0.3</v>
      </c>
      <c r="V51" s="107">
        <f>'Park spec inputs'!J$22</f>
        <v>0.5</v>
      </c>
      <c r="W51" s="107">
        <f t="shared" si="7"/>
        <v>0.711860292938581</v>
      </c>
      <c r="X51" s="107">
        <f t="shared" si="42"/>
        <v>10.538842255767012</v>
      </c>
      <c r="Y51" s="107">
        <f t="shared" si="9"/>
        <v>28.271393808318997</v>
      </c>
      <c r="Z51" s="104" t="s">
        <v>370</v>
      </c>
      <c r="AA51" s="108">
        <f t="shared" si="16"/>
        <v>0</v>
      </c>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11">
        <f>$T51/4</f>
        <v>0.05</v>
      </c>
      <c r="AX51" s="111">
        <f>AW51</f>
        <v>0.05</v>
      </c>
      <c r="AY51" s="111">
        <f t="shared" ref="AY51" si="111">AX51</f>
        <v>0.05</v>
      </c>
      <c r="AZ51" s="111">
        <f t="shared" ref="AZ51" si="112">AY51</f>
        <v>0.05</v>
      </c>
      <c r="BA51" s="111">
        <f>$U51/4</f>
        <v>7.4999999999999997E-2</v>
      </c>
      <c r="BB51" s="111">
        <f>BA51</f>
        <v>7.4999999999999997E-2</v>
      </c>
      <c r="BC51" s="111">
        <f>BB51</f>
        <v>7.4999999999999997E-2</v>
      </c>
      <c r="BD51" s="111">
        <f>BC51</f>
        <v>7.4999999999999997E-2</v>
      </c>
      <c r="BE51" s="111">
        <f>$V51/3</f>
        <v>0.16666666666666666</v>
      </c>
      <c r="BF51" s="111">
        <f>BE51</f>
        <v>0.16666666666666666</v>
      </c>
      <c r="BG51" s="111">
        <f>BF51</f>
        <v>0.16666666666666666</v>
      </c>
      <c r="BH51" s="109">
        <f t="shared" si="10"/>
        <v>0</v>
      </c>
      <c r="BI51" s="109">
        <f t="shared" si="11"/>
        <v>0.99999999999999989</v>
      </c>
      <c r="BJ51" s="109"/>
      <c r="BK51" s="104">
        <f t="shared" si="81"/>
        <v>20000</v>
      </c>
      <c r="BL51" s="108">
        <f>AB51*$BK51*VLOOKUP($D51,'Land Price Phase Sc1&amp;2'!$B$119:$AU$165,9+BL$7-$BL$7,0)/1000000</f>
        <v>0</v>
      </c>
      <c r="BM51" s="108">
        <f>AC51*$BK51*VLOOKUP($D51,'Land Price Phase Sc1&amp;2'!$B$119:$AU$165,9+BM$7-$BL$7,0)/1000000</f>
        <v>0</v>
      </c>
      <c r="BN51" s="108">
        <f>AD51*$BK51*VLOOKUP($D51,'Land Price Phase Sc1&amp;2'!$B$119:$AU$165,9+BN$7-$BL$7,0)/1000000</f>
        <v>0</v>
      </c>
      <c r="BO51" s="108">
        <f>AE51*$BK51*VLOOKUP($D51,'Land Price Phase Sc1&amp;2'!$B$119:$AU$165,9+BO$7-$BL$7,0)/1000000</f>
        <v>0</v>
      </c>
      <c r="BP51" s="108">
        <f>AF51*$BK51*VLOOKUP($D51,'Land Price Phase Sc1&amp;2'!$B$119:$AU$165,9+BP$7-$BL$7,0)/1000000</f>
        <v>0</v>
      </c>
      <c r="BQ51" s="108">
        <f>AG51*$BK51*VLOOKUP($D51,'Land Price Phase Sc1&amp;2'!$B$119:$AU$165,9+BQ$7-$BL$7,0)/1000000</f>
        <v>0</v>
      </c>
      <c r="BR51" s="108">
        <f>AH51*$BK51*VLOOKUP($D51,'Land Price Phase Sc1&amp;2'!$B$119:$AU$165,9+BR$7-$BL$7,0)/1000000</f>
        <v>0</v>
      </c>
      <c r="BS51" s="108">
        <f>AI51*$BK51*VLOOKUP($D51,'Land Price Phase Sc1&amp;2'!$B$119:$AU$165,9+BS$7-$BL$7,0)/1000000</f>
        <v>0</v>
      </c>
      <c r="BT51" s="108">
        <f>AJ51*$BK51*VLOOKUP($D51,'Land Price Phase Sc1&amp;2'!$B$119:$AU$165,9+BT$7-$BL$7,0)/1000000</f>
        <v>0</v>
      </c>
      <c r="BU51" s="108">
        <f>AK51*$BK51*VLOOKUP($D51,'Land Price Phase Sc1&amp;2'!$B$119:$AU$165,9+BU$7-$BL$7,0)/1000000</f>
        <v>0</v>
      </c>
      <c r="BV51" s="108">
        <f>AL51*$BK51*VLOOKUP($D51,'Land Price Phase Sc1&amp;2'!$B$119:$AU$165,9+BV$7-$BL$7,0)/1000000</f>
        <v>0</v>
      </c>
      <c r="BW51" s="108">
        <f>AM51*$BK51*VLOOKUP($D51,'Land Price Phase Sc1&amp;2'!$B$119:$AU$165,9+BW$7-$BL$7,0)/1000000</f>
        <v>0</v>
      </c>
      <c r="BX51" s="108">
        <f>AN51*$BK51*VLOOKUP($D51,'Land Price Phase Sc1&amp;2'!$B$119:$AU$165,9+BX$7-$BL$7,0)/1000000</f>
        <v>0</v>
      </c>
      <c r="BY51" s="108">
        <f>AO51*$BK51*VLOOKUP($D51,'Land Price Phase Sc1&amp;2'!$B$119:$AU$165,9+BY$7-$BL$7,0)/1000000</f>
        <v>0</v>
      </c>
      <c r="BZ51" s="108">
        <f>AP51*$BK51*VLOOKUP($D51,'Land Price Phase Sc1&amp;2'!$B$119:$AU$165,9+BZ$7-$BL$7,0)/1000000</f>
        <v>0</v>
      </c>
      <c r="CA51" s="108">
        <f>AQ51*$BK51*VLOOKUP($D51,'Land Price Phase Sc1&amp;2'!$B$119:$AU$165,9+CA$7-$BL$7,0)/1000000</f>
        <v>0</v>
      </c>
      <c r="CB51" s="108">
        <f>AR51*$BK51*VLOOKUP($D51,'Land Price Phase Sc1&amp;2'!$B$119:$AU$165,9+CB$7-$BL$7,0)/1000000</f>
        <v>0</v>
      </c>
      <c r="CC51" s="108">
        <f>AS51*$BK51*VLOOKUP($D51,'Land Price Phase Sc1&amp;2'!$B$119:$AU$165,9+CC$7-$BL$7,0)/1000000</f>
        <v>0</v>
      </c>
      <c r="CD51" s="108">
        <f>AT51*$BK51*VLOOKUP($D51,'Land Price Phase Sc1&amp;2'!$B$119:$AU$165,9+CD$7-$BL$7,0)/1000000</f>
        <v>0</v>
      </c>
      <c r="CE51" s="108">
        <f>AU51*$BK51*VLOOKUP($D51,'Land Price Phase Sc1&amp;2'!$B$119:$AU$165,9+CE$7-$BL$7,0)/1000000</f>
        <v>0</v>
      </c>
      <c r="CF51" s="108">
        <f>AV51*$BK51*VLOOKUP($D51,'Land Price Phase Sc1&amp;2'!$B$119:$AU$165,9+CF$7-$BL$7,0)/1000000</f>
        <v>0</v>
      </c>
      <c r="CG51" s="108">
        <f>AW51*$BK51*VLOOKUP($D51,'Land Price Phase Sc1&amp;2'!$B$119:$AU$165,9+CG$7-$BL$7,0)/1000000</f>
        <v>1.5837711015617064</v>
      </c>
      <c r="CH51" s="108">
        <f>AX51*$BK51*VLOOKUP($D51,'Land Price Phase Sc1&amp;2'!$B$119:$AU$165,9+CH$7-$BL$7,0)/1000000</f>
        <v>1.6962188497725874</v>
      </c>
      <c r="CI51" s="108">
        <f>AY51*$BK51*VLOOKUP($D51,'Land Price Phase Sc1&amp;2'!$B$119:$AU$165,9+CI$7-$BL$7,0)/1000000</f>
        <v>1.8166503881064411</v>
      </c>
      <c r="CJ51" s="108">
        <f>AZ51*$BK51*VLOOKUP($D51,'Land Price Phase Sc1&amp;2'!$B$119:$AU$165,9+CJ$7-$BL$7,0)/1000000</f>
        <v>1.9456325656619982</v>
      </c>
      <c r="CK51" s="108">
        <f>BA51*$BK51*VLOOKUP($D51,'Land Price Phase Sc1&amp;2'!$B$119:$AU$165,9+CK$7-$BL$7,0)/1000000</f>
        <v>4.9177030476646406</v>
      </c>
      <c r="CL51" s="108">
        <f>BB51*$BK51*VLOOKUP($D51,'Land Price Phase Sc1&amp;2'!$B$119:$AU$165,9+CL$7-$BL$7,0)/1000000</f>
        <v>5.2668599640488303</v>
      </c>
      <c r="CM51" s="108">
        <f>BC51*$BK51*VLOOKUP($D51,'Land Price Phase Sc1&amp;2'!$B$119:$AU$165,9+CM$7-$BL$7,0)/1000000</f>
        <v>5.640807021496296</v>
      </c>
      <c r="CN51" s="108">
        <f>BD51*$BK51*VLOOKUP($D51,'Land Price Phase Sc1&amp;2'!$B$119:$AU$165,9+CN$7-$BL$7,0)/1000000</f>
        <v>6.0413043200225331</v>
      </c>
      <c r="CO51" s="108">
        <f>BE51*$BK51*VLOOKUP($D51,'Land Price Phase Sc1&amp;2'!$B$119:$AU$165,9+CO$7-$BL$7,0)/1000000</f>
        <v>37.773511248412071</v>
      </c>
      <c r="CP51" s="108">
        <f>BF51*$BK51*VLOOKUP($D51,'Land Price Phase Sc1&amp;2'!$B$119:$AU$165,9+CP$7-$BL$7,0)/1000000</f>
        <v>40.455430547049325</v>
      </c>
      <c r="CQ51" s="108">
        <f>BG51*$BK51*VLOOKUP($D51,'Land Price Phase Sc1&amp;2'!$B$119:$AU$165,9+CQ$7-$BL$7,0)/1000000</f>
        <v>43.327766115889823</v>
      </c>
      <c r="CR51" s="108">
        <f t="shared" si="75"/>
        <v>150.46565516968627</v>
      </c>
      <c r="CS51" s="19"/>
      <c r="CT51" s="19"/>
      <c r="CU51" s="19"/>
      <c r="CV51" s="19"/>
      <c r="CW51" s="18"/>
      <c r="CX51" s="18"/>
      <c r="CY51" s="18"/>
      <c r="CZ51" s="18"/>
      <c r="DA51" s="20"/>
      <c r="DB51" s="20"/>
      <c r="DC51" s="20"/>
      <c r="DK51" s="10"/>
      <c r="DL51" s="10"/>
      <c r="DM51" s="10"/>
      <c r="DN51" s="10"/>
      <c r="DO51" s="10"/>
      <c r="DP51" s="10"/>
      <c r="DQ51" s="10"/>
      <c r="DR51" s="10"/>
      <c r="DS51" s="10"/>
      <c r="DT51" s="10"/>
      <c r="EB51" s="84"/>
      <c r="EC51" s="84"/>
    </row>
    <row r="52" spans="1:133" x14ac:dyDescent="0.3">
      <c r="A52" s="104" t="s">
        <v>28</v>
      </c>
      <c r="B52" s="104" t="str">
        <f t="shared" si="110"/>
        <v>Whenuapai</v>
      </c>
      <c r="C52" s="104"/>
      <c r="D52" s="104" t="str">
        <f>D51</f>
        <v>Whenuapai North (Stage 2)</v>
      </c>
      <c r="E52" s="104"/>
      <c r="F52" s="105"/>
      <c r="G52" s="105">
        <v>1</v>
      </c>
      <c r="H52" s="105"/>
      <c r="I52" s="105"/>
      <c r="J52" s="105"/>
      <c r="K52" s="105">
        <f t="shared" si="98"/>
        <v>1</v>
      </c>
      <c r="L52" s="105"/>
      <c r="M52" s="105"/>
      <c r="N52" s="105"/>
      <c r="O52" s="104">
        <f>VLOOKUP($D52,'Land Price Phase Sc1&amp;2'!$B$4:$F$50,3,0)</f>
        <v>2046</v>
      </c>
      <c r="P52" s="104">
        <f>VLOOKUP($D52,'Land Price Phase Sc1&amp;2'!$B$4:$F$50,4,0)</f>
        <v>2050</v>
      </c>
      <c r="Q52" s="104">
        <f>VLOOKUP($D52,'Land Price Phase Sc1&amp;2'!$B$4:$F$50,5,0)</f>
        <v>2054</v>
      </c>
      <c r="R52" s="106">
        <f t="shared" si="79"/>
        <v>1</v>
      </c>
      <c r="S52" s="107">
        <f>'Park spec inputs'!C$21</f>
        <v>0.15</v>
      </c>
      <c r="T52" s="107">
        <f>'Park spec inputs'!D$21</f>
        <v>0.5</v>
      </c>
      <c r="U52" s="107">
        <f>'Park spec inputs'!E$21</f>
        <v>0.25</v>
      </c>
      <c r="V52" s="107">
        <f>'Park spec inputs'!F$21</f>
        <v>0.1</v>
      </c>
      <c r="W52" s="107">
        <f t="shared" si="7"/>
        <v>0.711860292938581</v>
      </c>
      <c r="X52" s="107">
        <f t="shared" si="42"/>
        <v>10.538842255767012</v>
      </c>
      <c r="Y52" s="107">
        <f t="shared" si="9"/>
        <v>28.271393808318997</v>
      </c>
      <c r="Z52" s="104" t="s">
        <v>370</v>
      </c>
      <c r="AA52" s="108">
        <f t="shared" si="16"/>
        <v>0</v>
      </c>
      <c r="AB52" s="104"/>
      <c r="AC52" s="104"/>
      <c r="AD52" s="104"/>
      <c r="AE52" s="104"/>
      <c r="AF52" s="104"/>
      <c r="AG52" s="104"/>
      <c r="AH52" s="104"/>
      <c r="AI52" s="104"/>
      <c r="AJ52" s="104"/>
      <c r="AK52" s="104"/>
      <c r="AL52" s="104"/>
      <c r="AM52" s="104"/>
      <c r="AN52" s="104"/>
      <c r="AO52" s="104"/>
      <c r="AP52" s="104"/>
      <c r="AQ52" s="104"/>
      <c r="AR52" s="104"/>
      <c r="AS52" s="104"/>
      <c r="AT52" s="111">
        <f>$S52/3</f>
        <v>4.9999999999999996E-2</v>
      </c>
      <c r="AU52" s="111">
        <f>AT52</f>
        <v>4.9999999999999996E-2</v>
      </c>
      <c r="AV52" s="111">
        <f>AU52</f>
        <v>4.9999999999999996E-2</v>
      </c>
      <c r="AW52" s="111">
        <f>$T52/4</f>
        <v>0.125</v>
      </c>
      <c r="AX52" s="111">
        <f>AW52</f>
        <v>0.125</v>
      </c>
      <c r="AY52" s="111">
        <f>AX52</f>
        <v>0.125</v>
      </c>
      <c r="AZ52" s="111">
        <f>AY52</f>
        <v>0.125</v>
      </c>
      <c r="BA52" s="111">
        <f>$U52/4</f>
        <v>6.25E-2</v>
      </c>
      <c r="BB52" s="111">
        <f t="shared" ref="BB52:BD52" si="113">BA52</f>
        <v>6.25E-2</v>
      </c>
      <c r="BC52" s="111">
        <f t="shared" si="113"/>
        <v>6.25E-2</v>
      </c>
      <c r="BD52" s="111">
        <f t="shared" si="113"/>
        <v>6.25E-2</v>
      </c>
      <c r="BE52" s="111">
        <f>$V52/3</f>
        <v>3.3333333333333333E-2</v>
      </c>
      <c r="BF52" s="111">
        <f t="shared" ref="BF52:BG52" si="114">BE52</f>
        <v>3.3333333333333333E-2</v>
      </c>
      <c r="BG52" s="111">
        <f t="shared" si="114"/>
        <v>3.3333333333333333E-2</v>
      </c>
      <c r="BH52" s="109">
        <f t="shared" si="10"/>
        <v>0</v>
      </c>
      <c r="BI52" s="109">
        <f t="shared" si="11"/>
        <v>1</v>
      </c>
      <c r="BJ52" s="109"/>
      <c r="BK52" s="104">
        <f t="shared" si="81"/>
        <v>30000</v>
      </c>
      <c r="BL52" s="108">
        <f>AB52*$BK52*VLOOKUP($D52,'Land Price Phase Sc1&amp;2'!$B$119:$AU$165,9+BL$7-$BL$7,0)/1000000</f>
        <v>0</v>
      </c>
      <c r="BM52" s="108">
        <f>AC52*$BK52*VLOOKUP($D52,'Land Price Phase Sc1&amp;2'!$B$119:$AU$165,9+BM$7-$BL$7,0)/1000000</f>
        <v>0</v>
      </c>
      <c r="BN52" s="108">
        <f>AD52*$BK52*VLOOKUP($D52,'Land Price Phase Sc1&amp;2'!$B$119:$AU$165,9+BN$7-$BL$7,0)/1000000</f>
        <v>0</v>
      </c>
      <c r="BO52" s="108">
        <f>AE52*$BK52*VLOOKUP($D52,'Land Price Phase Sc1&amp;2'!$B$119:$AU$165,9+BO$7-$BL$7,0)/1000000</f>
        <v>0</v>
      </c>
      <c r="BP52" s="108">
        <f>AF52*$BK52*VLOOKUP($D52,'Land Price Phase Sc1&amp;2'!$B$119:$AU$165,9+BP$7-$BL$7,0)/1000000</f>
        <v>0</v>
      </c>
      <c r="BQ52" s="108">
        <f>AG52*$BK52*VLOOKUP($D52,'Land Price Phase Sc1&amp;2'!$B$119:$AU$165,9+BQ$7-$BL$7,0)/1000000</f>
        <v>0</v>
      </c>
      <c r="BR52" s="108">
        <f>AH52*$BK52*VLOOKUP($D52,'Land Price Phase Sc1&amp;2'!$B$119:$AU$165,9+BR$7-$BL$7,0)/1000000</f>
        <v>0</v>
      </c>
      <c r="BS52" s="108">
        <f>AI52*$BK52*VLOOKUP($D52,'Land Price Phase Sc1&amp;2'!$B$119:$AU$165,9+BS$7-$BL$7,0)/1000000</f>
        <v>0</v>
      </c>
      <c r="BT52" s="108">
        <f>AJ52*$BK52*VLOOKUP($D52,'Land Price Phase Sc1&amp;2'!$B$119:$AU$165,9+BT$7-$BL$7,0)/1000000</f>
        <v>0</v>
      </c>
      <c r="BU52" s="108">
        <f>AK52*$BK52*VLOOKUP($D52,'Land Price Phase Sc1&amp;2'!$B$119:$AU$165,9+BU$7-$BL$7,0)/1000000</f>
        <v>0</v>
      </c>
      <c r="BV52" s="108">
        <f>AL52*$BK52*VLOOKUP($D52,'Land Price Phase Sc1&amp;2'!$B$119:$AU$165,9+BV$7-$BL$7,0)/1000000</f>
        <v>0</v>
      </c>
      <c r="BW52" s="108">
        <f>AM52*$BK52*VLOOKUP($D52,'Land Price Phase Sc1&amp;2'!$B$119:$AU$165,9+BW$7-$BL$7,0)/1000000</f>
        <v>0</v>
      </c>
      <c r="BX52" s="108">
        <f>AN52*$BK52*VLOOKUP($D52,'Land Price Phase Sc1&amp;2'!$B$119:$AU$165,9+BX$7-$BL$7,0)/1000000</f>
        <v>0</v>
      </c>
      <c r="BY52" s="108">
        <f>AO52*$BK52*VLOOKUP($D52,'Land Price Phase Sc1&amp;2'!$B$119:$AU$165,9+BY$7-$BL$7,0)/1000000</f>
        <v>0</v>
      </c>
      <c r="BZ52" s="108">
        <f>AP52*$BK52*VLOOKUP($D52,'Land Price Phase Sc1&amp;2'!$B$119:$AU$165,9+BZ$7-$BL$7,0)/1000000</f>
        <v>0</v>
      </c>
      <c r="CA52" s="108">
        <f>AQ52*$BK52*VLOOKUP($D52,'Land Price Phase Sc1&amp;2'!$B$119:$AU$165,9+CA$7-$BL$7,0)/1000000</f>
        <v>0</v>
      </c>
      <c r="CB52" s="108">
        <f>AR52*$BK52*VLOOKUP($D52,'Land Price Phase Sc1&amp;2'!$B$119:$AU$165,9+CB$7-$BL$7,0)/1000000</f>
        <v>0</v>
      </c>
      <c r="CC52" s="108">
        <f>AS52*$BK52*VLOOKUP($D52,'Land Price Phase Sc1&amp;2'!$B$119:$AU$165,9+CC$7-$BL$7,0)/1000000</f>
        <v>0</v>
      </c>
      <c r="CD52" s="108">
        <f>AT52*$BK52*VLOOKUP($D52,'Land Price Phase Sc1&amp;2'!$B$119:$AU$165,9+CD$7-$BL$7,0)/1000000</f>
        <v>1.2892109982177058</v>
      </c>
      <c r="CE52" s="108">
        <f>AU52*$BK52*VLOOKUP($D52,'Land Price Phase Sc1&amp;2'!$B$119:$AU$165,9+CE$7-$BL$7,0)/1000000</f>
        <v>1.3807449790911628</v>
      </c>
      <c r="CF52" s="108">
        <f>AV52*$BK52*VLOOKUP($D52,'Land Price Phase Sc1&amp;2'!$B$119:$AU$165,9+CF$7-$BL$7,0)/1000000</f>
        <v>1.4787778726066352</v>
      </c>
      <c r="CG52" s="108">
        <f>AW52*$BK52*VLOOKUP($D52,'Land Price Phase Sc1&amp;2'!$B$119:$AU$165,9+CG$7-$BL$7,0)/1000000</f>
        <v>5.9391416308563993</v>
      </c>
      <c r="CH52" s="108">
        <f>AX52*$BK52*VLOOKUP($D52,'Land Price Phase Sc1&amp;2'!$B$119:$AU$165,9+CH$7-$BL$7,0)/1000000</f>
        <v>6.3608206866472026</v>
      </c>
      <c r="CI52" s="108">
        <f>AY52*$BK52*VLOOKUP($D52,'Land Price Phase Sc1&amp;2'!$B$119:$AU$165,9+CI$7-$BL$7,0)/1000000</f>
        <v>6.8124389553991547</v>
      </c>
      <c r="CJ52" s="108">
        <f>AZ52*$BK52*VLOOKUP($D52,'Land Price Phase Sc1&amp;2'!$B$119:$AU$165,9+CJ$7-$BL$7,0)/1000000</f>
        <v>7.2961221212324938</v>
      </c>
      <c r="CK52" s="108">
        <f>BA52*$BK52*VLOOKUP($D52,'Land Price Phase Sc1&amp;2'!$B$119:$AU$165,9+CK$7-$BL$7,0)/1000000</f>
        <v>6.147128809580801</v>
      </c>
      <c r="CL52" s="108">
        <f>BB52*$BK52*VLOOKUP($D52,'Land Price Phase Sc1&amp;2'!$B$119:$AU$165,9+CL$7-$BL$7,0)/1000000</f>
        <v>6.583574955061037</v>
      </c>
      <c r="CM52" s="108">
        <f>BC52*$BK52*VLOOKUP($D52,'Land Price Phase Sc1&amp;2'!$B$119:$AU$165,9+CM$7-$BL$7,0)/1000000</f>
        <v>7.0510087768703702</v>
      </c>
      <c r="CN52" s="108">
        <f>BD52*$BK52*VLOOKUP($D52,'Land Price Phase Sc1&amp;2'!$B$119:$AU$165,9+CN$7-$BL$7,0)/1000000</f>
        <v>7.5516304000281664</v>
      </c>
      <c r="CO52" s="108">
        <f>BE52*$BK52*VLOOKUP($D52,'Land Price Phase Sc1&amp;2'!$B$119:$AU$165,9+CO$7-$BL$7,0)/1000000</f>
        <v>11.332053374523623</v>
      </c>
      <c r="CP52" s="108">
        <f>BF52*$BK52*VLOOKUP($D52,'Land Price Phase Sc1&amp;2'!$B$119:$AU$165,9+CP$7-$BL$7,0)/1000000</f>
        <v>12.136629164114797</v>
      </c>
      <c r="CQ52" s="108">
        <f>BG52*$BK52*VLOOKUP($D52,'Land Price Phase Sc1&amp;2'!$B$119:$AU$165,9+CQ$7-$BL$7,0)/1000000</f>
        <v>12.998329834766949</v>
      </c>
      <c r="CR52" s="108">
        <f t="shared" si="75"/>
        <v>94.357612558996493</v>
      </c>
      <c r="CS52" s="19"/>
      <c r="CT52" s="19"/>
      <c r="CU52" s="19"/>
      <c r="CV52" s="19"/>
      <c r="CW52" s="18"/>
      <c r="CX52" s="18"/>
      <c r="CY52" s="18"/>
      <c r="CZ52" s="18"/>
      <c r="DA52" s="20"/>
      <c r="DB52" s="20"/>
      <c r="DC52" s="20"/>
      <c r="DK52" s="10"/>
      <c r="DL52" s="10"/>
      <c r="DM52" s="10"/>
      <c r="DN52" s="10"/>
      <c r="DO52" s="10"/>
      <c r="DP52" s="10"/>
      <c r="DQ52" s="10"/>
      <c r="DR52" s="10"/>
      <c r="DS52" s="10"/>
      <c r="DT52" s="10"/>
      <c r="EB52" s="84"/>
      <c r="EC52" s="84"/>
    </row>
    <row r="53" spans="1:133" x14ac:dyDescent="0.3">
      <c r="A53" s="104" t="s">
        <v>28</v>
      </c>
      <c r="B53" s="104" t="str">
        <f t="shared" si="110"/>
        <v>Whenuapai</v>
      </c>
      <c r="C53" s="104"/>
      <c r="D53" s="104" t="str">
        <f>'Land Price Phase Sc1&amp;2'!B10</f>
        <v>Whenuapai East/South</v>
      </c>
      <c r="E53" s="104"/>
      <c r="F53" s="105">
        <v>4</v>
      </c>
      <c r="G53" s="105"/>
      <c r="H53" s="105"/>
      <c r="I53" s="105"/>
      <c r="J53" s="105">
        <f t="shared" si="98"/>
        <v>4</v>
      </c>
      <c r="K53" s="105"/>
      <c r="L53" s="105"/>
      <c r="M53" s="105"/>
      <c r="N53" s="105"/>
      <c r="O53" s="104">
        <f>VLOOKUP($D53,'Land Price Phase Sc1&amp;2'!$B$4:$F$50,3,0)</f>
        <v>2031</v>
      </c>
      <c r="P53" s="104">
        <f>VLOOKUP($D53,'Land Price Phase Sc1&amp;2'!$B$4:$F$50,4,0)</f>
        <v>2035</v>
      </c>
      <c r="Q53" s="104">
        <f>VLOOKUP($D53,'Land Price Phase Sc1&amp;2'!$B$4:$F$50,5,0)</f>
        <v>2039</v>
      </c>
      <c r="R53" s="106">
        <f t="shared" ref="R53:R55" si="115">SUM(AB53:BG53)</f>
        <v>0.99999999999999989</v>
      </c>
      <c r="S53" s="104"/>
      <c r="T53" s="107">
        <f>'Park spec inputs'!H$22</f>
        <v>0.2</v>
      </c>
      <c r="U53" s="107">
        <f>'Park spec inputs'!I$22</f>
        <v>0.3</v>
      </c>
      <c r="V53" s="107">
        <f>'Park spec inputs'!J$22</f>
        <v>0.5</v>
      </c>
      <c r="W53" s="107">
        <f t="shared" si="7"/>
        <v>0.711860292938581</v>
      </c>
      <c r="X53" s="107">
        <f t="shared" si="42"/>
        <v>10.538842255767012</v>
      </c>
      <c r="Y53" s="107">
        <f t="shared" si="9"/>
        <v>28.271393808318997</v>
      </c>
      <c r="Z53" s="104">
        <v>31</v>
      </c>
      <c r="AA53" s="108">
        <f t="shared" si="16"/>
        <v>2.0135423831993742</v>
      </c>
      <c r="AB53" s="104"/>
      <c r="AC53" s="104"/>
      <c r="AD53" s="104"/>
      <c r="AE53" s="104"/>
      <c r="AF53" s="104"/>
      <c r="AG53" s="104"/>
      <c r="AH53" s="111">
        <v>0.05</v>
      </c>
      <c r="AI53" s="111">
        <v>0.05</v>
      </c>
      <c r="AJ53" s="111">
        <v>0.05</v>
      </c>
      <c r="AK53" s="111">
        <v>0.05</v>
      </c>
      <c r="AL53" s="111">
        <f>$U53/4</f>
        <v>7.4999999999999997E-2</v>
      </c>
      <c r="AM53" s="111">
        <f>AL53</f>
        <v>7.4999999999999997E-2</v>
      </c>
      <c r="AN53" s="111">
        <f>AM53</f>
        <v>7.4999999999999997E-2</v>
      </c>
      <c r="AO53" s="111">
        <f>AN53</f>
        <v>7.4999999999999997E-2</v>
      </c>
      <c r="AP53" s="111">
        <f>$V53/3</f>
        <v>0.16666666666666666</v>
      </c>
      <c r="AQ53" s="111">
        <f>AP53</f>
        <v>0.16666666666666666</v>
      </c>
      <c r="AR53" s="111">
        <f>AQ53</f>
        <v>0.16666666666666666</v>
      </c>
      <c r="AS53" s="104"/>
      <c r="AT53" s="104"/>
      <c r="AU53" s="104"/>
      <c r="AV53" s="104"/>
      <c r="AW53" s="104"/>
      <c r="AX53" s="104"/>
      <c r="AY53" s="104"/>
      <c r="AZ53" s="104"/>
      <c r="BA53" s="104"/>
      <c r="BB53" s="104"/>
      <c r="BC53" s="104"/>
      <c r="BD53" s="104"/>
      <c r="BE53" s="104"/>
      <c r="BF53" s="104"/>
      <c r="BG53" s="104"/>
      <c r="BH53" s="109">
        <f t="shared" si="10"/>
        <v>0.2</v>
      </c>
      <c r="BI53" s="109">
        <f t="shared" si="11"/>
        <v>0.79999999999999993</v>
      </c>
      <c r="BJ53" s="109"/>
      <c r="BK53" s="104">
        <f t="shared" ref="BK53:BK55" si="116">SUMPRODUCT(F53:I53,$F$5:$I$5)</f>
        <v>16000</v>
      </c>
      <c r="BL53" s="108">
        <f>AB53*$BK53*VLOOKUP($D53,'Land Price Phase Sc1&amp;2'!$B$119:$AU$165,9+BL$7-$BL$7,0)/1000000</f>
        <v>0</v>
      </c>
      <c r="BM53" s="108">
        <f>AC53*$BK53*VLOOKUP($D53,'Land Price Phase Sc1&amp;2'!$B$119:$AU$165,9+BM$7-$BL$7,0)/1000000</f>
        <v>0</v>
      </c>
      <c r="BN53" s="108">
        <f>AD53*$BK53*VLOOKUP($D53,'Land Price Phase Sc1&amp;2'!$B$119:$AU$165,9+BN$7-$BL$7,0)/1000000</f>
        <v>0</v>
      </c>
      <c r="BO53" s="108">
        <f>AE53*$BK53*VLOOKUP($D53,'Land Price Phase Sc1&amp;2'!$B$119:$AU$165,9+BO$7-$BL$7,0)/1000000</f>
        <v>0</v>
      </c>
      <c r="BP53" s="108">
        <f>AF53*$BK53*VLOOKUP($D53,'Land Price Phase Sc1&amp;2'!$B$119:$AU$165,9+BP$7-$BL$7,0)/1000000</f>
        <v>0</v>
      </c>
      <c r="BQ53" s="108">
        <f>AG53*$BK53*VLOOKUP($D53,'Land Price Phase Sc1&amp;2'!$B$119:$AU$165,9+BQ$7-$BL$7,0)/1000000</f>
        <v>0</v>
      </c>
      <c r="BR53" s="108">
        <f>AH53*$BK53*VLOOKUP($D53,'Land Price Phase Sc1&amp;2'!$B$119:$AU$165,9+BR$7-$BL$7,0)/1000000</f>
        <v>0.45283536739539848</v>
      </c>
      <c r="BS53" s="108">
        <f>AI53*$BK53*VLOOKUP($D53,'Land Price Phase Sc1&amp;2'!$B$119:$AU$165,9+BS$7-$BL$7,0)/1000000</f>
        <v>0.48498667848047178</v>
      </c>
      <c r="BT53" s="108">
        <f>AJ53*$BK53*VLOOKUP($D53,'Land Price Phase Sc1&amp;2'!$B$119:$AU$165,9+BT$7-$BL$7,0)/1000000</f>
        <v>0.51942073265258526</v>
      </c>
      <c r="BU53" s="108">
        <f>AK53*$BK53*VLOOKUP($D53,'Land Price Phase Sc1&amp;2'!$B$119:$AU$165,9+BU$7-$BL$7,0)/1000000</f>
        <v>0.55629960467091877</v>
      </c>
      <c r="BV53" s="108">
        <f>AL53*$BK53*VLOOKUP($D53,'Land Price Phase Sc1&amp;2'!$B$119:$AU$165,9+BV$7-$BL$7,0)/1000000</f>
        <v>1.4060806287820276</v>
      </c>
      <c r="BW53" s="108">
        <f>AM53*$BK53*VLOOKUP($D53,'Land Price Phase Sc1&amp;2'!$B$119:$AU$165,9+BW$7-$BL$7,0)/1000000</f>
        <v>1.5059123534255514</v>
      </c>
      <c r="BX53" s="108">
        <f>AN53*$BK53*VLOOKUP($D53,'Land Price Phase Sc1&amp;2'!$B$119:$AU$165,9+BX$7-$BL$7,0)/1000000</f>
        <v>1.6128321305187654</v>
      </c>
      <c r="BY53" s="108">
        <f>AO53*$BK53*VLOOKUP($D53,'Land Price Phase Sc1&amp;2'!$B$119:$AU$165,9+BY$7-$BL$7,0)/1000000</f>
        <v>1.7273432117855976</v>
      </c>
      <c r="BZ53" s="108">
        <f>AP53*$BK53*VLOOKUP($D53,'Land Price Phase Sc1&amp;2'!$B$119:$AU$165,9+BZ$7-$BL$7,0)/1000000</f>
        <v>10.800286624198423</v>
      </c>
      <c r="CA53" s="108">
        <f>AQ53*$BK53*VLOOKUP($D53,'Land Price Phase Sc1&amp;2'!$B$119:$AU$165,9+CA$7-$BL$7,0)/1000000</f>
        <v>11.567106974516507</v>
      </c>
      <c r="CB53" s="108">
        <f>AR53*$BK53*VLOOKUP($D53,'Land Price Phase Sc1&amp;2'!$B$119:$AU$165,9+CB$7-$BL$7,0)/1000000</f>
        <v>12.388371569707179</v>
      </c>
      <c r="CC53" s="108">
        <f>AS53*$BK53*VLOOKUP($D53,'Land Price Phase Sc1&amp;2'!$B$119:$AU$165,9+CC$7-$BL$7,0)/1000000</f>
        <v>0</v>
      </c>
      <c r="CD53" s="108">
        <f>AT53*$BK53*VLOOKUP($D53,'Land Price Phase Sc1&amp;2'!$B$119:$AU$165,9+CD$7-$BL$7,0)/1000000</f>
        <v>0</v>
      </c>
      <c r="CE53" s="108">
        <f>AU53*$BK53*VLOOKUP($D53,'Land Price Phase Sc1&amp;2'!$B$119:$AU$165,9+CE$7-$BL$7,0)/1000000</f>
        <v>0</v>
      </c>
      <c r="CF53" s="108">
        <f>AV53*$BK53*VLOOKUP($D53,'Land Price Phase Sc1&amp;2'!$B$119:$AU$165,9+CF$7-$BL$7,0)/1000000</f>
        <v>0</v>
      </c>
      <c r="CG53" s="108">
        <f>AW53*$BK53*VLOOKUP($D53,'Land Price Phase Sc1&amp;2'!$B$119:$AU$165,9+CG$7-$BL$7,0)/1000000</f>
        <v>0</v>
      </c>
      <c r="CH53" s="108">
        <f>AX53*$BK53*VLOOKUP($D53,'Land Price Phase Sc1&amp;2'!$B$119:$AU$165,9+CH$7-$BL$7,0)/1000000</f>
        <v>0</v>
      </c>
      <c r="CI53" s="108">
        <f>AY53*$BK53*VLOOKUP($D53,'Land Price Phase Sc1&amp;2'!$B$119:$AU$165,9+CI$7-$BL$7,0)/1000000</f>
        <v>0</v>
      </c>
      <c r="CJ53" s="108">
        <f>AZ53*$BK53*VLOOKUP($D53,'Land Price Phase Sc1&amp;2'!$B$119:$AU$165,9+CJ$7-$BL$7,0)/1000000</f>
        <v>0</v>
      </c>
      <c r="CK53" s="108">
        <f>BA53*$BK53*VLOOKUP($D53,'Land Price Phase Sc1&amp;2'!$B$119:$AU$165,9+CK$7-$BL$7,0)/1000000</f>
        <v>0</v>
      </c>
      <c r="CL53" s="108">
        <f>BB53*$BK53*VLOOKUP($D53,'Land Price Phase Sc1&amp;2'!$B$119:$AU$165,9+CL$7-$BL$7,0)/1000000</f>
        <v>0</v>
      </c>
      <c r="CM53" s="108">
        <f>BC53*$BK53*VLOOKUP($D53,'Land Price Phase Sc1&amp;2'!$B$119:$AU$165,9+CM$7-$BL$7,0)/1000000</f>
        <v>0</v>
      </c>
      <c r="CN53" s="108">
        <f>BD53*$BK53*VLOOKUP($D53,'Land Price Phase Sc1&amp;2'!$B$119:$AU$165,9+CN$7-$BL$7,0)/1000000</f>
        <v>0</v>
      </c>
      <c r="CO53" s="108">
        <f>BE53*$BK53*VLOOKUP($D53,'Land Price Phase Sc1&amp;2'!$B$119:$AU$165,9+CO$7-$BL$7,0)/1000000</f>
        <v>0</v>
      </c>
      <c r="CP53" s="108">
        <f>BF53*$BK53*VLOOKUP($D53,'Land Price Phase Sc1&amp;2'!$B$119:$AU$165,9+CP$7-$BL$7,0)/1000000</f>
        <v>0</v>
      </c>
      <c r="CQ53" s="108">
        <f>BG53*$BK53*VLOOKUP($D53,'Land Price Phase Sc1&amp;2'!$B$119:$AU$165,9+CQ$7-$BL$7,0)/1000000</f>
        <v>0</v>
      </c>
      <c r="CR53" s="108">
        <f t="shared" si="75"/>
        <v>43.021475876133422</v>
      </c>
      <c r="CS53" s="19"/>
      <c r="CT53" s="19"/>
      <c r="CU53" s="19"/>
      <c r="CV53" s="19"/>
      <c r="CW53" s="18"/>
      <c r="CX53" s="18"/>
      <c r="CY53" s="18"/>
      <c r="CZ53" s="18"/>
      <c r="DA53" s="20"/>
      <c r="DB53" s="20"/>
      <c r="DC53" s="20"/>
      <c r="DK53" s="10"/>
      <c r="DL53" s="10"/>
      <c r="DM53" s="10"/>
      <c r="DN53" s="10"/>
      <c r="DO53" s="10"/>
      <c r="DP53" s="10"/>
      <c r="DQ53" s="10"/>
      <c r="DR53" s="10"/>
      <c r="DS53" s="10"/>
      <c r="DT53" s="10"/>
      <c r="EB53" s="84"/>
      <c r="EC53" s="84"/>
    </row>
    <row r="54" spans="1:133" x14ac:dyDescent="0.3">
      <c r="A54" s="104" t="s">
        <v>28</v>
      </c>
      <c r="B54" s="104" t="str">
        <f t="shared" si="110"/>
        <v>Whenuapai</v>
      </c>
      <c r="C54" s="104"/>
      <c r="D54" s="104" t="str">
        <f>D53</f>
        <v>Whenuapai East/South</v>
      </c>
      <c r="E54" s="104" t="s">
        <v>451</v>
      </c>
      <c r="F54" s="105"/>
      <c r="G54" s="105"/>
      <c r="H54" s="105"/>
      <c r="I54" s="105"/>
      <c r="J54" s="105"/>
      <c r="K54" s="105"/>
      <c r="L54" s="105"/>
      <c r="M54" s="105"/>
      <c r="N54" s="105"/>
      <c r="O54" s="104"/>
      <c r="P54" s="104"/>
      <c r="Q54" s="104"/>
      <c r="R54" s="106"/>
      <c r="S54" s="107"/>
      <c r="T54" s="107"/>
      <c r="U54" s="107"/>
      <c r="V54" s="107"/>
      <c r="W54" s="107"/>
      <c r="X54" s="107"/>
      <c r="Y54" s="107"/>
      <c r="Z54" s="104"/>
      <c r="AA54" s="108"/>
      <c r="AB54" s="104"/>
      <c r="AC54" s="104"/>
      <c r="AD54" s="104"/>
      <c r="AE54" s="111"/>
      <c r="AF54" s="111"/>
      <c r="AG54" s="111"/>
      <c r="AH54" s="111"/>
      <c r="AI54" s="111"/>
      <c r="AJ54" s="111"/>
      <c r="AK54" s="111"/>
      <c r="AL54" s="111"/>
      <c r="AM54" s="111"/>
      <c r="AN54" s="111"/>
      <c r="AO54" s="111"/>
      <c r="AP54" s="111"/>
      <c r="AQ54" s="111"/>
      <c r="AR54" s="111"/>
      <c r="AS54" s="104"/>
      <c r="AT54" s="104"/>
      <c r="AU54" s="104"/>
      <c r="AV54" s="104"/>
      <c r="AW54" s="104"/>
      <c r="AX54" s="104"/>
      <c r="AY54" s="104"/>
      <c r="AZ54" s="104"/>
      <c r="BA54" s="104"/>
      <c r="BB54" s="104"/>
      <c r="BC54" s="104"/>
      <c r="BD54" s="104"/>
      <c r="BE54" s="104"/>
      <c r="BF54" s="104"/>
      <c r="BG54" s="104"/>
      <c r="BH54" s="109">
        <f t="shared" si="10"/>
        <v>0</v>
      </c>
      <c r="BI54" s="109">
        <f t="shared" si="11"/>
        <v>0</v>
      </c>
      <c r="BJ54" s="109"/>
      <c r="BK54" s="104"/>
      <c r="BL54" s="108"/>
      <c r="BM54" s="108"/>
      <c r="BN54" s="108"/>
      <c r="BO54" s="108"/>
      <c r="BP54" s="108"/>
      <c r="BQ54" s="108"/>
      <c r="BR54" s="108"/>
      <c r="BS54" s="108"/>
      <c r="BT54" s="108"/>
      <c r="BU54" s="108"/>
      <c r="BV54" s="108"/>
      <c r="BW54" s="108"/>
      <c r="BX54" s="108"/>
      <c r="BY54" s="108"/>
      <c r="BZ54" s="108"/>
      <c r="CA54" s="108"/>
      <c r="CB54" s="108"/>
      <c r="CC54" s="108"/>
      <c r="CD54" s="108"/>
      <c r="CE54" s="108"/>
      <c r="CF54" s="108"/>
      <c r="CG54" s="108"/>
      <c r="CH54" s="108"/>
      <c r="CI54" s="108"/>
      <c r="CJ54" s="108"/>
      <c r="CK54" s="108"/>
      <c r="CL54" s="108"/>
      <c r="CM54" s="108"/>
      <c r="CN54" s="108"/>
      <c r="CO54" s="108"/>
      <c r="CP54" s="108"/>
      <c r="CQ54" s="108"/>
      <c r="CR54" s="108"/>
      <c r="CS54" s="19"/>
      <c r="CT54" s="19"/>
      <c r="CU54" s="19"/>
      <c r="CV54" s="19"/>
      <c r="CW54" s="18"/>
      <c r="CX54" s="18"/>
      <c r="CY54" s="18"/>
      <c r="CZ54" s="18"/>
      <c r="DA54" s="20"/>
      <c r="DB54" s="20"/>
      <c r="DC54" s="20"/>
      <c r="DK54" s="10"/>
      <c r="DL54" s="10"/>
      <c r="DM54" s="10"/>
      <c r="DN54" s="10"/>
      <c r="DO54" s="10"/>
      <c r="DP54" s="10"/>
      <c r="DQ54" s="10"/>
      <c r="DR54" s="10"/>
      <c r="DS54" s="10"/>
      <c r="DT54" s="10"/>
      <c r="EB54" s="84"/>
      <c r="EC54" s="84"/>
    </row>
    <row r="55" spans="1:133" x14ac:dyDescent="0.3">
      <c r="A55" s="104" t="s">
        <v>28</v>
      </c>
      <c r="B55" s="104" t="s">
        <v>28</v>
      </c>
      <c r="C55" s="104"/>
      <c r="D55" s="104" t="s">
        <v>255</v>
      </c>
      <c r="E55" s="104" t="s">
        <v>256</v>
      </c>
      <c r="F55" s="105"/>
      <c r="G55" s="105"/>
      <c r="H55" s="105"/>
      <c r="I55" s="105">
        <v>1</v>
      </c>
      <c r="J55" s="105"/>
      <c r="K55" s="105"/>
      <c r="L55" s="105"/>
      <c r="M55" s="105">
        <f t="shared" si="98"/>
        <v>1</v>
      </c>
      <c r="N55" s="105"/>
      <c r="O55" s="104"/>
      <c r="P55" s="104"/>
      <c r="Q55" s="104">
        <v>2023</v>
      </c>
      <c r="R55" s="106">
        <f t="shared" si="115"/>
        <v>1</v>
      </c>
      <c r="S55" s="104"/>
      <c r="T55" s="104"/>
      <c r="U55" s="104"/>
      <c r="V55" s="104"/>
      <c r="W55" s="107">
        <f>VLOOKUP($B55,$B$317:$M$346,12,0)</f>
        <v>0.711860292938581</v>
      </c>
      <c r="X55" s="107">
        <f t="shared" ref="X55:X100" si="117">VLOOKUP($B55,$B$317:$M$346,11,0)</f>
        <v>10.538842255767012</v>
      </c>
      <c r="Y55" s="107">
        <f t="shared" ref="Y55:Y100" si="118">VLOOKUP($B55,$B$353:$V$381,21,0)</f>
        <v>28.271393808318997</v>
      </c>
      <c r="Z55" s="104">
        <v>25</v>
      </c>
      <c r="AA55" s="108">
        <f t="shared" si="16"/>
        <v>2.0306353336000003</v>
      </c>
      <c r="AB55" s="108">
        <v>0.2</v>
      </c>
      <c r="AC55" s="108">
        <v>0.2</v>
      </c>
      <c r="AD55" s="108">
        <v>0.2</v>
      </c>
      <c r="AE55" s="108">
        <v>0.2</v>
      </c>
      <c r="AF55" s="108">
        <v>0.2</v>
      </c>
      <c r="AG55" s="104"/>
      <c r="AH55" s="104"/>
      <c r="AI55" s="104"/>
      <c r="AJ55" s="104"/>
      <c r="AK55" s="104"/>
      <c r="AL55" s="104"/>
      <c r="AM55" s="104"/>
      <c r="AN55" s="104"/>
      <c r="AO55" s="104"/>
      <c r="AP55" s="104"/>
      <c r="AQ55" s="104"/>
      <c r="AR55" s="104"/>
      <c r="AS55" s="104"/>
      <c r="AT55" s="104"/>
      <c r="AU55" s="104"/>
      <c r="AV55" s="104"/>
      <c r="AW55" s="104"/>
      <c r="AX55" s="104"/>
      <c r="AY55" s="104"/>
      <c r="AZ55" s="104"/>
      <c r="BA55" s="104"/>
      <c r="BB55" s="104"/>
      <c r="BC55" s="104"/>
      <c r="BD55" s="104"/>
      <c r="BE55" s="104"/>
      <c r="BF55" s="104"/>
      <c r="BG55" s="104"/>
      <c r="BH55" s="109">
        <f t="shared" si="10"/>
        <v>1</v>
      </c>
      <c r="BI55" s="109">
        <f t="shared" si="11"/>
        <v>0</v>
      </c>
      <c r="BJ55" s="109"/>
      <c r="BK55" s="104">
        <f t="shared" si="116"/>
        <v>2000</v>
      </c>
      <c r="BL55" s="108">
        <f>AB55*$BK55*'Cost inputs'!$E$26*'Land Price Phase Sc1&amp;2'!J$114/1000000</f>
        <v>0.63736000000000004</v>
      </c>
      <c r="BM55" s="108">
        <f>AC55*$BK55*'Cost inputs'!$E$26*'Land Price Phase Sc1&amp;2'!K$114/1000000</f>
        <v>0.68197520000000011</v>
      </c>
      <c r="BN55" s="108">
        <f>AD55*$BK55*'Cost inputs'!$E$26*'Land Price Phase Sc1&amp;2'!L$114/1000000</f>
        <v>0.7113001336</v>
      </c>
      <c r="BO55" s="108"/>
      <c r="BP55" s="108"/>
      <c r="BQ55" s="108"/>
      <c r="BR55" s="108"/>
      <c r="BS55" s="108"/>
      <c r="BT55" s="108"/>
      <c r="BU55" s="108"/>
      <c r="BV55" s="108"/>
      <c r="BW55" s="108"/>
      <c r="BX55" s="108"/>
      <c r="BY55" s="108"/>
      <c r="BZ55" s="108"/>
      <c r="CA55" s="108"/>
      <c r="CB55" s="108"/>
      <c r="CC55" s="108"/>
      <c r="CD55" s="108"/>
      <c r="CE55" s="108"/>
      <c r="CF55" s="108"/>
      <c r="CG55" s="108"/>
      <c r="CH55" s="108"/>
      <c r="CI55" s="108"/>
      <c r="CJ55" s="108"/>
      <c r="CK55" s="108"/>
      <c r="CL55" s="108"/>
      <c r="CM55" s="108"/>
      <c r="CN55" s="108"/>
      <c r="CO55" s="108"/>
      <c r="CP55" s="108"/>
      <c r="CQ55" s="108"/>
      <c r="CR55" s="108">
        <f t="shared" si="75"/>
        <v>2.0306353336000003</v>
      </c>
      <c r="CS55" s="19"/>
      <c r="CT55" s="19"/>
      <c r="CU55" s="19"/>
      <c r="CV55" s="19"/>
      <c r="CW55" s="18"/>
      <c r="CX55" s="18"/>
      <c r="CY55" s="18"/>
      <c r="CZ55" s="18"/>
      <c r="DA55" s="20"/>
      <c r="DB55" s="20"/>
      <c r="DC55" s="20"/>
      <c r="DK55" s="10"/>
      <c r="DL55" s="10"/>
      <c r="DM55" s="10"/>
      <c r="DN55" s="10"/>
      <c r="DO55" s="10"/>
      <c r="DP55" s="10"/>
      <c r="DQ55" s="10"/>
      <c r="DR55" s="10"/>
      <c r="DS55" s="10"/>
      <c r="DT55" s="10"/>
      <c r="EB55" s="84"/>
      <c r="EC55" s="84"/>
    </row>
    <row r="56" spans="1:133" x14ac:dyDescent="0.3">
      <c r="A56" s="104" t="s">
        <v>257</v>
      </c>
      <c r="B56" s="104" t="s">
        <v>190</v>
      </c>
      <c r="C56" s="104"/>
      <c r="D56" s="142" t="s">
        <v>298</v>
      </c>
      <c r="E56" s="142" t="s">
        <v>299</v>
      </c>
      <c r="F56" s="143">
        <v>1.3</v>
      </c>
      <c r="G56" s="105"/>
      <c r="H56" s="105"/>
      <c r="I56" s="105"/>
      <c r="J56" s="143">
        <v>1.3</v>
      </c>
      <c r="K56" s="144"/>
      <c r="L56" s="144"/>
      <c r="M56" s="144"/>
      <c r="N56" s="144"/>
      <c r="O56" s="145"/>
      <c r="P56" s="145"/>
      <c r="Q56" s="145"/>
      <c r="R56" s="146">
        <f>SUM(AB56:BG56)</f>
        <v>1</v>
      </c>
      <c r="S56" s="145"/>
      <c r="T56" s="145"/>
      <c r="U56" s="145"/>
      <c r="V56" s="145"/>
      <c r="W56" s="147">
        <f>VLOOKUP($B56,$B$317:$M$346,12,0)</f>
        <v>0.711860292938581</v>
      </c>
      <c r="X56" s="147">
        <f t="shared" si="117"/>
        <v>4.3688906101673659</v>
      </c>
      <c r="Y56" s="147">
        <f t="shared" si="118"/>
        <v>6.091243395087572</v>
      </c>
      <c r="Z56" s="142">
        <v>26</v>
      </c>
      <c r="AA56" s="148">
        <f t="shared" si="16"/>
        <v>6.0555146865777782</v>
      </c>
      <c r="AB56" s="142"/>
      <c r="AC56" s="148">
        <f>1/3</f>
        <v>0.33333333333333331</v>
      </c>
      <c r="AD56" s="148">
        <f t="shared" ref="AD56:AE56" si="119">1/3</f>
        <v>0.33333333333333331</v>
      </c>
      <c r="AE56" s="148">
        <f t="shared" si="119"/>
        <v>0.33333333333333331</v>
      </c>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50">
        <f t="shared" si="10"/>
        <v>1</v>
      </c>
      <c r="BI56" s="150">
        <f t="shared" si="11"/>
        <v>0</v>
      </c>
      <c r="BJ56" s="150"/>
      <c r="BK56" s="142">
        <f>SUMPRODUCT(F56:I56,$F$5:$I$5)</f>
        <v>5200</v>
      </c>
      <c r="BL56" s="148">
        <f>3.2/3000*$BK$56/3*'Land Price Phase Sc1&amp;2'!J$114</f>
        <v>1.900657777777778</v>
      </c>
      <c r="BM56" s="148">
        <f>3.2/3000*$BK$56/3*'Land Price Phase Sc1&amp;2'!K$114</f>
        <v>2.0337038222222223</v>
      </c>
      <c r="BN56" s="148">
        <f>3.2/3000*$BK$56/3*'Land Price Phase Sc1&amp;2'!L$114</f>
        <v>2.1211530865777779</v>
      </c>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c r="CN56" s="142"/>
      <c r="CO56" s="142"/>
      <c r="CP56" s="142"/>
      <c r="CQ56" s="142"/>
      <c r="CR56" s="148">
        <f t="shared" ref="CR56:CR58" si="120">SUM(BL56:CQ56)</f>
        <v>6.0555146865777782</v>
      </c>
      <c r="CS56" s="19"/>
      <c r="CT56" s="19"/>
      <c r="CU56" s="19"/>
      <c r="CV56" s="19"/>
      <c r="CW56" s="18"/>
      <c r="CX56" s="18"/>
      <c r="CY56" s="18"/>
      <c r="CZ56" s="18"/>
      <c r="DA56" s="20"/>
      <c r="DB56" s="20"/>
      <c r="DC56" s="20"/>
      <c r="DK56" s="10"/>
      <c r="DL56" s="10"/>
      <c r="DM56" s="10"/>
      <c r="DN56" s="10"/>
      <c r="DO56" s="10"/>
      <c r="DP56" s="10"/>
      <c r="DQ56" s="10"/>
      <c r="DR56" s="10"/>
      <c r="DS56" s="10"/>
      <c r="DT56" s="10"/>
      <c r="EB56" s="84"/>
      <c r="EC56" s="84"/>
    </row>
    <row r="57" spans="1:133" x14ac:dyDescent="0.3">
      <c r="A57" s="104" t="s">
        <v>257</v>
      </c>
      <c r="B57" s="104" t="s">
        <v>192</v>
      </c>
      <c r="C57" s="115"/>
      <c r="D57" s="152" t="s">
        <v>300</v>
      </c>
      <c r="E57" s="153" t="s">
        <v>344</v>
      </c>
      <c r="F57" s="152">
        <f>3/4</f>
        <v>0.75</v>
      </c>
      <c r="G57" s="105"/>
      <c r="H57" s="105"/>
      <c r="I57" s="105"/>
      <c r="J57" s="143">
        <f>F57</f>
        <v>0.75</v>
      </c>
      <c r="K57" s="144"/>
      <c r="L57" s="144"/>
      <c r="M57" s="144"/>
      <c r="N57" s="144"/>
      <c r="O57" s="145"/>
      <c r="P57" s="145"/>
      <c r="Q57" s="145"/>
      <c r="R57" s="146">
        <f>SUM(AB57:BG57)</f>
        <v>1</v>
      </c>
      <c r="S57" s="145"/>
      <c r="T57" s="145"/>
      <c r="U57" s="145"/>
      <c r="V57" s="145"/>
      <c r="W57" s="147">
        <f>VLOOKUP($B57,$B$317:$M$346,12,0)</f>
        <v>0.71186029293858111</v>
      </c>
      <c r="X57" s="147">
        <f t="shared" si="117"/>
        <v>2.5062523493666689</v>
      </c>
      <c r="Y57" s="147">
        <f t="shared" si="118"/>
        <v>3.5292948738431273</v>
      </c>
      <c r="Z57" s="142">
        <v>26</v>
      </c>
      <c r="AA57" s="148">
        <f t="shared" si="16"/>
        <v>3.4935661653333332</v>
      </c>
      <c r="AB57" s="142"/>
      <c r="AC57" s="148">
        <f>1/3</f>
        <v>0.33333333333333331</v>
      </c>
      <c r="AD57" s="148">
        <f t="shared" ref="AD57:AE57" si="121">1/3</f>
        <v>0.33333333333333331</v>
      </c>
      <c r="AE57" s="148">
        <f t="shared" si="121"/>
        <v>0.33333333333333331</v>
      </c>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50">
        <f t="shared" si="10"/>
        <v>1</v>
      </c>
      <c r="BI57" s="150">
        <f t="shared" si="11"/>
        <v>0</v>
      </c>
      <c r="BJ57" s="150"/>
      <c r="BK57" s="142">
        <f>F57*F5</f>
        <v>3000</v>
      </c>
      <c r="BL57" s="148">
        <f>3.2/3*'Land Price Phase Sc1&amp;2'!J$114</f>
        <v>1.0965333333333334</v>
      </c>
      <c r="BM57" s="148">
        <f>3.2/3*'Land Price Phase Sc1&amp;2'!K$114</f>
        <v>1.1732906666666667</v>
      </c>
      <c r="BN57" s="148">
        <f>3.2/3*'Land Price Phase Sc1&amp;2'!L$114</f>
        <v>1.2237421653333334</v>
      </c>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c r="CN57" s="142"/>
      <c r="CO57" s="142"/>
      <c r="CP57" s="142"/>
      <c r="CQ57" s="142"/>
      <c r="CR57" s="148">
        <f t="shared" si="120"/>
        <v>3.4935661653333332</v>
      </c>
      <c r="CS57" s="19"/>
      <c r="CT57" s="19"/>
      <c r="CU57" s="19"/>
      <c r="CV57" s="19"/>
      <c r="CW57" s="18"/>
      <c r="CX57" s="18"/>
      <c r="CY57" s="18"/>
      <c r="CZ57" s="18"/>
      <c r="DA57" s="20"/>
      <c r="DB57" s="20"/>
      <c r="DC57" s="20"/>
      <c r="DK57" s="10"/>
      <c r="DL57" s="10"/>
      <c r="DM57" s="10"/>
      <c r="DN57" s="10"/>
      <c r="DO57" s="10"/>
      <c r="DP57" s="10"/>
      <c r="DQ57" s="10"/>
      <c r="DR57" s="10"/>
      <c r="DS57" s="10"/>
      <c r="DT57" s="10"/>
      <c r="EB57" s="84"/>
      <c r="EC57" s="84"/>
    </row>
    <row r="58" spans="1:133" x14ac:dyDescent="0.3">
      <c r="A58" s="104" t="s">
        <v>456</v>
      </c>
      <c r="B58" s="104" t="s">
        <v>32</v>
      </c>
      <c r="C58" s="119"/>
      <c r="D58" s="120" t="s">
        <v>32</v>
      </c>
      <c r="E58" s="121" t="s">
        <v>457</v>
      </c>
      <c r="F58" s="120">
        <v>4</v>
      </c>
      <c r="G58" s="105"/>
      <c r="H58" s="105"/>
      <c r="I58" s="105"/>
      <c r="J58" s="105">
        <v>4</v>
      </c>
      <c r="K58" s="105"/>
      <c r="L58" s="105"/>
      <c r="M58" s="105"/>
      <c r="N58" s="105"/>
      <c r="O58" s="104"/>
      <c r="P58" s="104"/>
      <c r="Q58" s="104">
        <v>2023</v>
      </c>
      <c r="R58" s="106">
        <f>SUM(AB58:BG58)</f>
        <v>1</v>
      </c>
      <c r="S58" s="104"/>
      <c r="T58" s="104"/>
      <c r="U58" s="104"/>
      <c r="V58" s="104"/>
      <c r="W58" s="107"/>
      <c r="X58" s="107">
        <f t="shared" si="117"/>
        <v>0</v>
      </c>
      <c r="Y58" s="107">
        <f t="shared" si="118"/>
        <v>0</v>
      </c>
      <c r="Z58" s="104">
        <v>27</v>
      </c>
      <c r="AA58" s="108">
        <f t="shared" ref="AA58" si="122">SUM(BL58:BU58)</f>
        <v>0</v>
      </c>
      <c r="AB58" s="104"/>
      <c r="AC58" s="108"/>
      <c r="AD58" s="108"/>
      <c r="AE58" s="108"/>
      <c r="AF58" s="104"/>
      <c r="AG58" s="104"/>
      <c r="AH58" s="104"/>
      <c r="AI58" s="104"/>
      <c r="AJ58" s="104"/>
      <c r="AK58" s="108"/>
      <c r="AL58" s="108">
        <f>AL117</f>
        <v>0.10472734996525389</v>
      </c>
      <c r="AM58" s="108">
        <f t="shared" ref="AM58:AQ58" si="123">AM117</f>
        <v>0.10601471966704468</v>
      </c>
      <c r="AN58" s="108">
        <f t="shared" si="123"/>
        <v>0.10750477164694536</v>
      </c>
      <c r="AO58" s="108">
        <f t="shared" si="123"/>
        <v>0.10314837920794254</v>
      </c>
      <c r="AP58" s="108">
        <f t="shared" si="123"/>
        <v>4.8886873976350477E-2</v>
      </c>
      <c r="AQ58" s="108">
        <f t="shared" si="123"/>
        <v>5.2554477979523215E-2</v>
      </c>
      <c r="AR58" s="108">
        <f>(1-SUM(AL58:AQ58))/2</f>
        <v>0.23858171377846993</v>
      </c>
      <c r="AS58" s="108">
        <f>AR58</f>
        <v>0.23858171377846993</v>
      </c>
      <c r="AT58" s="104"/>
      <c r="AU58" s="104"/>
      <c r="AV58" s="104"/>
      <c r="AW58" s="104"/>
      <c r="AX58" s="104"/>
      <c r="AY58" s="104"/>
      <c r="AZ58" s="104"/>
      <c r="BA58" s="104"/>
      <c r="BB58" s="104"/>
      <c r="BC58" s="104"/>
      <c r="BD58" s="104"/>
      <c r="BE58" s="104"/>
      <c r="BF58" s="104"/>
      <c r="BG58" s="104"/>
      <c r="BH58" s="109">
        <f t="shared" si="10"/>
        <v>0</v>
      </c>
      <c r="BI58" s="109">
        <f t="shared" si="11"/>
        <v>1</v>
      </c>
      <c r="BJ58" s="109"/>
      <c r="BK58" s="104">
        <f t="shared" ref="BK58" si="124">SUMPRODUCT(F58:I58,$F$5:$I$5)</f>
        <v>16000</v>
      </c>
      <c r="BL58" s="108">
        <f>AB58*$BK58*'Cost inputs'!$E$30*'Land Price Phase Sc1&amp;2'!J$114/1000000</f>
        <v>0</v>
      </c>
      <c r="BM58" s="108">
        <f>AC58*$BK58*'Cost inputs'!$E$30*'Land Price Phase Sc1&amp;2'!K$114/1000000</f>
        <v>0</v>
      </c>
      <c r="BN58" s="108">
        <f>AD58*$BK58*'Cost inputs'!$E$30*'Land Price Phase Sc1&amp;2'!L$114/1000000</f>
        <v>0</v>
      </c>
      <c r="BO58" s="108">
        <f>AE58*$BK58*'Cost inputs'!$E$30*'Land Price Phase Sc1&amp;2'!M$114/1000000</f>
        <v>0</v>
      </c>
      <c r="BP58" s="108">
        <f>AF58*$BK58*'Cost inputs'!$E$30*'Land Price Phase Sc1&amp;2'!N$114/1000000</f>
        <v>0</v>
      </c>
      <c r="BQ58" s="108">
        <f>AG58*$BK58*'Cost inputs'!$E$30*'Land Price Phase Sc1&amp;2'!O$114/1000000</f>
        <v>0</v>
      </c>
      <c r="BR58" s="108">
        <f>AH58*$BK58*'Cost inputs'!$E$30*'Land Price Phase Sc1&amp;2'!P$114/1000000</f>
        <v>0</v>
      </c>
      <c r="BS58" s="108">
        <f>AI58*$BK58*'Cost inputs'!$E$30*'Land Price Phase Sc1&amp;2'!Q$114/1000000</f>
        <v>0</v>
      </c>
      <c r="BT58" s="108">
        <f>AJ58*$BK58*'Cost inputs'!$E$30*'Land Price Phase Sc1&amp;2'!R$114/1000000</f>
        <v>0</v>
      </c>
      <c r="BU58" s="108">
        <f>AK58*$BK58*'Cost inputs'!$E$30*'Land Price Phase Sc1&amp;2'!S$114/1000000</f>
        <v>0</v>
      </c>
      <c r="BV58" s="108">
        <f>AL58*$BK58*'Cost inputs'!$E$30*'Land Price Phase Sc1&amp;2'!T$114/1000000</f>
        <v>5.4908680643661558</v>
      </c>
      <c r="BW58" s="108">
        <f>AM58*$BK58*'Cost inputs'!$E$30*'Land Price Phase Sc1&amp;2'!U$114/1000000</f>
        <v>5.9530089352781106</v>
      </c>
      <c r="BX58" s="108">
        <f>AN58*$BK58*'Cost inputs'!$E$30*'Land Price Phase Sc1&amp;2'!V$114/1000000</f>
        <v>6.4652835554543682</v>
      </c>
      <c r="BY58" s="108">
        <f>AO58*$BK58*'Cost inputs'!$E$30*'Land Price Phase Sc1&amp;2'!W$114/1000000</f>
        <v>6.6437260303280965</v>
      </c>
      <c r="BZ58" s="108">
        <f>AP58*$BK58*'Cost inputs'!$E$30*'Land Price Phase Sc1&amp;2'!X$114/1000000</f>
        <v>3.3723376038361002</v>
      </c>
      <c r="CA58" s="108">
        <f>AQ58*$BK58*'Cost inputs'!$E$30*'Land Price Phase Sc1&amp;2'!Y$114/1000000</f>
        <v>3.8827370070401748</v>
      </c>
      <c r="CB58" s="108">
        <f>AR58*$BK58*'Cost inputs'!$E$30*'Land Price Phase Sc1&amp;2'!Z$114/1000000</f>
        <v>18.877951811773936</v>
      </c>
      <c r="CC58" s="108">
        <f>AS58*$BK58*'Cost inputs'!$E$30*'Land Price Phase Sc1&amp;2'!AA$114/1000000</f>
        <v>20.218286390409887</v>
      </c>
      <c r="CD58" s="108">
        <f>AT58*$BK58*'Cost inputs'!$E$30*'Land Price Phase Sc1&amp;2'!AB$114/1000000</f>
        <v>0</v>
      </c>
      <c r="CE58" s="108">
        <f>AU58*$BK58*'Cost inputs'!$E$30*'Land Price Phase Sc1&amp;2'!AC$114/1000000</f>
        <v>0</v>
      </c>
      <c r="CF58" s="108">
        <f>AV58*$BK58*'Cost inputs'!$E$30*'Land Price Phase Sc1&amp;2'!AD$114/1000000</f>
        <v>0</v>
      </c>
      <c r="CG58" s="108">
        <f>AW58*$BK58*'Cost inputs'!$E$30*'Land Price Phase Sc1&amp;2'!AE$114/1000000</f>
        <v>0</v>
      </c>
      <c r="CH58" s="108">
        <f>AX58*$BK58*'Cost inputs'!$E$30*'Land Price Phase Sc1&amp;2'!AF$114/1000000</f>
        <v>0</v>
      </c>
      <c r="CI58" s="108">
        <f>AY58*$BK58*'Cost inputs'!$E$30*'Land Price Phase Sc1&amp;2'!AG$114/1000000</f>
        <v>0</v>
      </c>
      <c r="CJ58" s="108">
        <f>AZ58*$BK58*'Cost inputs'!$E$30*'Land Price Phase Sc1&amp;2'!AH$114/1000000</f>
        <v>0</v>
      </c>
      <c r="CK58" s="108">
        <f>BA58*$BK58*'Cost inputs'!$E$30*'Land Price Phase Sc1&amp;2'!AI$114/1000000</f>
        <v>0</v>
      </c>
      <c r="CL58" s="108">
        <f>BB58*$BK58*'Cost inputs'!$E$30*'Land Price Phase Sc1&amp;2'!AJ$114/1000000</f>
        <v>0</v>
      </c>
      <c r="CM58" s="108">
        <f>BC58*$BK58*'Cost inputs'!$E$30*'Land Price Phase Sc1&amp;2'!AK$114/1000000</f>
        <v>0</v>
      </c>
      <c r="CN58" s="108">
        <f>BD58*$BK58*'Cost inputs'!$E$30*'Land Price Phase Sc1&amp;2'!AL$114/1000000</f>
        <v>0</v>
      </c>
      <c r="CO58" s="108">
        <f>BE58*$BK58*'Cost inputs'!$E$30*'Land Price Phase Sc1&amp;2'!AM$114/1000000</f>
        <v>0</v>
      </c>
      <c r="CP58" s="108">
        <f>BF58*$BK58*'Cost inputs'!$E$30*'Land Price Phase Sc1&amp;2'!AN$114/1000000</f>
        <v>0</v>
      </c>
      <c r="CQ58" s="108">
        <f>BG58*$BK58*'Cost inputs'!$E$30*'Land Price Phase Sc1&amp;2'!AO$114/1000000</f>
        <v>0</v>
      </c>
      <c r="CR58" s="108">
        <f t="shared" si="120"/>
        <v>70.904199398486838</v>
      </c>
      <c r="CS58" s="19"/>
      <c r="CT58" s="19"/>
      <c r="CU58" s="19"/>
      <c r="CV58" s="19"/>
      <c r="CW58" s="18"/>
      <c r="CX58" s="18"/>
      <c r="CY58" s="18"/>
      <c r="CZ58" s="18"/>
      <c r="DA58" s="20"/>
      <c r="DB58" s="20"/>
      <c r="DC58" s="20"/>
      <c r="DK58" s="10"/>
      <c r="DL58" s="10"/>
      <c r="DM58" s="10"/>
      <c r="DN58" s="10"/>
      <c r="DO58" s="10"/>
      <c r="DP58" s="10"/>
      <c r="DQ58" s="10"/>
      <c r="DR58" s="10"/>
      <c r="DS58" s="10"/>
      <c r="DT58" s="10"/>
      <c r="EB58" s="84"/>
      <c r="EC58" s="84"/>
    </row>
    <row r="59" spans="1:133" x14ac:dyDescent="0.3">
      <c r="A59" s="104" t="s">
        <v>39</v>
      </c>
      <c r="B59" s="104" t="s">
        <v>191</v>
      </c>
      <c r="C59" s="104"/>
      <c r="D59" s="104" t="s">
        <v>97</v>
      </c>
      <c r="E59" s="104"/>
      <c r="F59" s="105">
        <v>1</v>
      </c>
      <c r="G59" s="105"/>
      <c r="H59" s="105"/>
      <c r="I59" s="105"/>
      <c r="J59" s="105">
        <f t="shared" ref="J59:K62" si="125">F59</f>
        <v>1</v>
      </c>
      <c r="K59" s="105"/>
      <c r="L59" s="105"/>
      <c r="M59" s="105"/>
      <c r="N59" s="118"/>
      <c r="O59" s="104">
        <f>VLOOKUP($D59,'Land Price Phase Sc1&amp;2'!$B$4:$F$50,3,0)</f>
        <v>2021</v>
      </c>
      <c r="P59" s="104">
        <f>VLOOKUP($D59,'Land Price Phase Sc1&amp;2'!$B$4:$F$50,4,0)</f>
        <v>2025</v>
      </c>
      <c r="Q59" s="104">
        <f>VLOOKUP($D59,'Land Price Phase Sc1&amp;2'!$B$4:$F$50,5,0)</f>
        <v>2029</v>
      </c>
      <c r="R59" s="106">
        <f>SUM(AB59:BG59)</f>
        <v>1</v>
      </c>
      <c r="S59" s="104"/>
      <c r="T59" s="104"/>
      <c r="U59" s="116">
        <f>'Park spec inputs'!L$22</f>
        <v>0.37499999999999994</v>
      </c>
      <c r="V59" s="116">
        <f>'Park spec inputs'!M$22</f>
        <v>0.625</v>
      </c>
      <c r="W59" s="107">
        <f>VLOOKUP($B59,$B$317:$M$346,12,0)</f>
        <v>0.21355808788157429</v>
      </c>
      <c r="X59" s="107">
        <f t="shared" si="117"/>
        <v>1.0274457980828728</v>
      </c>
      <c r="Y59" s="107">
        <f t="shared" si="118"/>
        <v>1.6312512207156011</v>
      </c>
      <c r="Z59" s="104">
        <v>25</v>
      </c>
      <c r="AA59" s="108">
        <f t="shared" si="16"/>
        <v>1.6230384090307526</v>
      </c>
      <c r="AB59" s="109"/>
      <c r="AC59" s="109"/>
      <c r="AD59" s="109"/>
      <c r="AE59" s="109"/>
      <c r="AF59" s="109"/>
      <c r="AG59" s="109"/>
      <c r="AH59" s="109"/>
      <c r="AI59" s="109">
        <v>0.05</v>
      </c>
      <c r="AJ59" s="109">
        <v>0.05</v>
      </c>
      <c r="AK59" s="104">
        <v>0.1</v>
      </c>
      <c r="AL59" s="104">
        <v>0.25</v>
      </c>
      <c r="AM59" s="104">
        <v>0.25</v>
      </c>
      <c r="AN59" s="104">
        <v>0.3</v>
      </c>
      <c r="AO59" s="104"/>
      <c r="AP59" s="104"/>
      <c r="AQ59" s="104"/>
      <c r="AR59" s="104"/>
      <c r="AS59" s="104"/>
      <c r="AT59" s="104"/>
      <c r="AU59" s="104"/>
      <c r="AV59" s="104"/>
      <c r="AW59" s="104"/>
      <c r="AX59" s="104"/>
      <c r="AY59" s="104"/>
      <c r="AZ59" s="104"/>
      <c r="BA59" s="104"/>
      <c r="BB59" s="104"/>
      <c r="BC59" s="104"/>
      <c r="BD59" s="104"/>
      <c r="BE59" s="104"/>
      <c r="BF59" s="104"/>
      <c r="BG59" s="104"/>
      <c r="BH59" s="109">
        <f t="shared" si="10"/>
        <v>0.2</v>
      </c>
      <c r="BI59" s="109">
        <f t="shared" si="11"/>
        <v>0.8</v>
      </c>
      <c r="BJ59" s="109"/>
      <c r="BK59" s="104">
        <f>SUMPRODUCT(F59:I59,$F$5:$I$5)</f>
        <v>4000</v>
      </c>
      <c r="BL59" s="108">
        <f>AB59*$BK59*VLOOKUP($D59,'Land Price Phase Sc1&amp;2'!$B$119:$AU$165,9+BL$7-$BL$7,0)/1000000</f>
        <v>0</v>
      </c>
      <c r="BM59" s="108">
        <f>AC59*$BK59*VLOOKUP($D59,'Land Price Phase Sc1&amp;2'!$B$119:$AU$165,9+BM$7-$BL$7,0)/1000000</f>
        <v>0</v>
      </c>
      <c r="BN59" s="108">
        <f>AD59*$BK59*VLOOKUP($D59,'Land Price Phase Sc1&amp;2'!$B$119:$AU$165,9+BN$7-$BL$7,0)/1000000</f>
        <v>0</v>
      </c>
      <c r="BO59" s="108">
        <f>AE59*$BK59*VLOOKUP($D59,'Land Price Phase Sc1&amp;2'!$B$119:$AU$165,9+BO$7-$BL$7,0)/1000000</f>
        <v>0</v>
      </c>
      <c r="BP59" s="108">
        <f>AF59*$BK59*VLOOKUP($D59,'Land Price Phase Sc1&amp;2'!$B$119:$AU$165,9+BP$7-$BL$7,0)/1000000</f>
        <v>0</v>
      </c>
      <c r="BQ59" s="108">
        <f>AG59*$BK59*VLOOKUP($D59,'Land Price Phase Sc1&amp;2'!$B$119:$AU$165,9+BQ$7-$BL$7,0)/1000000</f>
        <v>0</v>
      </c>
      <c r="BR59" s="108">
        <f>AH59*$BK59*VLOOKUP($D59,'Land Price Phase Sc1&amp;2'!$B$119:$AU$165,9+BR$7-$BL$7,0)/1000000</f>
        <v>0</v>
      </c>
      <c r="BS59" s="108">
        <f>AI59*$BK59*VLOOKUP($D59,'Land Price Phase Sc1&amp;2'!$B$119:$AU$165,9+BS$7-$BL$7,0)/1000000</f>
        <v>0.37182312016836172</v>
      </c>
      <c r="BT59" s="108">
        <f>AJ59*$BK59*VLOOKUP($D59,'Land Price Phase Sc1&amp;2'!$B$119:$AU$165,9+BT$7-$BL$7,0)/1000000</f>
        <v>0.39822256170031539</v>
      </c>
      <c r="BU59" s="108">
        <f>AK59*$BK59*VLOOKUP($D59,'Land Price Phase Sc1&amp;2'!$B$119:$AU$165,9+BU$7-$BL$7,0)/1000000</f>
        <v>0.85299272716207541</v>
      </c>
      <c r="BV59" s="108">
        <f>AL59*$BK59*VLOOKUP($D59,'Land Price Phase Sc1&amp;2'!$B$119:$AU$165,9+BV$7-$BL$7,0)/1000000</f>
        <v>2.2838880269764572</v>
      </c>
      <c r="BW59" s="108">
        <f>AM59*$BK59*VLOOKUP($D59,'Land Price Phase Sc1&amp;2'!$B$119:$AU$165,9+BW$7-$BL$7,0)/1000000</f>
        <v>2.446044076891785</v>
      </c>
      <c r="BX59" s="108">
        <f>AN59*$BK59*VLOOKUP($D59,'Land Price Phase Sc1&amp;2'!$B$119:$AU$165,9+BX$7-$BL$7,0)/1000000</f>
        <v>3.1436558476213223</v>
      </c>
      <c r="BY59" s="108">
        <f>AO59*$BK59*VLOOKUP($D59,'Land Price Phase Sc1&amp;2'!$B$119:$AU$165,9+BY$7-$BL$7,0)/1000000</f>
        <v>0</v>
      </c>
      <c r="BZ59" s="108">
        <f>AP59*$BK59*VLOOKUP($D59,'Land Price Phase Sc1&amp;2'!$B$119:$AU$165,9+BZ$7-$BL$7,0)/1000000</f>
        <v>0</v>
      </c>
      <c r="CA59" s="108">
        <f>AQ59*$BK59*VLOOKUP($D59,'Land Price Phase Sc1&amp;2'!$B$119:$AU$165,9+CA$7-$BL$7,0)/1000000</f>
        <v>0</v>
      </c>
      <c r="CB59" s="108">
        <f>AR59*$BK59*VLOOKUP($D59,'Land Price Phase Sc1&amp;2'!$B$119:$AU$165,9+CB$7-$BL$7,0)/1000000</f>
        <v>0</v>
      </c>
      <c r="CC59" s="108">
        <f>AS59*$BK59*VLOOKUP($D59,'Land Price Phase Sc1&amp;2'!$B$119:$AU$165,9+CC$7-$BL$7,0)/1000000</f>
        <v>0</v>
      </c>
      <c r="CD59" s="108">
        <f>AT59*$BK59*VLOOKUP($D59,'Land Price Phase Sc1&amp;2'!$B$119:$AU$165,9+CD$7-$BL$7,0)/1000000</f>
        <v>0</v>
      </c>
      <c r="CE59" s="108">
        <f>AU59*$BK59*VLOOKUP($D59,'Land Price Phase Sc1&amp;2'!$B$119:$AU$165,9+CE$7-$BL$7,0)/1000000</f>
        <v>0</v>
      </c>
      <c r="CF59" s="108">
        <f>AV59*$BK59*VLOOKUP($D59,'Land Price Phase Sc1&amp;2'!$B$119:$AU$165,9+CF$7-$BL$7,0)/1000000</f>
        <v>0</v>
      </c>
      <c r="CG59" s="108">
        <f>AW59*$BK59*VLOOKUP($D59,'Land Price Phase Sc1&amp;2'!$B$119:$AU$165,9+CG$7-$BL$7,0)/1000000</f>
        <v>0</v>
      </c>
      <c r="CH59" s="108">
        <f>AX59*$BK59*VLOOKUP($D59,'Land Price Phase Sc1&amp;2'!$B$119:$AU$165,9+CH$7-$BL$7,0)/1000000</f>
        <v>0</v>
      </c>
      <c r="CI59" s="108">
        <f>AY59*$BK59*VLOOKUP($D59,'Land Price Phase Sc1&amp;2'!$B$119:$AU$165,9+CI$7-$BL$7,0)/1000000</f>
        <v>0</v>
      </c>
      <c r="CJ59" s="108">
        <f>AZ59*$BK59*VLOOKUP($D59,'Land Price Phase Sc1&amp;2'!$B$119:$AU$165,9+CJ$7-$BL$7,0)/1000000</f>
        <v>0</v>
      </c>
      <c r="CK59" s="108">
        <f>BA59*$BK59*VLOOKUP($D59,'Land Price Phase Sc1&amp;2'!$B$119:$AU$165,9+CK$7-$BL$7,0)/1000000</f>
        <v>0</v>
      </c>
      <c r="CL59" s="108">
        <f>BB59*$BK59*VLOOKUP($D59,'Land Price Phase Sc1&amp;2'!$B$119:$AU$165,9+CL$7-$BL$7,0)/1000000</f>
        <v>0</v>
      </c>
      <c r="CM59" s="108">
        <f>BC59*$BK59*VLOOKUP($D59,'Land Price Phase Sc1&amp;2'!$B$119:$AU$165,9+CM$7-$BL$7,0)/1000000</f>
        <v>0</v>
      </c>
      <c r="CN59" s="108">
        <f>BD59*$BK59*VLOOKUP($D59,'Land Price Phase Sc1&amp;2'!$B$119:$AU$165,9+CN$7-$BL$7,0)/1000000</f>
        <v>0</v>
      </c>
      <c r="CO59" s="108">
        <f>BE59*$BK59*VLOOKUP($D59,'Land Price Phase Sc1&amp;2'!$B$119:$AU$165,9+CO$7-$BL$7,0)/1000000</f>
        <v>0</v>
      </c>
      <c r="CP59" s="108">
        <f>BF59*$BK59*VLOOKUP($D59,'Land Price Phase Sc1&amp;2'!$B$119:$AU$165,9+CP$7-$BL$7,0)/1000000</f>
        <v>0</v>
      </c>
      <c r="CQ59" s="108">
        <f>BG59*$BK59*VLOOKUP($D59,'Land Price Phase Sc1&amp;2'!$B$119:$AU$165,9+CQ$7-$BL$7,0)/1000000</f>
        <v>0</v>
      </c>
      <c r="CR59" s="108">
        <f t="shared" ref="CR59:CR82" si="126">SUM(BL59:CQ59)</f>
        <v>9.4966263605203167</v>
      </c>
      <c r="CS59" s="19"/>
      <c r="CT59" s="19"/>
      <c r="CU59" s="19"/>
      <c r="CV59" s="19"/>
      <c r="CW59" s="18"/>
      <c r="CX59" s="18"/>
      <c r="CY59" s="18"/>
      <c r="CZ59" s="18"/>
      <c r="DA59" s="20"/>
      <c r="DB59" s="20"/>
      <c r="DC59" s="20"/>
      <c r="DK59" s="10"/>
      <c r="DL59" s="10"/>
      <c r="DM59" s="10"/>
      <c r="DN59" s="10"/>
      <c r="DO59" s="10"/>
      <c r="DP59" s="10"/>
      <c r="DQ59" s="10"/>
      <c r="DR59" s="10"/>
      <c r="DS59" s="10"/>
      <c r="DT59" s="10"/>
      <c r="EB59" s="84"/>
      <c r="EC59" s="84"/>
    </row>
    <row r="60" spans="1:133" x14ac:dyDescent="0.3">
      <c r="A60" s="104" t="s">
        <v>36</v>
      </c>
      <c r="B60" s="104" t="s">
        <v>194</v>
      </c>
      <c r="C60" s="104"/>
      <c r="D60" s="104" t="s">
        <v>194</v>
      </c>
      <c r="E60" s="104"/>
      <c r="F60" s="105">
        <v>8</v>
      </c>
      <c r="G60" s="105"/>
      <c r="H60" s="105"/>
      <c r="I60" s="105"/>
      <c r="J60" s="105">
        <f t="shared" si="125"/>
        <v>8</v>
      </c>
      <c r="K60" s="105"/>
      <c r="L60" s="105"/>
      <c r="M60" s="105"/>
      <c r="N60" s="105"/>
      <c r="O60" s="104">
        <f>O61</f>
        <v>2046</v>
      </c>
      <c r="P60" s="104">
        <f t="shared" ref="P60" si="127">P61</f>
        <v>2050</v>
      </c>
      <c r="Q60" s="104">
        <f t="shared" ref="Q60" si="128">Q61</f>
        <v>2054</v>
      </c>
      <c r="R60" s="106">
        <f t="shared" ref="R60:R67" si="129">SUM(AB60:BG60)</f>
        <v>0.99999999999999989</v>
      </c>
      <c r="S60" s="104"/>
      <c r="T60" s="107">
        <f>'Park spec inputs'!H$22</f>
        <v>0.2</v>
      </c>
      <c r="U60" s="107">
        <f>'Park spec inputs'!I$22</f>
        <v>0.3</v>
      </c>
      <c r="V60" s="107">
        <f>'Park spec inputs'!J$22</f>
        <v>0.5</v>
      </c>
      <c r="W60" s="107"/>
      <c r="X60" s="107">
        <f t="shared" si="117"/>
        <v>0</v>
      </c>
      <c r="Y60" s="107">
        <f t="shared" si="118"/>
        <v>0</v>
      </c>
      <c r="Z60" s="104" t="s">
        <v>370</v>
      </c>
      <c r="AA60" s="108">
        <f t="shared" si="16"/>
        <v>0</v>
      </c>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11">
        <f>$T60/4</f>
        <v>0.05</v>
      </c>
      <c r="AX60" s="111">
        <f>AW60</f>
        <v>0.05</v>
      </c>
      <c r="AY60" s="111">
        <f t="shared" ref="AY60" si="130">AX60</f>
        <v>0.05</v>
      </c>
      <c r="AZ60" s="111">
        <f t="shared" ref="AZ60" si="131">AY60</f>
        <v>0.05</v>
      </c>
      <c r="BA60" s="111">
        <f>$U60/4</f>
        <v>7.4999999999999997E-2</v>
      </c>
      <c r="BB60" s="111">
        <f>BA60</f>
        <v>7.4999999999999997E-2</v>
      </c>
      <c r="BC60" s="111">
        <f>BB60</f>
        <v>7.4999999999999997E-2</v>
      </c>
      <c r="BD60" s="111">
        <f>BC60</f>
        <v>7.4999999999999997E-2</v>
      </c>
      <c r="BE60" s="111">
        <f>$V60/3</f>
        <v>0.16666666666666666</v>
      </c>
      <c r="BF60" s="111">
        <f>BE60</f>
        <v>0.16666666666666666</v>
      </c>
      <c r="BG60" s="111">
        <f>BF60</f>
        <v>0.16666666666666666</v>
      </c>
      <c r="BH60" s="109">
        <f t="shared" si="10"/>
        <v>0</v>
      </c>
      <c r="BI60" s="109">
        <f t="shared" si="11"/>
        <v>0.99999999999999989</v>
      </c>
      <c r="BJ60" s="109"/>
      <c r="BK60" s="104">
        <f t="shared" ref="BK60:BK62" si="132">SUMPRODUCT(F60:I60,$F$5:$I$5)</f>
        <v>32000</v>
      </c>
      <c r="BL60" s="108">
        <f>AB60*$BK60*'Land Price Phase Sc1&amp;2'!J$145/1000000</f>
        <v>0</v>
      </c>
      <c r="BM60" s="108">
        <f>AC60*$BK60*'Land Price Phase Sc1&amp;2'!K$145/1000000</f>
        <v>0</v>
      </c>
      <c r="BN60" s="108">
        <f>AD60*$BK60*'Land Price Phase Sc1&amp;2'!L$145/1000000</f>
        <v>0</v>
      </c>
      <c r="BO60" s="108">
        <f>AE60*$BK60*'Land Price Phase Sc1&amp;2'!M$145/1000000</f>
        <v>0</v>
      </c>
      <c r="BP60" s="108">
        <f>AF60*$BK60*'Land Price Phase Sc1&amp;2'!N$145/1000000</f>
        <v>0</v>
      </c>
      <c r="BQ60" s="108">
        <f>AG60*$BK60*'Land Price Phase Sc1&amp;2'!O$145/1000000</f>
        <v>0</v>
      </c>
      <c r="BR60" s="108">
        <f>AH60*$BK60*'Land Price Phase Sc1&amp;2'!P$145/1000000</f>
        <v>0</v>
      </c>
      <c r="BS60" s="108">
        <f>AI60*$BK60*'Land Price Phase Sc1&amp;2'!Q$145/1000000</f>
        <v>0</v>
      </c>
      <c r="BT60" s="108">
        <f>AJ60*$BK60*'Land Price Phase Sc1&amp;2'!R$145/1000000</f>
        <v>0</v>
      </c>
      <c r="BU60" s="108">
        <f>AK60*$BK60*'Land Price Phase Sc1&amp;2'!S$145/1000000</f>
        <v>0</v>
      </c>
      <c r="BV60" s="108">
        <f>AL60*$BK60*'Land Price Phase Sc1&amp;2'!T$145/1000000</f>
        <v>0</v>
      </c>
      <c r="BW60" s="108">
        <f>AM60*$BK60*'Land Price Phase Sc1&amp;2'!U$145/1000000</f>
        <v>0</v>
      </c>
      <c r="BX60" s="108">
        <f>AN60*$BK60*'Land Price Phase Sc1&amp;2'!V$145/1000000</f>
        <v>0</v>
      </c>
      <c r="BY60" s="108">
        <f>AO60*$BK60*'Land Price Phase Sc1&amp;2'!W$145/1000000</f>
        <v>0</v>
      </c>
      <c r="BZ60" s="108">
        <f>AP60*$BK60*'Land Price Phase Sc1&amp;2'!X$145/1000000</f>
        <v>0</v>
      </c>
      <c r="CA60" s="108">
        <f>AQ60*$BK60*'Land Price Phase Sc1&amp;2'!Y$145/1000000</f>
        <v>0</v>
      </c>
      <c r="CB60" s="108">
        <f>AR60*$BK60*'Land Price Phase Sc1&amp;2'!Z$145/1000000</f>
        <v>0</v>
      </c>
      <c r="CC60" s="108">
        <f>AS60*$BK60*'Land Price Phase Sc1&amp;2'!AA$145/1000000</f>
        <v>0</v>
      </c>
      <c r="CD60" s="108">
        <f>AT60*$BK60*'Land Price Phase Sc1&amp;2'!AB$145/1000000</f>
        <v>0</v>
      </c>
      <c r="CE60" s="108">
        <f>AU60*$BK60*'Land Price Phase Sc1&amp;2'!AC$145/1000000</f>
        <v>0</v>
      </c>
      <c r="CF60" s="108">
        <f>AV60*$BK60*'Land Price Phase Sc1&amp;2'!AD$145/1000000</f>
        <v>0</v>
      </c>
      <c r="CG60" s="108">
        <f>AW60*$BK60*'Land Price Phase Sc1&amp;2'!AE$145/1000000</f>
        <v>1.5733702167156294</v>
      </c>
      <c r="CH60" s="108">
        <f>AX60*$BK60*'Land Price Phase Sc1&amp;2'!AF$145/1000000</f>
        <v>1.685079502102439</v>
      </c>
      <c r="CI60" s="108">
        <f>AY60*$BK60*'Land Price Phase Sc1&amp;2'!AG$145/1000000</f>
        <v>1.8047201467517118</v>
      </c>
      <c r="CJ60" s="108">
        <f>AZ60*$BK60*'Land Price Phase Sc1&amp;2'!AH$145/1000000</f>
        <v>1.9328552771710834</v>
      </c>
      <c r="CK60" s="108">
        <f>BA60*$BK60*'Land Price Phase Sc1&amp;2'!AI$145/1000000</f>
        <v>4.33424675387392</v>
      </c>
      <c r="CL60" s="108">
        <f>BB60*$BK60*'Land Price Phase Sc1&amp;2'!AJ$145/1000000</f>
        <v>4.6419782733989683</v>
      </c>
      <c r="CM60" s="108">
        <f>BC60*$BK60*'Land Price Phase Sc1&amp;2'!AK$145/1000000</f>
        <v>4.9715587308102949</v>
      </c>
      <c r="CN60" s="108">
        <f>BD60*$BK60*'Land Price Phase Sc1&amp;2'!AL$145/1000000</f>
        <v>5.3245394006978266</v>
      </c>
      <c r="CO60" s="108">
        <f>BE60*$BK60*'Land Price Phase Sc1&amp;2'!AM$145/1000000</f>
        <v>41.916412482108875</v>
      </c>
      <c r="CP60" s="108">
        <f>BF60*$BK60*'Land Price Phase Sc1&amp;2'!AN$145/1000000</f>
        <v>44.892477768338608</v>
      </c>
      <c r="CQ60" s="108">
        <f>BG60*$BK60*'Land Price Phase Sc1&amp;2'!AO$145/1000000</f>
        <v>48.079843689890644</v>
      </c>
      <c r="CR60" s="108">
        <f t="shared" si="126"/>
        <v>161.15708224186</v>
      </c>
      <c r="CS60" s="19"/>
      <c r="CT60" s="19"/>
      <c r="CU60" s="19"/>
      <c r="CV60" s="19"/>
      <c r="CW60" s="18"/>
      <c r="CX60" s="18"/>
      <c r="CY60" s="18"/>
      <c r="CZ60" s="18"/>
      <c r="DA60" s="20"/>
      <c r="DB60" s="20"/>
      <c r="DC60" s="20"/>
      <c r="DK60" s="10"/>
      <c r="DL60" s="10"/>
      <c r="DM60" s="10"/>
      <c r="DN60" s="10"/>
      <c r="DO60" s="10"/>
      <c r="DP60" s="10"/>
      <c r="DQ60" s="10"/>
      <c r="DR60" s="10"/>
      <c r="DS60" s="10"/>
      <c r="DT60" s="10"/>
      <c r="EB60" s="84"/>
      <c r="EC60" s="84"/>
    </row>
    <row r="61" spans="1:133" x14ac:dyDescent="0.3">
      <c r="A61" s="104" t="s">
        <v>36</v>
      </c>
      <c r="B61" s="104" t="s">
        <v>194</v>
      </c>
      <c r="C61" s="104"/>
      <c r="D61" s="104" t="s">
        <v>194</v>
      </c>
      <c r="E61" s="104"/>
      <c r="F61" s="105"/>
      <c r="G61" s="105">
        <v>1</v>
      </c>
      <c r="H61" s="105"/>
      <c r="I61" s="105"/>
      <c r="J61" s="105"/>
      <c r="K61" s="105">
        <f t="shared" si="125"/>
        <v>1</v>
      </c>
      <c r="L61" s="105"/>
      <c r="M61" s="105"/>
      <c r="N61" s="105"/>
      <c r="O61" s="104">
        <f>O62</f>
        <v>2046</v>
      </c>
      <c r="P61" s="104">
        <f t="shared" ref="P61:Q61" si="133">P62</f>
        <v>2050</v>
      </c>
      <c r="Q61" s="104">
        <f t="shared" si="133"/>
        <v>2054</v>
      </c>
      <c r="R61" s="106">
        <f t="shared" si="129"/>
        <v>1</v>
      </c>
      <c r="S61" s="107">
        <f>'Park spec inputs'!C$21</f>
        <v>0.15</v>
      </c>
      <c r="T61" s="107">
        <f>'Park spec inputs'!D$21</f>
        <v>0.5</v>
      </c>
      <c r="U61" s="107">
        <f>'Park spec inputs'!E$21</f>
        <v>0.25</v>
      </c>
      <c r="V61" s="107">
        <f>'Park spec inputs'!F$21</f>
        <v>0.1</v>
      </c>
      <c r="W61" s="107"/>
      <c r="X61" s="107">
        <f t="shared" si="117"/>
        <v>0</v>
      </c>
      <c r="Y61" s="107">
        <f t="shared" si="118"/>
        <v>0</v>
      </c>
      <c r="Z61" s="104" t="s">
        <v>370</v>
      </c>
      <c r="AA61" s="108">
        <f t="shared" si="16"/>
        <v>0</v>
      </c>
      <c r="AB61" s="104"/>
      <c r="AC61" s="104"/>
      <c r="AD61" s="104"/>
      <c r="AE61" s="104"/>
      <c r="AF61" s="104"/>
      <c r="AG61" s="104"/>
      <c r="AH61" s="104"/>
      <c r="AI61" s="104"/>
      <c r="AJ61" s="104"/>
      <c r="AK61" s="104"/>
      <c r="AL61" s="104"/>
      <c r="AM61" s="104"/>
      <c r="AN61" s="104"/>
      <c r="AO61" s="104"/>
      <c r="AP61" s="104"/>
      <c r="AQ61" s="104"/>
      <c r="AR61" s="104"/>
      <c r="AS61" s="104"/>
      <c r="AT61" s="111">
        <f>$S61/3</f>
        <v>4.9999999999999996E-2</v>
      </c>
      <c r="AU61" s="111">
        <f>AT61</f>
        <v>4.9999999999999996E-2</v>
      </c>
      <c r="AV61" s="111">
        <f>AU61</f>
        <v>4.9999999999999996E-2</v>
      </c>
      <c r="AW61" s="111">
        <f>$T61/4</f>
        <v>0.125</v>
      </c>
      <c r="AX61" s="111">
        <f>AW61</f>
        <v>0.125</v>
      </c>
      <c r="AY61" s="111">
        <f>AX61</f>
        <v>0.125</v>
      </c>
      <c r="AZ61" s="111">
        <f>AY61</f>
        <v>0.125</v>
      </c>
      <c r="BA61" s="111">
        <f>$U61/4</f>
        <v>6.25E-2</v>
      </c>
      <c r="BB61" s="111">
        <f t="shared" ref="BB61:BD61" si="134">BA61</f>
        <v>6.25E-2</v>
      </c>
      <c r="BC61" s="111">
        <f t="shared" si="134"/>
        <v>6.25E-2</v>
      </c>
      <c r="BD61" s="111">
        <f t="shared" si="134"/>
        <v>6.25E-2</v>
      </c>
      <c r="BE61" s="111">
        <f>$V61/3</f>
        <v>3.3333333333333333E-2</v>
      </c>
      <c r="BF61" s="111">
        <f t="shared" ref="BF61:BG61" si="135">BE61</f>
        <v>3.3333333333333333E-2</v>
      </c>
      <c r="BG61" s="111">
        <f t="shared" si="135"/>
        <v>3.3333333333333333E-2</v>
      </c>
      <c r="BH61" s="109">
        <f t="shared" si="10"/>
        <v>0</v>
      </c>
      <c r="BI61" s="109">
        <f t="shared" si="11"/>
        <v>1</v>
      </c>
      <c r="BJ61" s="109"/>
      <c r="BK61" s="104">
        <f t="shared" si="132"/>
        <v>30000</v>
      </c>
      <c r="BL61" s="108">
        <f>AB61*$BK61*'Land Price Phase Sc1&amp;2'!J$145/1000000</f>
        <v>0</v>
      </c>
      <c r="BM61" s="108">
        <f>AC61*$BK61*'Land Price Phase Sc1&amp;2'!K$145/1000000</f>
        <v>0</v>
      </c>
      <c r="BN61" s="108">
        <f>AD61*$BK61*'Land Price Phase Sc1&amp;2'!L$145/1000000</f>
        <v>0</v>
      </c>
      <c r="BO61" s="108">
        <f>AE61*$BK61*'Land Price Phase Sc1&amp;2'!M$145/1000000</f>
        <v>0</v>
      </c>
      <c r="BP61" s="108">
        <f>AF61*$BK61*'Land Price Phase Sc1&amp;2'!N$145/1000000</f>
        <v>0</v>
      </c>
      <c r="BQ61" s="108">
        <f>AG61*$BK61*'Land Price Phase Sc1&amp;2'!O$145/1000000</f>
        <v>0</v>
      </c>
      <c r="BR61" s="108">
        <f>AH61*$BK61*'Land Price Phase Sc1&amp;2'!P$145/1000000</f>
        <v>0</v>
      </c>
      <c r="BS61" s="108">
        <f>AI61*$BK61*'Land Price Phase Sc1&amp;2'!Q$145/1000000</f>
        <v>0</v>
      </c>
      <c r="BT61" s="108">
        <f>AJ61*$BK61*'Land Price Phase Sc1&amp;2'!R$145/1000000</f>
        <v>0</v>
      </c>
      <c r="BU61" s="108">
        <f>AK61*$BK61*'Land Price Phase Sc1&amp;2'!S$145/1000000</f>
        <v>0</v>
      </c>
      <c r="BV61" s="108">
        <f>AL61*$BK61*'Land Price Phase Sc1&amp;2'!T$145/1000000</f>
        <v>0</v>
      </c>
      <c r="BW61" s="108">
        <f>AM61*$BK61*'Land Price Phase Sc1&amp;2'!U$145/1000000</f>
        <v>0</v>
      </c>
      <c r="BX61" s="108">
        <f>AN61*$BK61*'Land Price Phase Sc1&amp;2'!V$145/1000000</f>
        <v>0</v>
      </c>
      <c r="BY61" s="108">
        <f>AO61*$BK61*'Land Price Phase Sc1&amp;2'!W$145/1000000</f>
        <v>0</v>
      </c>
      <c r="BZ61" s="108">
        <f>AP61*$BK61*'Land Price Phase Sc1&amp;2'!X$145/1000000</f>
        <v>0</v>
      </c>
      <c r="CA61" s="108">
        <f>AQ61*$BK61*'Land Price Phase Sc1&amp;2'!Y$145/1000000</f>
        <v>0</v>
      </c>
      <c r="CB61" s="108">
        <f>AR61*$BK61*'Land Price Phase Sc1&amp;2'!Z$145/1000000</f>
        <v>0</v>
      </c>
      <c r="CC61" s="108">
        <f>AS61*$BK61*'Land Price Phase Sc1&amp;2'!AA$145/1000000</f>
        <v>0</v>
      </c>
      <c r="CD61" s="108">
        <f>AT61*$BK61*'Land Price Phase Sc1&amp;2'!AB$145/1000000</f>
        <v>0.65037808566803657</v>
      </c>
      <c r="CE61" s="108">
        <f>AU61*$BK61*'Land Price Phase Sc1&amp;2'!AC$145/1000000</f>
        <v>0.69655492975046707</v>
      </c>
      <c r="CF61" s="108">
        <f>AV61*$BK61*'Land Price Phase Sc1&amp;2'!AD$145/1000000</f>
        <v>0.74601032976275017</v>
      </c>
      <c r="CG61" s="108">
        <f>AW61*$BK61*'Land Price Phase Sc1&amp;2'!AE$145/1000000</f>
        <v>3.6875864454272564</v>
      </c>
      <c r="CH61" s="108">
        <f>AX61*$BK61*'Land Price Phase Sc1&amp;2'!AF$145/1000000</f>
        <v>3.9494050830525915</v>
      </c>
      <c r="CI61" s="108">
        <f>AY61*$BK61*'Land Price Phase Sc1&amp;2'!AG$145/1000000</f>
        <v>4.2298128439493246</v>
      </c>
      <c r="CJ61" s="108">
        <f>AZ61*$BK61*'Land Price Phase Sc1&amp;2'!AH$145/1000000</f>
        <v>4.5301295558697268</v>
      </c>
      <c r="CK61" s="108">
        <f>BA61*$BK61*'Land Price Phase Sc1&amp;2'!AI$145/1000000</f>
        <v>3.3861302764640002</v>
      </c>
      <c r="CL61" s="108">
        <f>BB61*$BK61*'Land Price Phase Sc1&amp;2'!AJ$145/1000000</f>
        <v>3.626545526092944</v>
      </c>
      <c r="CM61" s="108">
        <f>BC61*$BK61*'Land Price Phase Sc1&amp;2'!AK$145/1000000</f>
        <v>3.8840302584455428</v>
      </c>
      <c r="CN61" s="108">
        <f>BD61*$BK61*'Land Price Phase Sc1&amp;2'!AL$145/1000000</f>
        <v>4.1597964067951763</v>
      </c>
      <c r="CO61" s="108">
        <f>BE61*$BK61*'Land Price Phase Sc1&amp;2'!AM$145/1000000</f>
        <v>7.8593273403954154</v>
      </c>
      <c r="CP61" s="108">
        <f>BF61*$BK61*'Land Price Phase Sc1&amp;2'!AN$145/1000000</f>
        <v>8.4173395815634873</v>
      </c>
      <c r="CQ61" s="108">
        <f>BG61*$BK61*'Land Price Phase Sc1&amp;2'!AO$145/1000000</f>
        <v>9.0149706918544954</v>
      </c>
      <c r="CR61" s="108">
        <f t="shared" si="126"/>
        <v>58.838017355091218</v>
      </c>
      <c r="CS61" s="19"/>
      <c r="CT61" s="19"/>
      <c r="CU61" s="19"/>
      <c r="CV61" s="19"/>
      <c r="CW61" s="18"/>
      <c r="CX61" s="18"/>
      <c r="CY61" s="18"/>
      <c r="CZ61" s="18"/>
      <c r="DA61" s="20"/>
      <c r="DB61" s="20"/>
      <c r="DC61" s="20"/>
      <c r="DK61" s="10"/>
      <c r="DL61" s="10"/>
      <c r="DM61" s="10"/>
      <c r="DN61" s="10"/>
      <c r="DO61" s="10"/>
      <c r="DP61" s="10"/>
      <c r="DQ61" s="10"/>
      <c r="DR61" s="10"/>
      <c r="DS61" s="10"/>
      <c r="DT61" s="10"/>
      <c r="EB61" s="84"/>
      <c r="EC61" s="84"/>
    </row>
    <row r="62" spans="1:133" x14ac:dyDescent="0.3">
      <c r="A62" s="104" t="s">
        <v>36</v>
      </c>
      <c r="B62" s="104" t="s">
        <v>193</v>
      </c>
      <c r="C62" s="104"/>
      <c r="D62" s="104" t="s">
        <v>79</v>
      </c>
      <c r="E62" s="142" t="s">
        <v>259</v>
      </c>
      <c r="F62" s="105">
        <v>1</v>
      </c>
      <c r="G62" s="105"/>
      <c r="H62" s="105"/>
      <c r="I62" s="105"/>
      <c r="J62" s="105">
        <f t="shared" si="125"/>
        <v>1</v>
      </c>
      <c r="K62" s="105"/>
      <c r="L62" s="105"/>
      <c r="M62" s="105"/>
      <c r="N62" s="105"/>
      <c r="O62" s="104">
        <f>VLOOKUP($D62,'Land Price Phase Sc1&amp;2'!$B$4:$F$50,3,0)</f>
        <v>2046</v>
      </c>
      <c r="P62" s="104">
        <f>VLOOKUP($D62,'Land Price Phase Sc1&amp;2'!$B$4:$F$50,4,0)</f>
        <v>2050</v>
      </c>
      <c r="Q62" s="104">
        <f>VLOOKUP($D62,'Land Price Phase Sc1&amp;2'!$B$4:$F$50,5,0)</f>
        <v>2054</v>
      </c>
      <c r="R62" s="106">
        <f t="shared" si="129"/>
        <v>0.99999999999999989</v>
      </c>
      <c r="S62" s="104"/>
      <c r="T62" s="107">
        <f>'Park spec inputs'!H$22</f>
        <v>0.2</v>
      </c>
      <c r="U62" s="107">
        <f>'Park spec inputs'!I$22</f>
        <v>0.3</v>
      </c>
      <c r="V62" s="107">
        <f>'Park spec inputs'!J$22</f>
        <v>0.5</v>
      </c>
      <c r="W62" s="107"/>
      <c r="X62" s="107">
        <f t="shared" si="117"/>
        <v>0</v>
      </c>
      <c r="Y62" s="107">
        <f t="shared" si="118"/>
        <v>0</v>
      </c>
      <c r="Z62" s="104" t="s">
        <v>370</v>
      </c>
      <c r="AA62" s="108">
        <f t="shared" si="16"/>
        <v>0</v>
      </c>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11">
        <f>$T62/4</f>
        <v>0.05</v>
      </c>
      <c r="AX62" s="111">
        <f>AW62</f>
        <v>0.05</v>
      </c>
      <c r="AY62" s="111">
        <f t="shared" ref="AY62" si="136">AX62</f>
        <v>0.05</v>
      </c>
      <c r="AZ62" s="111">
        <f t="shared" ref="AZ62" si="137">AY62</f>
        <v>0.05</v>
      </c>
      <c r="BA62" s="111">
        <f>$U62/4</f>
        <v>7.4999999999999997E-2</v>
      </c>
      <c r="BB62" s="111">
        <f>BA62</f>
        <v>7.4999999999999997E-2</v>
      </c>
      <c r="BC62" s="111">
        <f>BB62</f>
        <v>7.4999999999999997E-2</v>
      </c>
      <c r="BD62" s="111">
        <f>BC62</f>
        <v>7.4999999999999997E-2</v>
      </c>
      <c r="BE62" s="111">
        <f>$V62/3</f>
        <v>0.16666666666666666</v>
      </c>
      <c r="BF62" s="111">
        <f>BE62</f>
        <v>0.16666666666666666</v>
      </c>
      <c r="BG62" s="111">
        <f>BF62</f>
        <v>0.16666666666666666</v>
      </c>
      <c r="BH62" s="109">
        <f t="shared" si="10"/>
        <v>0</v>
      </c>
      <c r="BI62" s="109">
        <f t="shared" si="11"/>
        <v>0.99999999999999989</v>
      </c>
      <c r="BJ62" s="109"/>
      <c r="BK62" s="104">
        <f t="shared" si="132"/>
        <v>4000</v>
      </c>
      <c r="BL62" s="108">
        <f>AB62*$BK62*VLOOKUP($D62,'Land Price Phase Sc1&amp;2'!$B$119:$AU$165,9+BL$7-$BL$7,0)/1000000</f>
        <v>0</v>
      </c>
      <c r="BM62" s="108">
        <f>AC62*$BK62*VLOOKUP($D62,'Land Price Phase Sc1&amp;2'!$B$119:$AU$165,9+BM$7-$BL$7,0)/1000000</f>
        <v>0</v>
      </c>
      <c r="BN62" s="108">
        <f>AD62*$BK62*VLOOKUP($D62,'Land Price Phase Sc1&amp;2'!$B$119:$AU$165,9+BN$7-$BL$7,0)/1000000</f>
        <v>0</v>
      </c>
      <c r="BO62" s="108">
        <f>AE62*$BK62*VLOOKUP($D62,'Land Price Phase Sc1&amp;2'!$B$119:$AU$165,9+BO$7-$BL$7,0)/1000000</f>
        <v>0</v>
      </c>
      <c r="BP62" s="108">
        <f>AF62*$BK62*VLOOKUP($D62,'Land Price Phase Sc1&amp;2'!$B$119:$AU$165,9+BP$7-$BL$7,0)/1000000</f>
        <v>0</v>
      </c>
      <c r="BQ62" s="108">
        <f>AG62*$BK62*VLOOKUP($D62,'Land Price Phase Sc1&amp;2'!$B$119:$AU$165,9+BQ$7-$BL$7,0)/1000000</f>
        <v>0</v>
      </c>
      <c r="BR62" s="108">
        <f>AH62*$BK62*VLOOKUP($D62,'Land Price Phase Sc1&amp;2'!$B$119:$AU$165,9+BR$7-$BL$7,0)/1000000</f>
        <v>0</v>
      </c>
      <c r="BS62" s="108">
        <f>AI62*$BK62*VLOOKUP($D62,'Land Price Phase Sc1&amp;2'!$B$119:$AU$165,9+BS$7-$BL$7,0)/1000000</f>
        <v>0</v>
      </c>
      <c r="BT62" s="108">
        <f>AJ62*$BK62*VLOOKUP($D62,'Land Price Phase Sc1&amp;2'!$B$119:$AU$165,9+BT$7-$BL$7,0)/1000000</f>
        <v>0</v>
      </c>
      <c r="BU62" s="108">
        <f>AK62*$BK62*VLOOKUP($D62,'Land Price Phase Sc1&amp;2'!$B$119:$AU$165,9+BU$7-$BL$7,0)/1000000</f>
        <v>0</v>
      </c>
      <c r="BV62" s="108">
        <f>AL62*$BK62*VLOOKUP($D62,'Land Price Phase Sc1&amp;2'!$B$119:$AU$165,9+BV$7-$BL$7,0)/1000000</f>
        <v>0</v>
      </c>
      <c r="BW62" s="108">
        <f>AM62*$BK62*VLOOKUP($D62,'Land Price Phase Sc1&amp;2'!$B$119:$AU$165,9+BW$7-$BL$7,0)/1000000</f>
        <v>0</v>
      </c>
      <c r="BX62" s="108">
        <f>AN62*$BK62*VLOOKUP($D62,'Land Price Phase Sc1&amp;2'!$B$119:$AU$165,9+BX$7-$BL$7,0)/1000000</f>
        <v>0</v>
      </c>
      <c r="BY62" s="108">
        <f>AO62*$BK62*VLOOKUP($D62,'Land Price Phase Sc1&amp;2'!$B$119:$AU$165,9+BY$7-$BL$7,0)/1000000</f>
        <v>0</v>
      </c>
      <c r="BZ62" s="108">
        <f>AP62*$BK62*VLOOKUP($D62,'Land Price Phase Sc1&amp;2'!$B$119:$AU$165,9+BZ$7-$BL$7,0)/1000000</f>
        <v>0</v>
      </c>
      <c r="CA62" s="108">
        <f>AQ62*$BK62*VLOOKUP($D62,'Land Price Phase Sc1&amp;2'!$B$119:$AU$165,9+CA$7-$BL$7,0)/1000000</f>
        <v>0</v>
      </c>
      <c r="CB62" s="108">
        <f>AR62*$BK62*VLOOKUP($D62,'Land Price Phase Sc1&amp;2'!$B$119:$AU$165,9+CB$7-$BL$7,0)/1000000</f>
        <v>0</v>
      </c>
      <c r="CC62" s="108">
        <f>AS62*$BK62*VLOOKUP($D62,'Land Price Phase Sc1&amp;2'!$B$119:$AU$165,9+CC$7-$BL$7,0)/1000000</f>
        <v>0</v>
      </c>
      <c r="CD62" s="108">
        <f>AT62*$BK62*VLOOKUP($D62,'Land Price Phase Sc1&amp;2'!$B$119:$AU$165,9+CD$7-$BL$7,0)/1000000</f>
        <v>0</v>
      </c>
      <c r="CE62" s="108">
        <f>AU62*$BK62*VLOOKUP($D62,'Land Price Phase Sc1&amp;2'!$B$119:$AU$165,9+CE$7-$BL$7,0)/1000000</f>
        <v>0</v>
      </c>
      <c r="CF62" s="108">
        <f>AV62*$BK62*VLOOKUP($D62,'Land Price Phase Sc1&amp;2'!$B$119:$AU$165,9+CF$7-$BL$7,0)/1000000</f>
        <v>0</v>
      </c>
      <c r="CG62" s="108">
        <f>AW62*$BK62*VLOOKUP($D62,'Land Price Phase Sc1&amp;2'!$B$119:$AU$165,9+CG$7-$BL$7,0)/1000000</f>
        <v>0.19667127708945367</v>
      </c>
      <c r="CH62" s="108">
        <f>AX62*$BK62*VLOOKUP($D62,'Land Price Phase Sc1&amp;2'!$B$119:$AU$165,9+CH$7-$BL$7,0)/1000000</f>
        <v>0.21063493776280487</v>
      </c>
      <c r="CI62" s="108">
        <f>AY62*$BK62*VLOOKUP($D62,'Land Price Phase Sc1&amp;2'!$B$119:$AU$165,9+CI$7-$BL$7,0)/1000000</f>
        <v>0.22559001834396397</v>
      </c>
      <c r="CJ62" s="108">
        <f>AZ62*$BK62*VLOOKUP($D62,'Land Price Phase Sc1&amp;2'!$B$119:$AU$165,9+CJ$7-$BL$7,0)/1000000</f>
        <v>0.24160690964638543</v>
      </c>
      <c r="CK62" s="108">
        <f>BA62*$BK62*VLOOKUP($D62,'Land Price Phase Sc1&amp;2'!$B$119:$AU$165,9+CK$7-$BL$7,0)/1000000</f>
        <v>0.54178084423424</v>
      </c>
      <c r="CL62" s="108">
        <f>BB62*$BK62*VLOOKUP($D62,'Land Price Phase Sc1&amp;2'!$B$119:$AU$165,9+CL$7-$BL$7,0)/1000000</f>
        <v>0.58024728417487104</v>
      </c>
      <c r="CM62" s="108">
        <f>BC62*$BK62*VLOOKUP($D62,'Land Price Phase Sc1&amp;2'!$B$119:$AU$165,9+CM$7-$BL$7,0)/1000000</f>
        <v>0.62144484135128686</v>
      </c>
      <c r="CN62" s="108">
        <f>BD62*$BK62*VLOOKUP($D62,'Land Price Phase Sc1&amp;2'!$B$119:$AU$165,9+CN$7-$BL$7,0)/1000000</f>
        <v>0.66556742508722833</v>
      </c>
      <c r="CO62" s="108">
        <f>BE62*$BK62*VLOOKUP($D62,'Land Price Phase Sc1&amp;2'!$B$119:$AU$165,9+CO$7-$BL$7,0)/1000000</f>
        <v>5.2395515602636094</v>
      </c>
      <c r="CP62" s="108">
        <f>BF62*$BK62*VLOOKUP($D62,'Land Price Phase Sc1&amp;2'!$B$119:$AU$165,9+CP$7-$BL$7,0)/1000000</f>
        <v>5.611559721042326</v>
      </c>
      <c r="CQ62" s="108">
        <f>BG62*$BK62*VLOOKUP($D62,'Land Price Phase Sc1&amp;2'!$B$119:$AU$165,9+CQ$7-$BL$7,0)/1000000</f>
        <v>6.0099804612363306</v>
      </c>
      <c r="CR62" s="108">
        <f t="shared" si="126"/>
        <v>20.144635280232499</v>
      </c>
      <c r="CS62" s="19"/>
      <c r="CT62" s="19"/>
      <c r="CU62" s="19"/>
      <c r="CV62" s="19"/>
      <c r="CW62" s="18"/>
      <c r="CX62" s="18"/>
      <c r="CY62" s="18"/>
      <c r="CZ62" s="18"/>
      <c r="DA62" s="20"/>
      <c r="DB62" s="20"/>
      <c r="DC62" s="20"/>
      <c r="DK62" s="10"/>
      <c r="DL62" s="10"/>
      <c r="DM62" s="10"/>
      <c r="DN62" s="10"/>
      <c r="DO62" s="10"/>
      <c r="DP62" s="10"/>
      <c r="DQ62" s="10"/>
      <c r="DR62" s="10"/>
      <c r="DS62" s="10"/>
      <c r="DT62" s="10"/>
      <c r="EB62" s="84"/>
      <c r="EC62" s="84"/>
    </row>
    <row r="63" spans="1:133" x14ac:dyDescent="0.3">
      <c r="A63" s="104" t="s">
        <v>39</v>
      </c>
      <c r="B63" s="104" t="s">
        <v>39</v>
      </c>
      <c r="C63" s="104"/>
      <c r="D63" s="104" t="s">
        <v>267</v>
      </c>
      <c r="E63" s="142" t="s">
        <v>268</v>
      </c>
      <c r="F63" s="143">
        <f>3910/4000</f>
        <v>0.97750000000000004</v>
      </c>
      <c r="G63" s="105"/>
      <c r="H63" s="105"/>
      <c r="I63" s="105"/>
      <c r="J63" s="105">
        <f>F63</f>
        <v>0.97750000000000004</v>
      </c>
      <c r="K63" s="105"/>
      <c r="L63" s="105"/>
      <c r="M63" s="105"/>
      <c r="N63" s="105"/>
      <c r="O63" s="104"/>
      <c r="P63" s="104"/>
      <c r="Q63" s="142" t="s">
        <v>269</v>
      </c>
      <c r="R63" s="106">
        <f>SUM(AB63:BG63)</f>
        <v>1</v>
      </c>
      <c r="S63" s="104"/>
      <c r="T63" s="104"/>
      <c r="U63" s="104"/>
      <c r="V63" s="104"/>
      <c r="W63" s="107">
        <f t="shared" ref="W63:W100" si="138">VLOOKUP($B63,$B$317:$M$346,12,0)</f>
        <v>0.711860292938581</v>
      </c>
      <c r="X63" s="107">
        <f t="shared" si="117"/>
        <v>28.151659572745903</v>
      </c>
      <c r="Y63" s="107">
        <f t="shared" si="118"/>
        <v>24.404959779454902</v>
      </c>
      <c r="Z63" s="104">
        <v>25</v>
      </c>
      <c r="AA63" s="108">
        <f t="shared" si="16"/>
        <v>2.8334555289059544</v>
      </c>
      <c r="AB63" s="110">
        <f t="shared" ref="AB63:AK63" si="139">AB111</f>
        <v>7.2277777590649045E-2</v>
      </c>
      <c r="AC63" s="110">
        <f t="shared" si="139"/>
        <v>3.7144039148275132E-2</v>
      </c>
      <c r="AD63" s="110">
        <f t="shared" si="139"/>
        <v>4.693886925000864E-2</v>
      </c>
      <c r="AE63" s="110">
        <f t="shared" si="139"/>
        <v>1.9207251627271639E-2</v>
      </c>
      <c r="AF63" s="110">
        <f t="shared" si="139"/>
        <v>3.0671470308457977E-2</v>
      </c>
      <c r="AG63" s="110">
        <f t="shared" si="139"/>
        <v>7.0574517253221988E-2</v>
      </c>
      <c r="AH63" s="110">
        <f t="shared" si="139"/>
        <v>5.784797696261839E-2</v>
      </c>
      <c r="AI63" s="110">
        <f t="shared" si="139"/>
        <v>6.2267232328672428E-2</v>
      </c>
      <c r="AJ63" s="110">
        <f t="shared" si="139"/>
        <v>4.8241630734504208E-2</v>
      </c>
      <c r="AK63" s="110">
        <f t="shared" si="139"/>
        <v>1.4129803340614668E-2</v>
      </c>
      <c r="AL63" s="110">
        <v>0.27500000000000002</v>
      </c>
      <c r="AM63" s="110">
        <f>1-SUM(AB63:AL63)</f>
        <v>0.26569943145570585</v>
      </c>
      <c r="AN63" s="110"/>
      <c r="AO63" s="110"/>
      <c r="AP63" s="110"/>
      <c r="AQ63" s="110"/>
      <c r="AR63" s="110"/>
      <c r="AS63" s="110"/>
      <c r="AT63" s="110"/>
      <c r="AU63" s="110"/>
      <c r="AV63" s="110"/>
      <c r="AW63" s="110"/>
      <c r="AX63" s="110"/>
      <c r="AY63" s="110"/>
      <c r="AZ63" s="110"/>
      <c r="BA63" s="110"/>
      <c r="BB63" s="110"/>
      <c r="BC63" s="110"/>
      <c r="BD63" s="110"/>
      <c r="BE63" s="110"/>
      <c r="BF63" s="110"/>
      <c r="BG63" s="110"/>
      <c r="BH63" s="109">
        <f t="shared" si="10"/>
        <v>0.45930056854429413</v>
      </c>
      <c r="BI63" s="109">
        <f t="shared" si="11"/>
        <v>0.54069943145570587</v>
      </c>
      <c r="BJ63" s="109"/>
      <c r="BK63" s="104">
        <f t="shared" ref="BK63:BK65" si="140">SUMPRODUCT(F63:I63,$F$5:$I$5)</f>
        <v>3910</v>
      </c>
      <c r="BL63" s="108">
        <f>AB63*$BK63*'Cost inputs'!$E$37*'Land Price Phase Sc1&amp;2'!J$114/1000000</f>
        <v>0.33409694369057136</v>
      </c>
      <c r="BM63" s="108">
        <f>AC63*$BK63*'Cost inputs'!$E$37*'Land Price Phase Sc1&amp;2'!K$114/1000000</f>
        <v>0.18371330850635983</v>
      </c>
      <c r="BN63" s="108">
        <f>AD63*$BK63*'Cost inputs'!$E$37*'Land Price Phase Sc1&amp;2'!L$114/1000000</f>
        <v>0.24214105028169089</v>
      </c>
      <c r="BO63" s="108">
        <f>AE63*$BK63*'Cost inputs'!$E$37*'Land Price Phase Sc1&amp;2'!M$114/1000000</f>
        <v>0.10611835162341637</v>
      </c>
      <c r="BP63" s="108">
        <f>AF63*$BK63*'Cost inputs'!$E$37*'Land Price Phase Sc1&amp;2'!N$114/1000000</f>
        <v>0.18148859376068338</v>
      </c>
      <c r="BQ63" s="108">
        <f>AG63*$BK63*'Cost inputs'!$E$37*'Land Price Phase Sc1&amp;2'!O$114/1000000</f>
        <v>0.44725183096778282</v>
      </c>
      <c r="BR63" s="108">
        <f>AH63*$BK63*'Cost inputs'!$E$37*'Land Price Phase Sc1&amp;2'!P$114/1000000</f>
        <v>0.39262853306537332</v>
      </c>
      <c r="BS63" s="108">
        <f>AI63*$BK63*'Cost inputs'!$E$37*'Land Price Phase Sc1&amp;2'!Q$114/1000000</f>
        <v>0.45262935369999246</v>
      </c>
      <c r="BT63" s="108">
        <f>AJ63*$BK63*'Cost inputs'!$E$37*'Land Price Phase Sc1&amp;2'!R$114/1000000</f>
        <v>0.37557320783663595</v>
      </c>
      <c r="BU63" s="108">
        <f>AK63*$BK63*'Cost inputs'!$E$37*'Land Price Phase Sc1&amp;2'!S$114/1000000</f>
        <v>0.11781435547344779</v>
      </c>
      <c r="BV63" s="108">
        <f>AL63*$BK63*'Cost inputs'!$E$37*'Land Price Phase Sc1&amp;2'!T$114/1000000</f>
        <v>2.4557506010064358</v>
      </c>
      <c r="BW63" s="108">
        <f>AM63*$BK63*'Cost inputs'!$E$37*'Land Price Phase Sc1&amp;2'!U$114/1000000</f>
        <v>2.5411579553338597</v>
      </c>
      <c r="BX63" s="108">
        <f>AN63*$BK63*'Cost inputs'!$E$37*'Land Price Phase Sc1&amp;2'!V$114/1000000</f>
        <v>0</v>
      </c>
      <c r="BY63" s="108">
        <f>AO63*$BK63*'Cost inputs'!$E$37*'Land Price Phase Sc1&amp;2'!W$114/1000000</f>
        <v>0</v>
      </c>
      <c r="BZ63" s="108">
        <f>AP63*$BK63*'Cost inputs'!$E$37*'Land Price Phase Sc1&amp;2'!X$114/1000000</f>
        <v>0</v>
      </c>
      <c r="CA63" s="108">
        <f>AQ63*$BK63*'Cost inputs'!$E$37*'Land Price Phase Sc1&amp;2'!Y$114/1000000</f>
        <v>0</v>
      </c>
      <c r="CB63" s="108">
        <f>AR63*$BK63*'Cost inputs'!$E$37*'Land Price Phase Sc1&amp;2'!Z$114/1000000</f>
        <v>0</v>
      </c>
      <c r="CC63" s="108">
        <f>AS63*$BK63*'Cost inputs'!$E$37*'Land Price Phase Sc1&amp;2'!AA$114/1000000</f>
        <v>0</v>
      </c>
      <c r="CD63" s="108">
        <f>AT63*$BK63*'Cost inputs'!$E$37*'Land Price Phase Sc1&amp;2'!AB$114/1000000</f>
        <v>0</v>
      </c>
      <c r="CE63" s="108">
        <f>AU63*$BK63*'Cost inputs'!$E$37*'Land Price Phase Sc1&amp;2'!AC$114/1000000</f>
        <v>0</v>
      </c>
      <c r="CF63" s="108">
        <f>AV63*$BK63*'Cost inputs'!$E$37*'Land Price Phase Sc1&amp;2'!AD$114/1000000</f>
        <v>0</v>
      </c>
      <c r="CG63" s="108">
        <f>AW63*$BK63*'Cost inputs'!$E$37*'Land Price Phase Sc1&amp;2'!AE$114/1000000</f>
        <v>0</v>
      </c>
      <c r="CH63" s="108">
        <f>AX63*$BK63*'Cost inputs'!$E$37*'Land Price Phase Sc1&amp;2'!AF$114/1000000</f>
        <v>0</v>
      </c>
      <c r="CI63" s="108">
        <f>AY63*$BK63*'Cost inputs'!$E$37*'Land Price Phase Sc1&amp;2'!AG$114/1000000</f>
        <v>0</v>
      </c>
      <c r="CJ63" s="108">
        <f>AZ63*$BK63*'Cost inputs'!$E$37*'Land Price Phase Sc1&amp;2'!AH$114/1000000</f>
        <v>0</v>
      </c>
      <c r="CK63" s="108">
        <f>BA63*$BK63*'Cost inputs'!$E$37*'Land Price Phase Sc1&amp;2'!AI$114/1000000</f>
        <v>0</v>
      </c>
      <c r="CL63" s="108">
        <f>BB63*$BK63*'Cost inputs'!$E$37*'Land Price Phase Sc1&amp;2'!AJ$114/1000000</f>
        <v>0</v>
      </c>
      <c r="CM63" s="108">
        <f>BC63*$BK63*'Cost inputs'!$E$37*'Land Price Phase Sc1&amp;2'!AK$114/1000000</f>
        <v>0</v>
      </c>
      <c r="CN63" s="108">
        <f>BD63*$BK63*'Cost inputs'!$E$37*'Land Price Phase Sc1&amp;2'!AL$114/1000000</f>
        <v>0</v>
      </c>
      <c r="CO63" s="108">
        <f>BE63*$BK63*'Cost inputs'!$E$37*'Land Price Phase Sc1&amp;2'!AM$114/1000000</f>
        <v>0</v>
      </c>
      <c r="CP63" s="108">
        <f>BF63*$BK63*'Cost inputs'!$E$37*'Land Price Phase Sc1&amp;2'!AN$114/1000000</f>
        <v>0</v>
      </c>
      <c r="CQ63" s="108">
        <f>BG63*$BK63*'Cost inputs'!$E$37*'Land Price Phase Sc1&amp;2'!AO$114/1000000</f>
        <v>0</v>
      </c>
      <c r="CR63" s="108">
        <f t="shared" si="126"/>
        <v>7.8303640852462504</v>
      </c>
      <c r="CS63" s="19"/>
      <c r="CT63" s="19"/>
      <c r="CU63" s="19"/>
      <c r="CV63" s="19"/>
      <c r="CW63" s="18"/>
      <c r="CX63" s="18"/>
      <c r="CY63" s="18"/>
      <c r="CZ63" s="18"/>
      <c r="DA63" s="20"/>
      <c r="DB63" s="20"/>
      <c r="DC63" s="20"/>
      <c r="DK63" s="10"/>
      <c r="DL63" s="10"/>
      <c r="DM63" s="10"/>
      <c r="DN63" s="10"/>
      <c r="DO63" s="10"/>
      <c r="DP63" s="10"/>
      <c r="DQ63" s="10"/>
      <c r="DR63" s="10"/>
      <c r="DS63" s="10"/>
      <c r="DT63" s="10"/>
      <c r="EB63" s="84"/>
      <c r="EC63" s="84"/>
    </row>
    <row r="64" spans="1:133" x14ac:dyDescent="0.3">
      <c r="A64" s="104" t="s">
        <v>39</v>
      </c>
      <c r="B64" s="104" t="s">
        <v>39</v>
      </c>
      <c r="C64" s="104"/>
      <c r="D64" s="104" t="s">
        <v>267</v>
      </c>
      <c r="E64" s="142" t="s">
        <v>270</v>
      </c>
      <c r="F64" s="105">
        <v>1</v>
      </c>
      <c r="G64" s="105"/>
      <c r="H64" s="105"/>
      <c r="I64" s="105"/>
      <c r="J64" s="143">
        <f t="shared" ref="J64:J65" si="141">F64</f>
        <v>1</v>
      </c>
      <c r="K64" s="105"/>
      <c r="L64" s="105"/>
      <c r="M64" s="105"/>
      <c r="N64" s="105"/>
      <c r="O64" s="104"/>
      <c r="P64" s="104"/>
      <c r="Q64" s="142" t="s">
        <v>271</v>
      </c>
      <c r="R64" s="106">
        <f t="shared" si="129"/>
        <v>1</v>
      </c>
      <c r="S64" s="104"/>
      <c r="T64" s="104"/>
      <c r="U64" s="104"/>
      <c r="V64" s="104"/>
      <c r="W64" s="147">
        <f t="shared" si="138"/>
        <v>0.711860292938581</v>
      </c>
      <c r="X64" s="147">
        <f t="shared" si="117"/>
        <v>28.151659572745903</v>
      </c>
      <c r="Y64" s="147">
        <f t="shared" si="118"/>
        <v>24.404959779454902</v>
      </c>
      <c r="Z64" s="142">
        <v>25</v>
      </c>
      <c r="AA64" s="148">
        <f t="shared" si="16"/>
        <v>4.0250000000000004</v>
      </c>
      <c r="AB64" s="142">
        <v>1</v>
      </c>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50">
        <f t="shared" si="10"/>
        <v>1</v>
      </c>
      <c r="BI64" s="150">
        <f t="shared" si="11"/>
        <v>0</v>
      </c>
      <c r="BJ64" s="150"/>
      <c r="BK64" s="142">
        <f t="shared" si="140"/>
        <v>4000</v>
      </c>
      <c r="BL64" s="148">
        <v>4.0250000000000004</v>
      </c>
      <c r="BM64" s="148">
        <f>AC64*$BK64*'Cost inputs'!$E$37*'Land Price Phase Sc1&amp;2'!K$114/1000000</f>
        <v>0</v>
      </c>
      <c r="BN64" s="148">
        <f>AD64*$BK64*'Cost inputs'!$E$37*'Land Price Phase Sc1&amp;2'!L$114/1000000</f>
        <v>0</v>
      </c>
      <c r="BO64" s="148">
        <f>AE64*$BK64*'Cost inputs'!$E$37*'Land Price Phase Sc1&amp;2'!M$114/1000000</f>
        <v>0</v>
      </c>
      <c r="BP64" s="148">
        <f>AF64*$BK64*'Cost inputs'!$E$37*'Land Price Phase Sc1&amp;2'!N$114/1000000</f>
        <v>0</v>
      </c>
      <c r="BQ64" s="148">
        <f>AG64*$BK64*'Cost inputs'!$E$37*'Land Price Phase Sc1&amp;2'!O$114/1000000</f>
        <v>0</v>
      </c>
      <c r="BR64" s="148">
        <f>AH64*$BK64*'Cost inputs'!$E$37*'Land Price Phase Sc1&amp;2'!P$114/1000000</f>
        <v>0</v>
      </c>
      <c r="BS64" s="148">
        <f>AI64*$BK64*'Cost inputs'!$E$37*'Land Price Phase Sc1&amp;2'!Q$114/1000000</f>
        <v>0</v>
      </c>
      <c r="BT64" s="148">
        <f>AJ64*$BK64*'Cost inputs'!$E$37*'Land Price Phase Sc1&amp;2'!R$114/1000000</f>
        <v>0</v>
      </c>
      <c r="BU64" s="148">
        <f>AK64*$BK64*'Cost inputs'!$E$37*'Land Price Phase Sc1&amp;2'!S$114/1000000</f>
        <v>0</v>
      </c>
      <c r="BV64" s="148">
        <f>AL64*$BK64*'Cost inputs'!$E$37*'Land Price Phase Sc1&amp;2'!T$114/1000000</f>
        <v>0</v>
      </c>
      <c r="BW64" s="148">
        <f>AM64*$BK64*'Cost inputs'!$E$37*'Land Price Phase Sc1&amp;2'!U$114/1000000</f>
        <v>0</v>
      </c>
      <c r="BX64" s="148">
        <f>AN64*$BK64*'Cost inputs'!$E$37*'Land Price Phase Sc1&amp;2'!V$114/1000000</f>
        <v>0</v>
      </c>
      <c r="BY64" s="148">
        <f>AO64*$BK64*'Cost inputs'!$E$37*'Land Price Phase Sc1&amp;2'!W$114/1000000</f>
        <v>0</v>
      </c>
      <c r="BZ64" s="148">
        <f>AP64*$BK64*'Cost inputs'!$E$37*'Land Price Phase Sc1&amp;2'!X$114/1000000</f>
        <v>0</v>
      </c>
      <c r="CA64" s="148">
        <f>AQ64*$BK64*'Cost inputs'!$E$37*'Land Price Phase Sc1&amp;2'!Y$114/1000000</f>
        <v>0</v>
      </c>
      <c r="CB64" s="148">
        <f>AR64*$BK64*'Cost inputs'!$E$37*'Land Price Phase Sc1&amp;2'!Z$114/1000000</f>
        <v>0</v>
      </c>
      <c r="CC64" s="148">
        <f>AS64*$BK64*'Cost inputs'!$E$37*'Land Price Phase Sc1&amp;2'!AA$114/1000000</f>
        <v>0</v>
      </c>
      <c r="CD64" s="148">
        <f>AT64*$BK64*'Cost inputs'!$E$37*'Land Price Phase Sc1&amp;2'!AB$114/1000000</f>
        <v>0</v>
      </c>
      <c r="CE64" s="148">
        <f>AU64*$BK64*'Cost inputs'!$E$37*'Land Price Phase Sc1&amp;2'!AC$114/1000000</f>
        <v>0</v>
      </c>
      <c r="CF64" s="148">
        <f>AV64*$BK64*'Cost inputs'!$E$37*'Land Price Phase Sc1&amp;2'!AD$114/1000000</f>
        <v>0</v>
      </c>
      <c r="CG64" s="148">
        <f>AW64*$BK64*'Cost inputs'!$E$37*'Land Price Phase Sc1&amp;2'!AE$114/1000000</f>
        <v>0</v>
      </c>
      <c r="CH64" s="148">
        <f>AX64*$BK64*'Cost inputs'!$E$37*'Land Price Phase Sc1&amp;2'!AF$114/1000000</f>
        <v>0</v>
      </c>
      <c r="CI64" s="148">
        <f>AY64*$BK64*'Cost inputs'!$E$37*'Land Price Phase Sc1&amp;2'!AG$114/1000000</f>
        <v>0</v>
      </c>
      <c r="CJ64" s="148">
        <f>AZ64*$BK64*'Cost inputs'!$E$37*'Land Price Phase Sc1&amp;2'!AH$114/1000000</f>
        <v>0</v>
      </c>
      <c r="CK64" s="148">
        <f>BA64*$BK64*'Cost inputs'!$E$37*'Land Price Phase Sc1&amp;2'!AI$114/1000000</f>
        <v>0</v>
      </c>
      <c r="CL64" s="148">
        <f>BB64*$BK64*'Cost inputs'!$E$37*'Land Price Phase Sc1&amp;2'!AJ$114/1000000</f>
        <v>0</v>
      </c>
      <c r="CM64" s="148">
        <f>BC64*$BK64*'Cost inputs'!$E$37*'Land Price Phase Sc1&amp;2'!AK$114/1000000</f>
        <v>0</v>
      </c>
      <c r="CN64" s="148">
        <f>BD64*$BK64*'Cost inputs'!$E$37*'Land Price Phase Sc1&amp;2'!AL$114/1000000</f>
        <v>0</v>
      </c>
      <c r="CO64" s="148">
        <f>BE64*$BK64*'Cost inputs'!$E$37*'Land Price Phase Sc1&amp;2'!AM$114/1000000</f>
        <v>0</v>
      </c>
      <c r="CP64" s="148">
        <f>BF64*$BK64*'Cost inputs'!$E$37*'Land Price Phase Sc1&amp;2'!AN$114/1000000</f>
        <v>0</v>
      </c>
      <c r="CQ64" s="148">
        <f>BG64*$BK64*'Cost inputs'!$E$37*'Land Price Phase Sc1&amp;2'!AO$114/1000000</f>
        <v>0</v>
      </c>
      <c r="CR64" s="148">
        <f t="shared" si="126"/>
        <v>4.0250000000000004</v>
      </c>
      <c r="CS64" s="19"/>
      <c r="CT64" s="19"/>
      <c r="CU64" s="19"/>
      <c r="CV64" s="19"/>
      <c r="CW64" s="18"/>
      <c r="CX64" s="18"/>
      <c r="CY64" s="18"/>
      <c r="CZ64" s="18"/>
      <c r="DA64" s="20"/>
      <c r="DB64" s="20"/>
      <c r="DC64" s="20"/>
      <c r="DK64" s="10"/>
      <c r="DL64" s="10"/>
      <c r="DM64" s="10"/>
      <c r="DN64" s="10"/>
      <c r="DO64" s="10"/>
      <c r="DP64" s="10"/>
      <c r="DQ64" s="10"/>
      <c r="DR64" s="10"/>
      <c r="DS64" s="10"/>
      <c r="DT64" s="10"/>
      <c r="EB64" s="84"/>
      <c r="EC64" s="84"/>
    </row>
    <row r="65" spans="1:133" x14ac:dyDescent="0.3">
      <c r="A65" s="104" t="s">
        <v>39</v>
      </c>
      <c r="B65" s="104" t="s">
        <v>39</v>
      </c>
      <c r="C65" s="104"/>
      <c r="D65" s="104" t="s">
        <v>39</v>
      </c>
      <c r="E65" s="142" t="s">
        <v>272</v>
      </c>
      <c r="F65" s="105">
        <v>6</v>
      </c>
      <c r="G65" s="105"/>
      <c r="H65" s="105"/>
      <c r="I65" s="105"/>
      <c r="J65" s="105">
        <f t="shared" si="141"/>
        <v>6</v>
      </c>
      <c r="K65" s="105"/>
      <c r="L65" s="105"/>
      <c r="M65" s="105"/>
      <c r="N65" s="105"/>
      <c r="O65" s="104"/>
      <c r="P65" s="104"/>
      <c r="Q65" s="104">
        <v>2023</v>
      </c>
      <c r="R65" s="106">
        <f t="shared" si="129"/>
        <v>1</v>
      </c>
      <c r="S65" s="104"/>
      <c r="T65" s="104"/>
      <c r="U65" s="104"/>
      <c r="V65" s="104"/>
      <c r="W65" s="107">
        <f t="shared" si="138"/>
        <v>0.711860292938581</v>
      </c>
      <c r="X65" s="107">
        <f t="shared" si="117"/>
        <v>28.151659572745903</v>
      </c>
      <c r="Y65" s="107">
        <f t="shared" si="118"/>
        <v>24.404959779454902</v>
      </c>
      <c r="Z65" s="104">
        <v>25</v>
      </c>
      <c r="AA65" s="108">
        <f t="shared" si="16"/>
        <v>17.3920543973767</v>
      </c>
      <c r="AB65" s="114">
        <f t="shared" ref="AB65:AQ65" si="142">AB112</f>
        <v>7.2277777590649045E-2</v>
      </c>
      <c r="AC65" s="114">
        <f t="shared" si="142"/>
        <v>3.7144039148275132E-2</v>
      </c>
      <c r="AD65" s="114">
        <f t="shared" si="142"/>
        <v>4.693886925000864E-2</v>
      </c>
      <c r="AE65" s="114">
        <f t="shared" si="142"/>
        <v>1.9207251627271639E-2</v>
      </c>
      <c r="AF65" s="114">
        <f t="shared" si="142"/>
        <v>3.0671470308457977E-2</v>
      </c>
      <c r="AG65" s="114">
        <f t="shared" si="142"/>
        <v>7.0574517253221988E-2</v>
      </c>
      <c r="AH65" s="114">
        <f t="shared" si="142"/>
        <v>5.784797696261839E-2</v>
      </c>
      <c r="AI65" s="114">
        <f t="shared" si="142"/>
        <v>6.2267232328672428E-2</v>
      </c>
      <c r="AJ65" s="114">
        <f t="shared" si="142"/>
        <v>4.8241630734504208E-2</v>
      </c>
      <c r="AK65" s="114">
        <f t="shared" si="142"/>
        <v>1.4129803340614668E-2</v>
      </c>
      <c r="AL65" s="114">
        <f t="shared" si="142"/>
        <v>0.10472734996525389</v>
      </c>
      <c r="AM65" s="114">
        <f t="shared" si="142"/>
        <v>0.10601471966704468</v>
      </c>
      <c r="AN65" s="114">
        <f t="shared" si="142"/>
        <v>0.10750477164694536</v>
      </c>
      <c r="AO65" s="114">
        <f t="shared" si="142"/>
        <v>0.10314837920794254</v>
      </c>
      <c r="AP65" s="114">
        <f t="shared" si="142"/>
        <v>4.8886873976350477E-2</v>
      </c>
      <c r="AQ65" s="114">
        <f t="shared" si="142"/>
        <v>5.2554477979523215E-2</v>
      </c>
      <c r="AR65" s="112">
        <f>1-SUM(AB65:AQ65)</f>
        <v>1.7862859012645727E-2</v>
      </c>
      <c r="AS65" s="114"/>
      <c r="AT65" s="114"/>
      <c r="AU65" s="114"/>
      <c r="AV65" s="114"/>
      <c r="AW65" s="114"/>
      <c r="AX65" s="114"/>
      <c r="AY65" s="114"/>
      <c r="AZ65" s="114"/>
      <c r="BA65" s="114"/>
      <c r="BB65" s="114"/>
      <c r="BC65" s="114"/>
      <c r="BD65" s="114"/>
      <c r="BE65" s="114"/>
      <c r="BF65" s="114"/>
      <c r="BG65" s="114"/>
      <c r="BH65" s="109">
        <f t="shared" si="10"/>
        <v>0.45930056854429413</v>
      </c>
      <c r="BI65" s="109">
        <f t="shared" si="11"/>
        <v>0.54069943145570587</v>
      </c>
      <c r="BJ65" s="109"/>
      <c r="BK65" s="104">
        <f t="shared" si="140"/>
        <v>24000</v>
      </c>
      <c r="BL65" s="108">
        <f>AB65*$BK65*'Cost inputs'!$E$37*'Land Price Phase Sc1&amp;2'!J$114/1000000</f>
        <v>2.0507229280239674</v>
      </c>
      <c r="BM65" s="108">
        <f>AC65*$BK65*'Cost inputs'!$E$37*'Land Price Phase Sc1&amp;2'!K$114/1000000</f>
        <v>1.1276520215224133</v>
      </c>
      <c r="BN65" s="108">
        <f>AD65*$BK65*'Cost inputs'!$E$37*'Land Price Phase Sc1&amp;2'!L$114/1000000</f>
        <v>1.4862877766651106</v>
      </c>
      <c r="BO65" s="108">
        <f>AE65*$BK65*'Cost inputs'!$E$37*'Land Price Phase Sc1&amp;2'!M$114/1000000</f>
        <v>0.65136584116675023</v>
      </c>
      <c r="BP65" s="108">
        <f>AF65*$BK65*'Cost inputs'!$E$37*'Land Price Phase Sc1&amp;2'!N$114/1000000</f>
        <v>1.1139964834415348</v>
      </c>
      <c r="BQ65" s="108">
        <f>AG65*$BK65*'Cost inputs'!$E$37*'Land Price Phase Sc1&amp;2'!O$114/1000000</f>
        <v>2.745279780876416</v>
      </c>
      <c r="BR65" s="108">
        <f>AH65*$BK65*'Cost inputs'!$E$37*'Land Price Phase Sc1&amp;2'!P$114/1000000</f>
        <v>2.4099961108872021</v>
      </c>
      <c r="BS65" s="108">
        <f>AI65*$BK65*'Cost inputs'!$E$37*'Land Price Phase Sc1&amp;2'!Q$114/1000000</f>
        <v>2.7782875930434314</v>
      </c>
      <c r="BT65" s="108">
        <f>AJ65*$BK65*'Cost inputs'!$E$37*'Land Price Phase Sc1&amp;2'!R$114/1000000</f>
        <v>2.3053086926033921</v>
      </c>
      <c r="BU65" s="108">
        <f>AK65*$BK65*'Cost inputs'!$E$37*'Land Price Phase Sc1&amp;2'!S$114/1000000</f>
        <v>0.72315716914648265</v>
      </c>
      <c r="BV65" s="108">
        <f>AL65*$BK65*'Cost inputs'!$E$37*'Land Price Phase Sc1&amp;2'!T$114/1000000</f>
        <v>5.7404529763827998</v>
      </c>
      <c r="BW65" s="108">
        <f>AM65*$BK65*'Cost inputs'!$E$37*'Land Price Phase Sc1&amp;2'!U$114/1000000</f>
        <v>6.2236002505180243</v>
      </c>
      <c r="BX65" s="108">
        <f>AN65*$BK65*'Cost inputs'!$E$37*'Land Price Phase Sc1&amp;2'!V$114/1000000</f>
        <v>6.7591600807022933</v>
      </c>
      <c r="BY65" s="108">
        <f>AO65*$BK65*'Cost inputs'!$E$37*'Land Price Phase Sc1&amp;2'!W$114/1000000</f>
        <v>6.9457135771611922</v>
      </c>
      <c r="BZ65" s="108">
        <f>AP65*$BK65*'Cost inputs'!$E$37*'Land Price Phase Sc1&amp;2'!X$114/1000000</f>
        <v>3.5256256767377412</v>
      </c>
      <c r="CA65" s="108">
        <f>AQ65*$BK65*'Cost inputs'!$E$37*'Land Price Phase Sc1&amp;2'!Y$114/1000000</f>
        <v>4.0592250528147282</v>
      </c>
      <c r="CB65" s="108">
        <f>AR65*$BK65*'Cost inputs'!$E$37*'Land Price Phase Sc1&amp;2'!Z$114/1000000</f>
        <v>1.4776577126584269</v>
      </c>
      <c r="CC65" s="108">
        <f>AS65*$BK65*'Cost inputs'!$E$37*'Land Price Phase Sc1&amp;2'!AA$114/1000000</f>
        <v>0</v>
      </c>
      <c r="CD65" s="108">
        <f>AT65*$BK65*'Cost inputs'!$E$37*'Land Price Phase Sc1&amp;2'!AB$114/1000000</f>
        <v>0</v>
      </c>
      <c r="CE65" s="108">
        <f>AU65*$BK65*'Cost inputs'!$E$37*'Land Price Phase Sc1&amp;2'!AC$114/1000000</f>
        <v>0</v>
      </c>
      <c r="CF65" s="108">
        <f>AV65*$BK65*'Cost inputs'!$E$37*'Land Price Phase Sc1&amp;2'!AD$114/1000000</f>
        <v>0</v>
      </c>
      <c r="CG65" s="108">
        <f>AW65*$BK65*'Cost inputs'!$E$37*'Land Price Phase Sc1&amp;2'!AE$114/1000000</f>
        <v>0</v>
      </c>
      <c r="CH65" s="108">
        <f>AX65*$BK65*'Cost inputs'!$E$37*'Land Price Phase Sc1&amp;2'!AF$114/1000000</f>
        <v>0</v>
      </c>
      <c r="CI65" s="108">
        <f>AY65*$BK65*'Cost inputs'!$E$37*'Land Price Phase Sc1&amp;2'!AG$114/1000000</f>
        <v>0</v>
      </c>
      <c r="CJ65" s="108">
        <f>AZ65*$BK65*'Cost inputs'!$E$37*'Land Price Phase Sc1&amp;2'!AH$114/1000000</f>
        <v>0</v>
      </c>
      <c r="CK65" s="108">
        <f>BA65*$BK65*'Cost inputs'!$E$37*'Land Price Phase Sc1&amp;2'!AI$114/1000000</f>
        <v>0</v>
      </c>
      <c r="CL65" s="108">
        <f>BB65*$BK65*'Cost inputs'!$E$37*'Land Price Phase Sc1&amp;2'!AJ$114/1000000</f>
        <v>0</v>
      </c>
      <c r="CM65" s="108">
        <f>BC65*$BK65*'Cost inputs'!$E$37*'Land Price Phase Sc1&amp;2'!AK$114/1000000</f>
        <v>0</v>
      </c>
      <c r="CN65" s="108">
        <f>BD65*$BK65*'Cost inputs'!$E$37*'Land Price Phase Sc1&amp;2'!AL$114/1000000</f>
        <v>0</v>
      </c>
      <c r="CO65" s="108">
        <f>BE65*$BK65*'Cost inputs'!$E$37*'Land Price Phase Sc1&amp;2'!AM$114/1000000</f>
        <v>0</v>
      </c>
      <c r="CP65" s="108">
        <f>BF65*$BK65*'Cost inputs'!$E$37*'Land Price Phase Sc1&amp;2'!AN$114/1000000</f>
        <v>0</v>
      </c>
      <c r="CQ65" s="108">
        <f>BG65*$BK65*'Cost inputs'!$E$37*'Land Price Phase Sc1&amp;2'!AO$114/1000000</f>
        <v>0</v>
      </c>
      <c r="CR65" s="108">
        <f t="shared" si="126"/>
        <v>52.123489724351913</v>
      </c>
      <c r="CS65" s="19"/>
      <c r="CT65" s="19"/>
      <c r="CU65" s="19"/>
      <c r="CV65" s="19"/>
      <c r="CW65" s="18"/>
      <c r="CX65" s="18"/>
      <c r="CY65" s="18"/>
      <c r="CZ65" s="18"/>
      <c r="DA65" s="20"/>
      <c r="DB65" s="20"/>
      <c r="DC65" s="20"/>
      <c r="DK65" s="10"/>
      <c r="DL65" s="10"/>
      <c r="DM65" s="10"/>
      <c r="DN65" s="10"/>
      <c r="DO65" s="10"/>
      <c r="DP65" s="10"/>
      <c r="DQ65" s="10"/>
      <c r="DR65" s="10"/>
      <c r="DS65" s="10"/>
      <c r="DT65" s="10"/>
      <c r="EB65" s="84"/>
      <c r="EC65" s="84"/>
    </row>
    <row r="66" spans="1:133" x14ac:dyDescent="0.3">
      <c r="A66" s="104" t="str">
        <f>'Cost inputs'!A35</f>
        <v>Opaheke / Drury</v>
      </c>
      <c r="B66" s="104" t="s">
        <v>195</v>
      </c>
      <c r="C66" s="104"/>
      <c r="D66" s="104" t="s">
        <v>88</v>
      </c>
      <c r="E66" s="142" t="s">
        <v>260</v>
      </c>
      <c r="F66" s="143">
        <f>3369/4000</f>
        <v>0.84225000000000005</v>
      </c>
      <c r="G66" s="144"/>
      <c r="H66" s="144"/>
      <c r="I66" s="144"/>
      <c r="J66" s="143">
        <f>F66</f>
        <v>0.84225000000000005</v>
      </c>
      <c r="K66" s="144"/>
      <c r="L66" s="144"/>
      <c r="M66" s="144"/>
      <c r="N66" s="144"/>
      <c r="O66" s="142"/>
      <c r="P66" s="142"/>
      <c r="Q66" s="142" t="s">
        <v>261</v>
      </c>
      <c r="R66" s="146">
        <f t="shared" si="129"/>
        <v>1</v>
      </c>
      <c r="S66" s="145"/>
      <c r="T66" s="145"/>
      <c r="U66" s="145"/>
      <c r="V66" s="145"/>
      <c r="W66" s="147">
        <f t="shared" si="138"/>
        <v>0.711860292938581</v>
      </c>
      <c r="X66" s="147">
        <f t="shared" si="117"/>
        <v>65.672558263244724</v>
      </c>
      <c r="Y66" s="147">
        <f t="shared" si="118"/>
        <v>52.299029605842442</v>
      </c>
      <c r="Z66" s="142">
        <v>26</v>
      </c>
      <c r="AA66" s="148">
        <f t="shared" si="16"/>
        <v>3.05</v>
      </c>
      <c r="AB66" s="142"/>
      <c r="AC66" s="142">
        <v>1</v>
      </c>
      <c r="AD66" s="142"/>
      <c r="AE66" s="142"/>
      <c r="AF66" s="142"/>
      <c r="AG66" s="142"/>
      <c r="AH66" s="142"/>
      <c r="AI66" s="142"/>
      <c r="AJ66" s="142"/>
      <c r="AK66" s="149"/>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50">
        <f t="shared" si="10"/>
        <v>1</v>
      </c>
      <c r="BI66" s="150">
        <f t="shared" si="11"/>
        <v>0</v>
      </c>
      <c r="BJ66" s="150"/>
      <c r="BK66" s="142">
        <f t="shared" ref="BK66:BK67" si="143">SUMPRODUCT(F66:I66,$F$5:$I$5)</f>
        <v>3369</v>
      </c>
      <c r="BL66" s="148"/>
      <c r="BM66" s="148">
        <v>3.05</v>
      </c>
      <c r="BN66" s="148"/>
      <c r="BO66" s="148"/>
      <c r="BP66" s="148"/>
      <c r="BQ66" s="148"/>
      <c r="BR66" s="148"/>
      <c r="BS66" s="148"/>
      <c r="BT66" s="148"/>
      <c r="BU66" s="148"/>
      <c r="BV66" s="148"/>
      <c r="BW66" s="148"/>
      <c r="BX66" s="148"/>
      <c r="BY66" s="148"/>
      <c r="BZ66" s="148"/>
      <c r="CA66" s="148"/>
      <c r="CB66" s="148"/>
      <c r="CC66" s="148"/>
      <c r="CD66" s="148"/>
      <c r="CE66" s="148"/>
      <c r="CF66" s="148"/>
      <c r="CG66" s="148"/>
      <c r="CH66" s="148"/>
      <c r="CI66" s="148"/>
      <c r="CJ66" s="148"/>
      <c r="CK66" s="148"/>
      <c r="CL66" s="148"/>
      <c r="CM66" s="148"/>
      <c r="CN66" s="148"/>
      <c r="CO66" s="148"/>
      <c r="CP66" s="148"/>
      <c r="CQ66" s="148"/>
      <c r="CR66" s="148">
        <f t="shared" si="126"/>
        <v>3.05</v>
      </c>
      <c r="DB66" s="20"/>
      <c r="DK66" s="10"/>
      <c r="DL66" s="10"/>
      <c r="DM66" s="10"/>
      <c r="DN66" s="10"/>
      <c r="DO66" s="10"/>
      <c r="DP66" s="10"/>
      <c r="DQ66" s="10"/>
      <c r="DR66" s="10"/>
      <c r="DS66" s="10"/>
      <c r="DT66" s="10"/>
      <c r="EB66" s="84"/>
      <c r="EC66" s="84"/>
    </row>
    <row r="67" spans="1:133" x14ac:dyDescent="0.3">
      <c r="A67" s="104" t="s">
        <v>37</v>
      </c>
      <c r="B67" s="104" t="s">
        <v>195</v>
      </c>
      <c r="C67" s="104"/>
      <c r="D67" s="104" t="s">
        <v>88</v>
      </c>
      <c r="E67" s="142" t="s">
        <v>262</v>
      </c>
      <c r="F67" s="143">
        <f>3051/4000</f>
        <v>0.76275000000000004</v>
      </c>
      <c r="G67" s="144"/>
      <c r="H67" s="144"/>
      <c r="I67" s="144"/>
      <c r="J67" s="143">
        <f>F67</f>
        <v>0.76275000000000004</v>
      </c>
      <c r="K67" s="144"/>
      <c r="L67" s="144"/>
      <c r="M67" s="144"/>
      <c r="N67" s="144"/>
      <c r="O67" s="142"/>
      <c r="P67" s="142"/>
      <c r="Q67" s="142" t="s">
        <v>263</v>
      </c>
      <c r="R67" s="146">
        <f t="shared" si="129"/>
        <v>1</v>
      </c>
      <c r="S67" s="145"/>
      <c r="T67" s="145"/>
      <c r="U67" s="145"/>
      <c r="V67" s="145"/>
      <c r="W67" s="147">
        <f t="shared" si="138"/>
        <v>0.711860292938581</v>
      </c>
      <c r="X67" s="147">
        <f t="shared" si="117"/>
        <v>65.672558263244724</v>
      </c>
      <c r="Y67" s="147">
        <f t="shared" si="118"/>
        <v>52.299029605842442</v>
      </c>
      <c r="Z67" s="142">
        <v>25</v>
      </c>
      <c r="AA67" s="148">
        <f t="shared" si="16"/>
        <v>3.9950000000000001</v>
      </c>
      <c r="AB67" s="142">
        <v>1</v>
      </c>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50">
        <f t="shared" si="10"/>
        <v>1</v>
      </c>
      <c r="BI67" s="150">
        <f t="shared" si="11"/>
        <v>0</v>
      </c>
      <c r="BJ67" s="150"/>
      <c r="BK67" s="142">
        <f t="shared" si="143"/>
        <v>3051</v>
      </c>
      <c r="BL67" s="148">
        <v>3.9950000000000001</v>
      </c>
      <c r="BM67" s="148"/>
      <c r="BN67" s="148"/>
      <c r="BO67" s="148"/>
      <c r="BP67" s="148"/>
      <c r="BQ67" s="148"/>
      <c r="BR67" s="148"/>
      <c r="BS67" s="148"/>
      <c r="BT67" s="148"/>
      <c r="BU67" s="148"/>
      <c r="BV67" s="148"/>
      <c r="BW67" s="148"/>
      <c r="BX67" s="148"/>
      <c r="BY67" s="148"/>
      <c r="BZ67" s="148"/>
      <c r="CA67" s="148"/>
      <c r="CB67" s="148"/>
      <c r="CC67" s="148"/>
      <c r="CD67" s="148"/>
      <c r="CE67" s="148"/>
      <c r="CF67" s="148"/>
      <c r="CG67" s="148"/>
      <c r="CH67" s="148"/>
      <c r="CI67" s="148"/>
      <c r="CJ67" s="148"/>
      <c r="CK67" s="148"/>
      <c r="CL67" s="148"/>
      <c r="CM67" s="148"/>
      <c r="CN67" s="148"/>
      <c r="CO67" s="148"/>
      <c r="CP67" s="148"/>
      <c r="CQ67" s="148"/>
      <c r="CR67" s="148">
        <f t="shared" si="126"/>
        <v>3.9950000000000001</v>
      </c>
      <c r="DB67" s="20"/>
      <c r="DK67" s="10"/>
      <c r="DL67" s="10"/>
      <c r="DM67" s="10"/>
      <c r="DN67" s="10"/>
      <c r="DO67" s="10"/>
      <c r="DP67" s="10"/>
      <c r="DQ67" s="10"/>
      <c r="DR67" s="10"/>
      <c r="DS67" s="10"/>
      <c r="DT67" s="10"/>
      <c r="EB67" s="84"/>
      <c r="EC67" s="84"/>
    </row>
    <row r="68" spans="1:133" x14ac:dyDescent="0.3">
      <c r="A68" s="104" t="s">
        <v>37</v>
      </c>
      <c r="B68" s="104" t="s">
        <v>195</v>
      </c>
      <c r="C68" s="104"/>
      <c r="D68" s="104" t="s">
        <v>452</v>
      </c>
      <c r="E68" s="104"/>
      <c r="F68" s="105">
        <v>5</v>
      </c>
      <c r="G68" s="105"/>
      <c r="H68" s="105"/>
      <c r="I68" s="105"/>
      <c r="J68" s="105">
        <f>F68</f>
        <v>5</v>
      </c>
      <c r="K68" s="105"/>
      <c r="L68" s="105"/>
      <c r="M68" s="105"/>
      <c r="N68" s="105"/>
      <c r="O68" s="104">
        <v>2029</v>
      </c>
      <c r="P68" s="104">
        <v>2033</v>
      </c>
      <c r="Q68" s="104">
        <v>2037</v>
      </c>
      <c r="R68" s="106">
        <f>SUM(AB68:AS68)</f>
        <v>1</v>
      </c>
      <c r="S68" s="104"/>
      <c r="T68" s="107">
        <f>'Park spec inputs'!H$22</f>
        <v>0.2</v>
      </c>
      <c r="U68" s="107">
        <f>'Park spec inputs'!I$22</f>
        <v>0.3</v>
      </c>
      <c r="V68" s="107">
        <f>'Park spec inputs'!J$22</f>
        <v>0.5</v>
      </c>
      <c r="W68" s="107">
        <f t="shared" si="138"/>
        <v>0.711860292938581</v>
      </c>
      <c r="X68" s="107">
        <f t="shared" si="117"/>
        <v>65.672558263244724</v>
      </c>
      <c r="Y68" s="107">
        <f t="shared" si="118"/>
        <v>52.299029605842442</v>
      </c>
      <c r="Z68" s="104"/>
      <c r="AA68" s="108">
        <f t="shared" si="16"/>
        <v>2.3086597507723683</v>
      </c>
      <c r="AB68" s="104"/>
      <c r="AC68" s="104"/>
      <c r="AD68" s="104"/>
      <c r="AE68" s="104"/>
      <c r="AF68" s="111">
        <f>AF69</f>
        <v>3.0671470308457977E-2</v>
      </c>
      <c r="AG68" s="111">
        <f t="shared" ref="AG68:AK68" si="144">AG69</f>
        <v>7.0574517253221988E-2</v>
      </c>
      <c r="AH68" s="111">
        <f t="shared" si="144"/>
        <v>5.784797696261839E-2</v>
      </c>
      <c r="AI68" s="111">
        <f t="shared" si="144"/>
        <v>6.2267232328672428E-2</v>
      </c>
      <c r="AJ68" s="111">
        <f t="shared" si="144"/>
        <v>4.8241630734504208E-2</v>
      </c>
      <c r="AK68" s="111">
        <f t="shared" si="144"/>
        <v>1.4129803340614668E-2</v>
      </c>
      <c r="AL68" s="111">
        <f t="shared" ref="AL68:AL69" si="145">AL69</f>
        <v>0.10472734996525389</v>
      </c>
      <c r="AM68" s="111">
        <f t="shared" ref="AM68:AM69" si="146">AM69</f>
        <v>0.10601471966704468</v>
      </c>
      <c r="AN68" s="111">
        <f t="shared" ref="AN68:AN69" si="147">AN69</f>
        <v>0.10750477164694536</v>
      </c>
      <c r="AO68" s="111">
        <f t="shared" ref="AO68:AO69" si="148">AO69</f>
        <v>0.10314837920794254</v>
      </c>
      <c r="AP68" s="111">
        <f t="shared" ref="AP68:AP69" si="149">AP69</f>
        <v>4.8886873976350477E-2</v>
      </c>
      <c r="AQ68" s="111">
        <f t="shared" ref="AQ68:AQ69" si="150">AQ69</f>
        <v>5.2554477979523215E-2</v>
      </c>
      <c r="AR68" s="112">
        <f>1-SUM(AB68:AQ68)</f>
        <v>0.19343079662885021</v>
      </c>
      <c r="AS68" s="104"/>
      <c r="AT68" s="104"/>
      <c r="AU68" s="104"/>
      <c r="AV68" s="104"/>
      <c r="AW68" s="104"/>
      <c r="AX68" s="104"/>
      <c r="AY68" s="104"/>
      <c r="AZ68" s="104"/>
      <c r="BA68" s="104"/>
      <c r="BB68" s="104"/>
      <c r="BC68" s="104"/>
      <c r="BD68" s="104"/>
      <c r="BE68" s="104"/>
      <c r="BF68" s="104"/>
      <c r="BG68" s="104"/>
      <c r="BH68" s="109">
        <f t="shared" si="10"/>
        <v>0.28373263092808965</v>
      </c>
      <c r="BI68" s="109">
        <f t="shared" si="11"/>
        <v>0.71626736907191035</v>
      </c>
      <c r="BJ68" s="109"/>
      <c r="BK68" s="104">
        <f t="shared" ref="BK68:BK82" si="151">SUMPRODUCT(F68:I68,$F$5:$I$5)</f>
        <v>20000</v>
      </c>
      <c r="BL68" s="108">
        <v>0</v>
      </c>
      <c r="BM68" s="108">
        <f>AC68*$BK68*'Opaheke earlier'!N4/1000000</f>
        <v>0</v>
      </c>
      <c r="BN68" s="108">
        <f>AD68*$BK68*'Opaheke earlier'!O4/1000000</f>
        <v>0</v>
      </c>
      <c r="BO68" s="108">
        <f>AE68*$BK68*'Opaheke earlier'!P4/1000000</f>
        <v>0</v>
      </c>
      <c r="BP68" s="108">
        <f>AF68*$BK68*'Opaheke earlier'!Q4/1000000</f>
        <v>0.19373851885939736</v>
      </c>
      <c r="BQ68" s="108">
        <f>AG68*$BK68*'Opaheke earlier'!R4/1000000</f>
        <v>0.47743996189155063</v>
      </c>
      <c r="BR68" s="108">
        <f>AH68*$BK68*'Opaheke earlier'!S4/1000000</f>
        <v>0.41912975841516559</v>
      </c>
      <c r="BS68" s="108">
        <f>AI68*$BK68*'Opaheke earlier'!T4/1000000</f>
        <v>0.48318045096407503</v>
      </c>
      <c r="BT68" s="108">
        <f>AJ68*$BK68*'Opaheke earlier'!U4/1000000</f>
        <v>0.5596220376972002</v>
      </c>
      <c r="BU68" s="108">
        <f>AK68*$BK68*'Opaheke earlier'!V4/1000000</f>
        <v>0.17554902294497948</v>
      </c>
      <c r="BV68" s="108">
        <f>AL68*$BK68*'Opaheke earlier'!W4/1000000</f>
        <v>1.393515758759593</v>
      </c>
      <c r="BW68" s="108">
        <f>AM68*$BK68*'Opaheke earlier'!X4/1000000</f>
        <v>1.5108015100895207</v>
      </c>
      <c r="BX68" s="108">
        <f>AN68*$BK68*'Opaheke earlier'!Y4/1000000</f>
        <v>4.89794208746543</v>
      </c>
      <c r="BY68" s="108">
        <f>AO68*$BK68*'Opaheke earlier'!Z4/1000000</f>
        <v>5.033125780551587</v>
      </c>
      <c r="BZ68" s="108">
        <f>AP68*$BK68*'Opaheke earlier'!AA4/1000000</f>
        <v>2.5548012150273482</v>
      </c>
      <c r="CA68" s="108">
        <v>0</v>
      </c>
      <c r="CB68" s="108">
        <v>0</v>
      </c>
      <c r="CC68" s="108">
        <v>0</v>
      </c>
      <c r="CD68" s="108">
        <v>0</v>
      </c>
      <c r="CE68" s="108">
        <v>0</v>
      </c>
      <c r="CF68" s="108">
        <v>0</v>
      </c>
      <c r="CG68" s="108">
        <v>0</v>
      </c>
      <c r="CH68" s="108">
        <v>0</v>
      </c>
      <c r="CI68" s="108">
        <v>0</v>
      </c>
      <c r="CJ68" s="108">
        <v>0</v>
      </c>
      <c r="CK68" s="108">
        <v>0</v>
      </c>
      <c r="CL68" s="108">
        <v>0</v>
      </c>
      <c r="CM68" s="108">
        <v>0</v>
      </c>
      <c r="CN68" s="108">
        <v>0</v>
      </c>
      <c r="CO68" s="108">
        <v>0</v>
      </c>
      <c r="CP68" s="108">
        <v>0</v>
      </c>
      <c r="CQ68" s="108">
        <v>0</v>
      </c>
      <c r="CR68" s="108">
        <f t="shared" si="126"/>
        <v>17.698846102665847</v>
      </c>
      <c r="CS68" s="19"/>
      <c r="CT68" s="19"/>
      <c r="CU68" s="19"/>
      <c r="CV68" s="19"/>
      <c r="CW68" s="18"/>
      <c r="CX68" s="18"/>
      <c r="CY68" s="18"/>
      <c r="CZ68" s="18"/>
      <c r="DA68" s="20"/>
      <c r="DB68" s="20"/>
      <c r="DC68" s="20"/>
      <c r="DK68" s="10"/>
      <c r="DL68" s="10"/>
      <c r="DM68" s="10"/>
      <c r="DN68" s="10"/>
      <c r="DO68" s="10"/>
      <c r="DP68" s="10"/>
      <c r="DQ68" s="10"/>
      <c r="DR68" s="10"/>
      <c r="DS68" s="10"/>
      <c r="DT68" s="10"/>
      <c r="EB68" s="84"/>
      <c r="EC68" s="84"/>
    </row>
    <row r="69" spans="1:133" x14ac:dyDescent="0.3">
      <c r="A69" s="104" t="s">
        <v>37</v>
      </c>
      <c r="B69" s="104" t="s">
        <v>195</v>
      </c>
      <c r="C69" s="104"/>
      <c r="D69" s="104" t="s">
        <v>452</v>
      </c>
      <c r="E69" s="104" t="s">
        <v>283</v>
      </c>
      <c r="F69" s="105"/>
      <c r="G69" s="105">
        <v>1</v>
      </c>
      <c r="H69" s="105"/>
      <c r="I69" s="105"/>
      <c r="J69" s="105"/>
      <c r="K69" s="105">
        <f>G69</f>
        <v>1</v>
      </c>
      <c r="L69" s="105"/>
      <c r="M69" s="105"/>
      <c r="N69" s="105"/>
      <c r="O69" s="104">
        <f>O68</f>
        <v>2029</v>
      </c>
      <c r="P69" s="104">
        <f t="shared" ref="P69:Q69" si="152">P68</f>
        <v>2033</v>
      </c>
      <c r="Q69" s="104">
        <f t="shared" si="152"/>
        <v>2037</v>
      </c>
      <c r="R69" s="106">
        <f>SUM(AB69:AS69)</f>
        <v>1</v>
      </c>
      <c r="S69" s="107">
        <f>'Park spec inputs'!C$21</f>
        <v>0.15</v>
      </c>
      <c r="T69" s="107">
        <f>'Park spec inputs'!D$21</f>
        <v>0.5</v>
      </c>
      <c r="U69" s="107">
        <f>'Park spec inputs'!E$21</f>
        <v>0.25</v>
      </c>
      <c r="V69" s="107">
        <f>'Park spec inputs'!F$21</f>
        <v>0.1</v>
      </c>
      <c r="W69" s="107">
        <f t="shared" si="138"/>
        <v>0.711860292938581</v>
      </c>
      <c r="X69" s="107">
        <f t="shared" si="117"/>
        <v>65.672558263244724</v>
      </c>
      <c r="Y69" s="107">
        <f t="shared" si="118"/>
        <v>52.299029605842442</v>
      </c>
      <c r="Z69" s="104"/>
      <c r="AA69" s="108">
        <f t="shared" si="16"/>
        <v>3.9243915099803517</v>
      </c>
      <c r="AB69" s="104"/>
      <c r="AC69" s="111">
        <f>AC70</f>
        <v>3.7144039148275132E-2</v>
      </c>
      <c r="AD69" s="111">
        <f t="shared" ref="AD69:AK69" si="153">AD70</f>
        <v>4.693886925000864E-2</v>
      </c>
      <c r="AE69" s="111">
        <f t="shared" si="153"/>
        <v>1.9207251627271639E-2</v>
      </c>
      <c r="AF69" s="111">
        <f t="shared" si="153"/>
        <v>3.0671470308457977E-2</v>
      </c>
      <c r="AG69" s="111">
        <f t="shared" si="153"/>
        <v>7.0574517253221988E-2</v>
      </c>
      <c r="AH69" s="111">
        <f t="shared" si="153"/>
        <v>5.784797696261839E-2</v>
      </c>
      <c r="AI69" s="111">
        <f t="shared" si="153"/>
        <v>6.2267232328672428E-2</v>
      </c>
      <c r="AJ69" s="111">
        <f t="shared" si="153"/>
        <v>4.8241630734504208E-2</v>
      </c>
      <c r="AK69" s="111">
        <f t="shared" si="153"/>
        <v>1.4129803340614668E-2</v>
      </c>
      <c r="AL69" s="111">
        <f t="shared" si="145"/>
        <v>0.10472734996525389</v>
      </c>
      <c r="AM69" s="111">
        <f t="shared" si="146"/>
        <v>0.10601471966704468</v>
      </c>
      <c r="AN69" s="111">
        <f t="shared" si="147"/>
        <v>0.10750477164694536</v>
      </c>
      <c r="AO69" s="111">
        <f t="shared" si="148"/>
        <v>0.10314837920794254</v>
      </c>
      <c r="AP69" s="111">
        <f t="shared" si="149"/>
        <v>4.8886873976350477E-2</v>
      </c>
      <c r="AQ69" s="111">
        <f t="shared" si="150"/>
        <v>5.2554477979523215E-2</v>
      </c>
      <c r="AR69" s="112">
        <f>1-SUM(AB69:AQ69)</f>
        <v>9.0140636603294855E-2</v>
      </c>
      <c r="AS69" s="104"/>
      <c r="AT69" s="104"/>
      <c r="AU69" s="104"/>
      <c r="AV69" s="104"/>
      <c r="AW69" s="104"/>
      <c r="AX69" s="104"/>
      <c r="AY69" s="104"/>
      <c r="AZ69" s="104"/>
      <c r="BA69" s="104"/>
      <c r="BB69" s="104"/>
      <c r="BC69" s="104"/>
      <c r="BD69" s="104"/>
      <c r="BE69" s="104"/>
      <c r="BF69" s="104"/>
      <c r="BG69" s="104"/>
      <c r="BH69" s="109">
        <f t="shared" si="10"/>
        <v>0.38702279095364506</v>
      </c>
      <c r="BI69" s="109">
        <f t="shared" si="11"/>
        <v>0.612977209046355</v>
      </c>
      <c r="BJ69" s="109"/>
      <c r="BK69" s="104">
        <f t="shared" si="151"/>
        <v>30000</v>
      </c>
      <c r="BL69" s="108">
        <v>0</v>
      </c>
      <c r="BM69" s="108">
        <f>AC69*$BK69*'Opaheke earlier'!N4/1000000</f>
        <v>0.15934213347599319</v>
      </c>
      <c r="BN69" s="108">
        <f>AD69*$BK69*'Opaheke earlier'!O4/1000000</f>
        <v>0.21001892496354824</v>
      </c>
      <c r="BO69" s="108">
        <f>AE69*$BK69*'Opaheke earlier'!P4/1000000</f>
        <v>9.2040825382258176E-2</v>
      </c>
      <c r="BP69" s="108">
        <f>AF69*$BK69*'Opaheke earlier'!Q4/1000000</f>
        <v>0.29060777828909601</v>
      </c>
      <c r="BQ69" s="108">
        <f>AG69*$BK69*'Opaheke earlier'!R4/1000000</f>
        <v>0.71615994283732587</v>
      </c>
      <c r="BR69" s="108">
        <f>AH69*$BK69*'Opaheke earlier'!S4/1000000</f>
        <v>0.62869463762274824</v>
      </c>
      <c r="BS69" s="108">
        <f>AI69*$BK69*'Opaheke earlier'!T4/1000000</f>
        <v>0.72477067644611259</v>
      </c>
      <c r="BT69" s="108">
        <f>AJ69*$BK69*'Opaheke earlier'!U4/1000000</f>
        <v>0.83943305654580025</v>
      </c>
      <c r="BU69" s="108">
        <f>AK69*$BK69*'Opaheke earlier'!V4/1000000</f>
        <v>0.26332353441746925</v>
      </c>
      <c r="BV69" s="108">
        <f>AL69*$BK69*'Opaheke earlier'!W4/1000000</f>
        <v>2.0902736381393892</v>
      </c>
      <c r="BW69" s="108">
        <f>AM69*$BK69*'Opaheke earlier'!X4/1000000</f>
        <v>2.266202265134281</v>
      </c>
      <c r="BX69" s="108">
        <f>AN69*$BK69*'Opaheke earlier'!Y4/1000000</f>
        <v>7.3469131311981455</v>
      </c>
      <c r="BY69" s="108">
        <f>AO69*$BK69*'Opaheke earlier'!Z4/1000000</f>
        <v>7.5496886708273818</v>
      </c>
      <c r="BZ69" s="108">
        <f>AP69*$BK69*'Opaheke earlier'!AA4/1000000</f>
        <v>3.8322018225410219</v>
      </c>
      <c r="CA69" s="108">
        <v>0</v>
      </c>
      <c r="CB69" s="108">
        <v>0</v>
      </c>
      <c r="CC69" s="108">
        <v>0</v>
      </c>
      <c r="CD69" s="108">
        <v>0</v>
      </c>
      <c r="CE69" s="108">
        <v>0</v>
      </c>
      <c r="CF69" s="108">
        <v>0</v>
      </c>
      <c r="CG69" s="108">
        <v>0</v>
      </c>
      <c r="CH69" s="108">
        <v>0</v>
      </c>
      <c r="CI69" s="108">
        <v>0</v>
      </c>
      <c r="CJ69" s="108">
        <v>0</v>
      </c>
      <c r="CK69" s="108">
        <v>0</v>
      </c>
      <c r="CL69" s="108">
        <v>0</v>
      </c>
      <c r="CM69" s="108">
        <v>0</v>
      </c>
      <c r="CN69" s="108">
        <v>0</v>
      </c>
      <c r="CO69" s="108">
        <v>0</v>
      </c>
      <c r="CP69" s="108">
        <v>0</v>
      </c>
      <c r="CQ69" s="108">
        <v>0</v>
      </c>
      <c r="CR69" s="108">
        <f t="shared" si="126"/>
        <v>27.009671037820574</v>
      </c>
      <c r="CS69" s="19"/>
      <c r="CT69" s="19"/>
      <c r="CU69" s="19"/>
      <c r="CV69" s="19"/>
      <c r="CW69" s="18"/>
      <c r="CX69" s="18"/>
      <c r="CY69" s="18"/>
      <c r="CZ69" s="18"/>
      <c r="DA69" s="20"/>
      <c r="DB69" s="20"/>
      <c r="DC69" s="20"/>
      <c r="DK69" s="10"/>
      <c r="DL69" s="10"/>
      <c r="DM69" s="10"/>
      <c r="DN69" s="10"/>
      <c r="DO69" s="10"/>
      <c r="DP69" s="10"/>
      <c r="DQ69" s="10"/>
      <c r="DR69" s="10"/>
      <c r="DS69" s="10"/>
      <c r="DT69" s="10"/>
      <c r="EB69" s="84"/>
      <c r="EC69" s="84"/>
    </row>
    <row r="70" spans="1:133" x14ac:dyDescent="0.3">
      <c r="A70" s="104" t="s">
        <v>37</v>
      </c>
      <c r="B70" s="104" t="s">
        <v>195</v>
      </c>
      <c r="C70" s="104"/>
      <c r="D70" s="104" t="str">
        <f>'Land Price Phase Sc1&amp;2'!B36</f>
        <v>Drury East PC area</v>
      </c>
      <c r="E70" s="104"/>
      <c r="F70" s="105">
        <v>7</v>
      </c>
      <c r="G70" s="105"/>
      <c r="H70" s="105"/>
      <c r="I70" s="105"/>
      <c r="J70" s="105">
        <f>F70</f>
        <v>7</v>
      </c>
      <c r="K70" s="105"/>
      <c r="L70" s="105"/>
      <c r="M70" s="105"/>
      <c r="N70" s="105"/>
      <c r="O70" s="104">
        <f>VLOOKUP($D70,'Land Price Phase Sc1&amp;2'!$B$4:$F$50,3,0)</f>
        <v>2022</v>
      </c>
      <c r="P70" s="104">
        <f>VLOOKUP($D70,'Land Price Phase Sc1&amp;2'!$B$4:$F$50,4,0)</f>
        <v>2026</v>
      </c>
      <c r="Q70" s="104">
        <f>VLOOKUP($D70,'Land Price Phase Sc1&amp;2'!$B$4:$F$50,5,0)</f>
        <v>2030</v>
      </c>
      <c r="R70" s="106">
        <f t="shared" ref="R70:R82" si="154">SUM(AB70:BG70)</f>
        <v>1</v>
      </c>
      <c r="S70" s="104"/>
      <c r="T70" s="104"/>
      <c r="U70" s="116">
        <f>'Park spec inputs'!L$22</f>
        <v>0.37499999999999994</v>
      </c>
      <c r="V70" s="116">
        <f>'Park spec inputs'!M$22</f>
        <v>0.625</v>
      </c>
      <c r="W70" s="107">
        <f t="shared" si="138"/>
        <v>0.711860292938581</v>
      </c>
      <c r="X70" s="107">
        <f t="shared" si="117"/>
        <v>65.672558263244724</v>
      </c>
      <c r="Y70" s="107">
        <f t="shared" si="118"/>
        <v>52.299029605842442</v>
      </c>
      <c r="Z70" s="104">
        <v>26</v>
      </c>
      <c r="AA70" s="108">
        <f t="shared" ref="AA70:AA100" si="155">SUM(BL70:BU70)</f>
        <v>13.108533829410856</v>
      </c>
      <c r="AB70" s="114">
        <f t="shared" ref="AB70:AQ70" si="156">AB113</f>
        <v>7.2277777590649045E-2</v>
      </c>
      <c r="AC70" s="114">
        <f t="shared" si="156"/>
        <v>3.7144039148275132E-2</v>
      </c>
      <c r="AD70" s="114">
        <f t="shared" si="156"/>
        <v>4.693886925000864E-2</v>
      </c>
      <c r="AE70" s="114">
        <f t="shared" si="156"/>
        <v>1.9207251627271639E-2</v>
      </c>
      <c r="AF70" s="114">
        <f t="shared" si="156"/>
        <v>3.0671470308457977E-2</v>
      </c>
      <c r="AG70" s="114">
        <f t="shared" si="156"/>
        <v>7.0574517253221988E-2</v>
      </c>
      <c r="AH70" s="114">
        <f t="shared" si="156"/>
        <v>5.784797696261839E-2</v>
      </c>
      <c r="AI70" s="114">
        <f t="shared" si="156"/>
        <v>6.2267232328672428E-2</v>
      </c>
      <c r="AJ70" s="114">
        <f t="shared" si="156"/>
        <v>4.8241630734504208E-2</v>
      </c>
      <c r="AK70" s="114">
        <f t="shared" si="156"/>
        <v>1.4129803340614668E-2</v>
      </c>
      <c r="AL70" s="114">
        <f t="shared" si="156"/>
        <v>0.10472734996525389</v>
      </c>
      <c r="AM70" s="114">
        <f t="shared" si="156"/>
        <v>0.10601471966704468</v>
      </c>
      <c r="AN70" s="114">
        <f t="shared" si="156"/>
        <v>0.10750477164694536</v>
      </c>
      <c r="AO70" s="114">
        <f t="shared" si="156"/>
        <v>0.10314837920794254</v>
      </c>
      <c r="AP70" s="114">
        <f t="shared" si="156"/>
        <v>4.8886873976350477E-2</v>
      </c>
      <c r="AQ70" s="114">
        <f t="shared" si="156"/>
        <v>5.2554477979523215E-2</v>
      </c>
      <c r="AR70" s="112">
        <f>1-SUM(AB70:AQ70)</f>
        <v>1.7862859012645727E-2</v>
      </c>
      <c r="AS70" s="114"/>
      <c r="AT70" s="114"/>
      <c r="AU70" s="114"/>
      <c r="AV70" s="114"/>
      <c r="AW70" s="114"/>
      <c r="AX70" s="114"/>
      <c r="AY70" s="114"/>
      <c r="AZ70" s="114"/>
      <c r="BA70" s="114"/>
      <c r="BB70" s="114"/>
      <c r="BC70" s="114"/>
      <c r="BD70" s="114"/>
      <c r="BE70" s="114"/>
      <c r="BF70" s="114"/>
      <c r="BG70" s="114"/>
      <c r="BH70" s="109">
        <f t="shared" si="10"/>
        <v>0.45930056854429413</v>
      </c>
      <c r="BI70" s="109">
        <f t="shared" si="11"/>
        <v>0.54069943145570587</v>
      </c>
      <c r="BJ70" s="109"/>
      <c r="BK70" s="104">
        <f t="shared" si="151"/>
        <v>28000</v>
      </c>
      <c r="BL70" s="108">
        <f>AB70*$BK70*VLOOKUP($D70,'Land Price Phase Sc1&amp;2'!$B$119:$AU$165,9+BL$7-$BL$7,0)/1000000</f>
        <v>0.49930645204061808</v>
      </c>
      <c r="BM70" s="108">
        <f>AC70*$BK70*VLOOKUP($D70,'Land Price Phase Sc1&amp;2'!$B$119:$AU$165,9+BM$7-$BL$7,0)/1000000</f>
        <v>0.38323825948841433</v>
      </c>
      <c r="BN70" s="108">
        <f>AD70*$BK70*VLOOKUP($D70,'Land Price Phase Sc1&amp;2'!$B$119:$AU$165,9+BN$7-$BL$7,0)/1000000</f>
        <v>0.50512244004053397</v>
      </c>
      <c r="BO70" s="108">
        <f>AE70*$BK70*VLOOKUP($D70,'Land Price Phase Sc1&amp;2'!$B$119:$AU$165,9+BO$7-$BL$7,0)/1000000</f>
        <v>0.22136998515014913</v>
      </c>
      <c r="BP70" s="108">
        <f>AF70*$BK70*VLOOKUP($D70,'Land Price Phase Sc1&amp;2'!$B$119:$AU$165,9+BP$7-$BL$7,0)/1000000</f>
        <v>0.37859735560440561</v>
      </c>
      <c r="BQ70" s="108">
        <f>AG70*$BK70*VLOOKUP($D70,'Land Price Phase Sc1&amp;2'!$B$119:$AU$165,9+BQ$7-$BL$7,0)/1000000</f>
        <v>2.7850664443673785</v>
      </c>
      <c r="BR70" s="108">
        <f>AH70*$BK70*VLOOKUP($D70,'Land Price Phase Sc1&amp;2'!$B$119:$AU$165,9+BR$7-$BL$7,0)/1000000</f>
        <v>2.4449235907551325</v>
      </c>
      <c r="BS70" s="108">
        <f>AI70*$BK70*VLOOKUP($D70,'Land Price Phase Sc1&amp;2'!$B$119:$AU$165,9+BS$7-$BL$7,0)/1000000</f>
        <v>2.8185526306237714</v>
      </c>
      <c r="BT70" s="108">
        <f>AJ70*$BK70*VLOOKUP($D70,'Land Price Phase Sc1&amp;2'!$B$119:$AU$165,9+BT$7-$BL$7,0)/1000000</f>
        <v>2.3387189635106873</v>
      </c>
      <c r="BU70" s="108">
        <f>AK70*$BK70*VLOOKUP($D70,'Land Price Phase Sc1&amp;2'!$B$119:$AU$165,9+BU$7-$BL$7,0)/1000000</f>
        <v>0.7336377078297649</v>
      </c>
      <c r="BV70" s="108">
        <f>AL70*$BK70*VLOOKUP($D70,'Land Price Phase Sc1&amp;2'!$B$119:$AU$165,9+BV$7-$BL$7,0)/1000000</f>
        <v>5.8236479470550142</v>
      </c>
      <c r="BW70" s="108">
        <f>AM70*$BK70*VLOOKUP($D70,'Land Price Phase Sc1&amp;2'!$B$119:$AU$165,9+BW$7-$BL$7,0)/1000000</f>
        <v>6.3137973555979956</v>
      </c>
      <c r="BX70" s="108">
        <f>AN70*$BK70*VLOOKUP($D70,'Land Price Phase Sc1&amp;2'!$B$119:$AU$165,9+BX$7-$BL$7,0)/1000000</f>
        <v>6.8571189224516012</v>
      </c>
      <c r="BY70" s="108">
        <f>AO70*$BK70*VLOOKUP($D70,'Land Price Phase Sc1&amp;2'!$B$119:$AU$165,9+BY$7-$BL$7,0)/1000000</f>
        <v>7.0463760927722232</v>
      </c>
      <c r="BZ70" s="108">
        <f>AP70*$BK70*VLOOKUP($D70,'Land Price Phase Sc1&amp;2'!$B$119:$AU$165,9+BZ$7-$BL$7,0)/1000000</f>
        <v>3.5767217010382875</v>
      </c>
      <c r="CA70" s="108">
        <f>AQ70*$BK70*VLOOKUP($D70,'Land Price Phase Sc1&amp;2'!$B$119:$AU$165,9+CA$7-$BL$7,0)/1000000</f>
        <v>4.1180544014062459</v>
      </c>
      <c r="CB70" s="108">
        <f>AR70*$BK70*VLOOKUP($D70,'Land Price Phase Sc1&amp;2'!$B$119:$AU$165,9+CB$7-$BL$7,0)/1000000</f>
        <v>1.4990730418273897</v>
      </c>
      <c r="CC70" s="108">
        <f>AS70*$BK70*VLOOKUP($D70,'Land Price Phase Sc1&amp;2'!$B$119:$AU$165,9+CC$7-$BL$7,0)/1000000</f>
        <v>0</v>
      </c>
      <c r="CD70" s="108">
        <f>AT70*$BK70*VLOOKUP($D70,'Land Price Phase Sc1&amp;2'!$B$119:$AU$165,9+CD$7-$BL$7,0)/1000000</f>
        <v>0</v>
      </c>
      <c r="CE70" s="108">
        <f>AU70*$BK70*VLOOKUP($D70,'Land Price Phase Sc1&amp;2'!$B$119:$AU$165,9+CE$7-$BL$7,0)/1000000</f>
        <v>0</v>
      </c>
      <c r="CF70" s="108">
        <f>AV70*$BK70*VLOOKUP($D70,'Land Price Phase Sc1&amp;2'!$B$119:$AU$165,9+CF$7-$BL$7,0)/1000000</f>
        <v>0</v>
      </c>
      <c r="CG70" s="108">
        <f>AW70*$BK70*VLOOKUP($D70,'Land Price Phase Sc1&amp;2'!$B$119:$AU$165,9+CG$7-$BL$7,0)/1000000</f>
        <v>0</v>
      </c>
      <c r="CH70" s="108">
        <f>AX70*$BK70*VLOOKUP($D70,'Land Price Phase Sc1&amp;2'!$B$119:$AU$165,9+CH$7-$BL$7,0)/1000000</f>
        <v>0</v>
      </c>
      <c r="CI70" s="108">
        <f>AY70*$BK70*VLOOKUP($D70,'Land Price Phase Sc1&amp;2'!$B$119:$AU$165,9+CI$7-$BL$7,0)/1000000</f>
        <v>0</v>
      </c>
      <c r="CJ70" s="108">
        <f>AZ70*$BK70*VLOOKUP($D70,'Land Price Phase Sc1&amp;2'!$B$119:$AU$165,9+CJ$7-$BL$7,0)/1000000</f>
        <v>0</v>
      </c>
      <c r="CK70" s="108">
        <f>BA70*$BK70*VLOOKUP($D70,'Land Price Phase Sc1&amp;2'!$B$119:$AU$165,9+CK$7-$BL$7,0)/1000000</f>
        <v>0</v>
      </c>
      <c r="CL70" s="108">
        <f>BB70*$BK70*VLOOKUP($D70,'Land Price Phase Sc1&amp;2'!$B$119:$AU$165,9+CL$7-$BL$7,0)/1000000</f>
        <v>0</v>
      </c>
      <c r="CM70" s="108">
        <f>BC70*$BK70*VLOOKUP($D70,'Land Price Phase Sc1&amp;2'!$B$119:$AU$165,9+CM$7-$BL$7,0)/1000000</f>
        <v>0</v>
      </c>
      <c r="CN70" s="108">
        <f>BD70*$BK70*VLOOKUP($D70,'Land Price Phase Sc1&amp;2'!$B$119:$AU$165,9+CN$7-$BL$7,0)/1000000</f>
        <v>0</v>
      </c>
      <c r="CO70" s="108">
        <f>BE70*$BK70*VLOOKUP($D70,'Land Price Phase Sc1&amp;2'!$B$119:$AU$165,9+CO$7-$BL$7,0)/1000000</f>
        <v>0</v>
      </c>
      <c r="CP70" s="108">
        <f>BF70*$BK70*VLOOKUP($D70,'Land Price Phase Sc1&amp;2'!$B$119:$AU$165,9+CP$7-$BL$7,0)/1000000</f>
        <v>0</v>
      </c>
      <c r="CQ70" s="108">
        <f>BG70*$BK70*VLOOKUP($D70,'Land Price Phase Sc1&amp;2'!$B$119:$AU$165,9+CQ$7-$BL$7,0)/1000000</f>
        <v>0</v>
      </c>
      <c r="CR70" s="108">
        <f t="shared" si="126"/>
        <v>48.343323291559614</v>
      </c>
      <c r="CS70" s="19"/>
      <c r="CT70" s="19"/>
      <c r="CU70" s="19"/>
      <c r="CV70" s="19"/>
      <c r="CW70" s="18"/>
      <c r="CX70" s="18"/>
      <c r="CY70" s="18"/>
      <c r="CZ70" s="18"/>
      <c r="DA70" s="20"/>
      <c r="DB70" s="20"/>
      <c r="DC70" s="20"/>
      <c r="DK70" s="10"/>
      <c r="DL70" s="10"/>
      <c r="DM70" s="10"/>
      <c r="DN70" s="10"/>
      <c r="DO70" s="10"/>
      <c r="DP70" s="10"/>
      <c r="DQ70" s="10"/>
      <c r="DR70" s="10"/>
      <c r="DS70" s="10"/>
      <c r="DT70" s="10"/>
      <c r="EB70" s="84"/>
      <c r="EC70" s="84"/>
    </row>
    <row r="71" spans="1:133" x14ac:dyDescent="0.3">
      <c r="A71" s="104" t="s">
        <v>37</v>
      </c>
      <c r="B71" s="104" t="s">
        <v>195</v>
      </c>
      <c r="C71" s="104"/>
      <c r="D71" s="104" t="str">
        <f>D70</f>
        <v>Drury East PC area</v>
      </c>
      <c r="E71" s="104"/>
      <c r="F71" s="105"/>
      <c r="G71" s="105">
        <v>1</v>
      </c>
      <c r="H71" s="105"/>
      <c r="I71" s="105"/>
      <c r="J71" s="105"/>
      <c r="K71" s="105">
        <f>G71</f>
        <v>1</v>
      </c>
      <c r="L71" s="105"/>
      <c r="M71" s="105"/>
      <c r="N71" s="105"/>
      <c r="O71" s="104">
        <f>VLOOKUP($D71,'Land Price Phase Sc1&amp;2'!$B$4:$F$50,3,0)</f>
        <v>2022</v>
      </c>
      <c r="P71" s="104">
        <f>VLOOKUP($D71,'Land Price Phase Sc1&amp;2'!$B$4:$F$50,4,0)</f>
        <v>2026</v>
      </c>
      <c r="Q71" s="104">
        <f>VLOOKUP($D71,'Land Price Phase Sc1&amp;2'!$B$4:$F$50,5,0)</f>
        <v>2030</v>
      </c>
      <c r="R71" s="106">
        <f t="shared" si="154"/>
        <v>1</v>
      </c>
      <c r="S71" s="104"/>
      <c r="T71" s="104"/>
      <c r="U71" s="116">
        <f>'Park spec inputs'!L$21</f>
        <v>0.7142857142857143</v>
      </c>
      <c r="V71" s="116">
        <f>'Park spec inputs'!M$21</f>
        <v>0.28571428571428575</v>
      </c>
      <c r="W71" s="107">
        <f t="shared" si="138"/>
        <v>0.711860292938581</v>
      </c>
      <c r="X71" s="107">
        <f t="shared" si="117"/>
        <v>65.672558263244724</v>
      </c>
      <c r="Y71" s="107">
        <f t="shared" si="118"/>
        <v>52.299029605842442</v>
      </c>
      <c r="Z71" s="104">
        <v>26</v>
      </c>
      <c r="AA71" s="108">
        <f t="shared" si="155"/>
        <v>14.044857674368775</v>
      </c>
      <c r="AB71" s="114">
        <f>AB70</f>
        <v>7.2277777590649045E-2</v>
      </c>
      <c r="AC71" s="114">
        <f t="shared" ref="AC71:AG71" si="157">AC70</f>
        <v>3.7144039148275132E-2</v>
      </c>
      <c r="AD71" s="114">
        <f t="shared" si="157"/>
        <v>4.693886925000864E-2</v>
      </c>
      <c r="AE71" s="114">
        <f t="shared" si="157"/>
        <v>1.9207251627271639E-2</v>
      </c>
      <c r="AF71" s="114">
        <f t="shared" si="157"/>
        <v>3.0671470308457977E-2</v>
      </c>
      <c r="AG71" s="114">
        <f t="shared" si="157"/>
        <v>7.0574517253221988E-2</v>
      </c>
      <c r="AH71" s="114">
        <f t="shared" ref="AH71" si="158">AH70</f>
        <v>5.784797696261839E-2</v>
      </c>
      <c r="AI71" s="114">
        <f t="shared" ref="AI71" si="159">AI70</f>
        <v>6.2267232328672428E-2</v>
      </c>
      <c r="AJ71" s="114">
        <f t="shared" ref="AJ71" si="160">AJ70</f>
        <v>4.8241630734504208E-2</v>
      </c>
      <c r="AK71" s="114">
        <f t="shared" ref="AK71" si="161">AK70</f>
        <v>1.4129803340614668E-2</v>
      </c>
      <c r="AL71" s="114">
        <f t="shared" ref="AL71" si="162">AL70</f>
        <v>0.10472734996525389</v>
      </c>
      <c r="AM71" s="114">
        <f t="shared" ref="AM71" si="163">AM70</f>
        <v>0.10601471966704468</v>
      </c>
      <c r="AN71" s="114">
        <f t="shared" ref="AN71" si="164">AN70</f>
        <v>0.10750477164694536</v>
      </c>
      <c r="AO71" s="114">
        <f t="shared" ref="AO71" si="165">AO70</f>
        <v>0.10314837920794254</v>
      </c>
      <c r="AP71" s="114">
        <f t="shared" ref="AP71" si="166">AP70</f>
        <v>4.8886873976350477E-2</v>
      </c>
      <c r="AQ71" s="114">
        <f t="shared" ref="AQ71" si="167">AQ70</f>
        <v>5.2554477979523215E-2</v>
      </c>
      <c r="AR71" s="114">
        <f t="shared" ref="AR71" si="168">AR70</f>
        <v>1.7862859012645727E-2</v>
      </c>
      <c r="AS71" s="114"/>
      <c r="AT71" s="114"/>
      <c r="AU71" s="114"/>
      <c r="AV71" s="114"/>
      <c r="AW71" s="114"/>
      <c r="AX71" s="114"/>
      <c r="AY71" s="114"/>
      <c r="AZ71" s="114"/>
      <c r="BA71" s="114"/>
      <c r="BB71" s="114"/>
      <c r="BC71" s="114"/>
      <c r="BD71" s="114"/>
      <c r="BE71" s="114"/>
      <c r="BF71" s="114"/>
      <c r="BG71" s="114"/>
      <c r="BH71" s="109">
        <f t="shared" si="10"/>
        <v>0.45930056854429413</v>
      </c>
      <c r="BI71" s="109">
        <f t="shared" si="11"/>
        <v>0.54069943145570587</v>
      </c>
      <c r="BJ71" s="109"/>
      <c r="BK71" s="104">
        <f t="shared" si="151"/>
        <v>30000</v>
      </c>
      <c r="BL71" s="108">
        <f>AB71*$BK71*VLOOKUP($D71,'Land Price Phase Sc1&amp;2'!$B$119:$AU$165,9+BL$7-$BL$7,0)/1000000</f>
        <v>0.53497119861494802</v>
      </c>
      <c r="BM71" s="108">
        <f>AC71*$BK71*VLOOKUP($D71,'Land Price Phase Sc1&amp;2'!$B$119:$AU$165,9+BM$7-$BL$7,0)/1000000</f>
        <v>0.41061242088044397</v>
      </c>
      <c r="BN71" s="108">
        <f>AD71*$BK71*VLOOKUP($D71,'Land Price Phase Sc1&amp;2'!$B$119:$AU$165,9+BN$7-$BL$7,0)/1000000</f>
        <v>0.54120261432914352</v>
      </c>
      <c r="BO71" s="108">
        <f>AE71*$BK71*VLOOKUP($D71,'Land Price Phase Sc1&amp;2'!$B$119:$AU$165,9+BO$7-$BL$7,0)/1000000</f>
        <v>0.23718212694658836</v>
      </c>
      <c r="BP71" s="108">
        <f>AF71*$BK71*VLOOKUP($D71,'Land Price Phase Sc1&amp;2'!$B$119:$AU$165,9+BP$7-$BL$7,0)/1000000</f>
        <v>0.40564002386186321</v>
      </c>
      <c r="BQ71" s="108">
        <f>AG71*$BK71*VLOOKUP($D71,'Land Price Phase Sc1&amp;2'!$B$119:$AU$165,9+BQ$7-$BL$7,0)/1000000</f>
        <v>2.983999761822191</v>
      </c>
      <c r="BR71" s="108">
        <f>AH71*$BK71*VLOOKUP($D71,'Land Price Phase Sc1&amp;2'!$B$119:$AU$165,9+BR$7-$BL$7,0)/1000000</f>
        <v>2.6195609900947847</v>
      </c>
      <c r="BS71" s="108">
        <f>AI71*$BK71*VLOOKUP($D71,'Land Price Phase Sc1&amp;2'!$B$119:$AU$165,9+BS$7-$BL$7,0)/1000000</f>
        <v>3.0198778185254689</v>
      </c>
      <c r="BT71" s="108">
        <f>AJ71*$BK71*VLOOKUP($D71,'Land Price Phase Sc1&amp;2'!$B$119:$AU$165,9+BT$7-$BL$7,0)/1000000</f>
        <v>2.5057703180471655</v>
      </c>
      <c r="BU71" s="108">
        <f>AK71*$BK71*VLOOKUP($D71,'Land Price Phase Sc1&amp;2'!$B$119:$AU$165,9+BU$7-$BL$7,0)/1000000</f>
        <v>0.78604040124617669</v>
      </c>
      <c r="BV71" s="108">
        <f>AL71*$BK71*VLOOKUP($D71,'Land Price Phase Sc1&amp;2'!$B$119:$AU$165,9+BV$7-$BL$7,0)/1000000</f>
        <v>6.2396228004160861</v>
      </c>
      <c r="BW71" s="108">
        <f>AM71*$BK71*VLOOKUP($D71,'Land Price Phase Sc1&amp;2'!$B$119:$AU$165,9+BW$7-$BL$7,0)/1000000</f>
        <v>6.7647828809978527</v>
      </c>
      <c r="BX71" s="108">
        <f>AN71*$BK71*VLOOKUP($D71,'Land Price Phase Sc1&amp;2'!$B$119:$AU$165,9+BX$7-$BL$7,0)/1000000</f>
        <v>7.3469131311981455</v>
      </c>
      <c r="BY71" s="108">
        <f>AO71*$BK71*VLOOKUP($D71,'Land Price Phase Sc1&amp;2'!$B$119:$AU$165,9+BY$7-$BL$7,0)/1000000</f>
        <v>7.5496886708273818</v>
      </c>
      <c r="BZ71" s="108">
        <f>AP71*$BK71*VLOOKUP($D71,'Land Price Phase Sc1&amp;2'!$B$119:$AU$165,9+BZ$7-$BL$7,0)/1000000</f>
        <v>3.8322018225410219</v>
      </c>
      <c r="CA71" s="108">
        <f>AQ71*$BK71*VLOOKUP($D71,'Land Price Phase Sc1&amp;2'!$B$119:$AU$165,9+CA$7-$BL$7,0)/1000000</f>
        <v>4.4122011443638343</v>
      </c>
      <c r="CB71" s="108">
        <f>AR71*$BK71*VLOOKUP($D71,'Land Price Phase Sc1&amp;2'!$B$119:$AU$165,9+CB$7-$BL$7,0)/1000000</f>
        <v>1.6061496876722035</v>
      </c>
      <c r="CC71" s="108">
        <f>AS71*$BK71*VLOOKUP($D71,'Land Price Phase Sc1&amp;2'!$B$119:$AU$165,9+CC$7-$BL$7,0)/1000000</f>
        <v>0</v>
      </c>
      <c r="CD71" s="108">
        <f>AT71*$BK71*VLOOKUP($D71,'Land Price Phase Sc1&amp;2'!$B$119:$AU$165,9+CD$7-$BL$7,0)/1000000</f>
        <v>0</v>
      </c>
      <c r="CE71" s="108">
        <f>AU71*$BK71*VLOOKUP($D71,'Land Price Phase Sc1&amp;2'!$B$119:$AU$165,9+CE$7-$BL$7,0)/1000000</f>
        <v>0</v>
      </c>
      <c r="CF71" s="108">
        <f>AV71*$BK71*VLOOKUP($D71,'Land Price Phase Sc1&amp;2'!$B$119:$AU$165,9+CF$7-$BL$7,0)/1000000</f>
        <v>0</v>
      </c>
      <c r="CG71" s="108">
        <f>AW71*$BK71*VLOOKUP($D71,'Land Price Phase Sc1&amp;2'!$B$119:$AU$165,9+CG$7-$BL$7,0)/1000000</f>
        <v>0</v>
      </c>
      <c r="CH71" s="108">
        <f>AX71*$BK71*VLOOKUP($D71,'Land Price Phase Sc1&amp;2'!$B$119:$AU$165,9+CH$7-$BL$7,0)/1000000</f>
        <v>0</v>
      </c>
      <c r="CI71" s="108">
        <f>AY71*$BK71*VLOOKUP($D71,'Land Price Phase Sc1&amp;2'!$B$119:$AU$165,9+CI$7-$BL$7,0)/1000000</f>
        <v>0</v>
      </c>
      <c r="CJ71" s="108">
        <f>AZ71*$BK71*VLOOKUP($D71,'Land Price Phase Sc1&amp;2'!$B$119:$AU$165,9+CJ$7-$BL$7,0)/1000000</f>
        <v>0</v>
      </c>
      <c r="CK71" s="108">
        <f>BA71*$BK71*VLOOKUP($D71,'Land Price Phase Sc1&amp;2'!$B$119:$AU$165,9+CK$7-$BL$7,0)/1000000</f>
        <v>0</v>
      </c>
      <c r="CL71" s="108">
        <f>BB71*$BK71*VLOOKUP($D71,'Land Price Phase Sc1&amp;2'!$B$119:$AU$165,9+CL$7-$BL$7,0)/1000000</f>
        <v>0</v>
      </c>
      <c r="CM71" s="108">
        <f>BC71*$BK71*VLOOKUP($D71,'Land Price Phase Sc1&amp;2'!$B$119:$AU$165,9+CM$7-$BL$7,0)/1000000</f>
        <v>0</v>
      </c>
      <c r="CN71" s="108">
        <f>BD71*$BK71*VLOOKUP($D71,'Land Price Phase Sc1&amp;2'!$B$119:$AU$165,9+CN$7-$BL$7,0)/1000000</f>
        <v>0</v>
      </c>
      <c r="CO71" s="108">
        <f>BE71*$BK71*VLOOKUP($D71,'Land Price Phase Sc1&amp;2'!$B$119:$AU$165,9+CO$7-$BL$7,0)/1000000</f>
        <v>0</v>
      </c>
      <c r="CP71" s="108">
        <f>BF71*$BK71*VLOOKUP($D71,'Land Price Phase Sc1&amp;2'!$B$119:$AU$165,9+CP$7-$BL$7,0)/1000000</f>
        <v>0</v>
      </c>
      <c r="CQ71" s="108">
        <f>BG71*$BK71*VLOOKUP($D71,'Land Price Phase Sc1&amp;2'!$B$119:$AU$165,9+CQ$7-$BL$7,0)/1000000</f>
        <v>0</v>
      </c>
      <c r="CR71" s="108">
        <f t="shared" si="126"/>
        <v>51.796417812385293</v>
      </c>
      <c r="CS71" s="19"/>
      <c r="CT71" s="19"/>
      <c r="CU71" s="19"/>
      <c r="CV71" s="19"/>
      <c r="CW71" s="18"/>
      <c r="CX71" s="18"/>
      <c r="CY71" s="18"/>
      <c r="CZ71" s="18"/>
      <c r="DA71" s="20"/>
      <c r="DB71" s="20"/>
      <c r="DC71" s="20"/>
      <c r="DK71" s="10"/>
      <c r="DL71" s="10"/>
      <c r="DM71" s="10"/>
      <c r="DN71" s="10"/>
      <c r="DO71" s="10"/>
      <c r="DP71" s="10"/>
      <c r="DQ71" s="10"/>
      <c r="DR71" s="10"/>
      <c r="DS71" s="10"/>
      <c r="DT71" s="10"/>
      <c r="EB71" s="84"/>
      <c r="EC71" s="84"/>
    </row>
    <row r="72" spans="1:133" x14ac:dyDescent="0.3">
      <c r="A72" s="104" t="s">
        <v>37</v>
      </c>
      <c r="B72" s="104" t="s">
        <v>195</v>
      </c>
      <c r="C72" s="104"/>
      <c r="D72" s="104" t="str">
        <f>D71</f>
        <v>Drury East PC area</v>
      </c>
      <c r="E72" s="104"/>
      <c r="F72" s="105"/>
      <c r="G72" s="105"/>
      <c r="H72" s="105"/>
      <c r="I72" s="105">
        <v>1</v>
      </c>
      <c r="J72" s="105"/>
      <c r="K72" s="105"/>
      <c r="L72" s="105"/>
      <c r="M72" s="105">
        <f>I72</f>
        <v>1</v>
      </c>
      <c r="N72" s="105"/>
      <c r="O72" s="104">
        <f>VLOOKUP($D72,'Land Price Phase Sc1&amp;2'!$B$4:$F$50,3,0)</f>
        <v>2022</v>
      </c>
      <c r="P72" s="104">
        <f>VLOOKUP($D72,'Land Price Phase Sc1&amp;2'!$B$4:$F$50,4,0)</f>
        <v>2026</v>
      </c>
      <c r="Q72" s="104">
        <f>VLOOKUP($D72,'Land Price Phase Sc1&amp;2'!$B$4:$F$50,5,0)</f>
        <v>2030</v>
      </c>
      <c r="R72" s="106">
        <f t="shared" si="154"/>
        <v>1</v>
      </c>
      <c r="S72" s="104"/>
      <c r="T72" s="104"/>
      <c r="U72" s="116">
        <f>'Park spec inputs'!L$24</f>
        <v>0.5</v>
      </c>
      <c r="V72" s="116">
        <f>'Park spec inputs'!M$24</f>
        <v>0.5</v>
      </c>
      <c r="W72" s="107">
        <f t="shared" si="138"/>
        <v>0.711860292938581</v>
      </c>
      <c r="X72" s="107">
        <f t="shared" si="117"/>
        <v>65.672558263244724</v>
      </c>
      <c r="Y72" s="107">
        <f t="shared" si="118"/>
        <v>52.299029605842442</v>
      </c>
      <c r="Z72" s="104">
        <v>26</v>
      </c>
      <c r="AA72" s="108">
        <f t="shared" si="155"/>
        <v>1.3005891798366465</v>
      </c>
      <c r="AB72" s="104"/>
      <c r="AC72" s="109"/>
      <c r="AD72" s="109"/>
      <c r="AE72" s="109"/>
      <c r="AF72" s="109"/>
      <c r="AG72" s="109"/>
      <c r="AH72" s="109"/>
      <c r="AI72" s="109">
        <v>0.125</v>
      </c>
      <c r="AJ72" s="109">
        <v>0.125</v>
      </c>
      <c r="AK72" s="109">
        <v>0.125</v>
      </c>
      <c r="AL72" s="109">
        <f t="shared" ref="AL72:AP72" si="169">0.125</f>
        <v>0.125</v>
      </c>
      <c r="AM72" s="109">
        <f t="shared" si="169"/>
        <v>0.125</v>
      </c>
      <c r="AN72" s="109">
        <f t="shared" si="169"/>
        <v>0.125</v>
      </c>
      <c r="AO72" s="109">
        <f t="shared" si="169"/>
        <v>0.125</v>
      </c>
      <c r="AP72" s="109">
        <f t="shared" si="169"/>
        <v>0.125</v>
      </c>
      <c r="AQ72" s="109"/>
      <c r="AR72" s="104"/>
      <c r="AS72" s="104"/>
      <c r="AT72" s="104"/>
      <c r="AU72" s="104"/>
      <c r="AV72" s="104"/>
      <c r="AW72" s="104"/>
      <c r="AX72" s="104"/>
      <c r="AY72" s="104"/>
      <c r="AZ72" s="104"/>
      <c r="BA72" s="104"/>
      <c r="BB72" s="104"/>
      <c r="BC72" s="104"/>
      <c r="BD72" s="104"/>
      <c r="BE72" s="104"/>
      <c r="BF72" s="104"/>
      <c r="BG72" s="104"/>
      <c r="BH72" s="109">
        <f t="shared" ref="BH72:BH99" si="170">SUM(AB72:AK72)</f>
        <v>0.375</v>
      </c>
      <c r="BI72" s="109">
        <f t="shared" ref="BI72:BI99" si="171">SUM(AL72:BG72)</f>
        <v>0.625</v>
      </c>
      <c r="BJ72" s="109"/>
      <c r="BK72" s="104">
        <f t="shared" si="151"/>
        <v>2000</v>
      </c>
      <c r="BL72" s="108">
        <f>AB72*$BK72*VLOOKUP($D72,'Land Price Phase Sc1&amp;2'!$B$119:$AU$165,9+BL$7-$BL$7,0)/1000000</f>
        <v>0</v>
      </c>
      <c r="BM72" s="108">
        <f>AC72*$BK72*VLOOKUP($D72,'Land Price Phase Sc1&amp;2'!$B$119:$AU$165,9+BM$7-$BL$7,0)/1000000</f>
        <v>0</v>
      </c>
      <c r="BN72" s="108">
        <f>AD72*$BK72*VLOOKUP($D72,'Land Price Phase Sc1&amp;2'!$B$119:$AU$165,9+BN$7-$BL$7,0)/1000000</f>
        <v>0</v>
      </c>
      <c r="BO72" s="108">
        <f>AE72*$BK72*VLOOKUP($D72,'Land Price Phase Sc1&amp;2'!$B$119:$AU$165,9+BO$7-$BL$7,0)/1000000</f>
        <v>0</v>
      </c>
      <c r="BP72" s="108">
        <f>AF72*$BK72*VLOOKUP($D72,'Land Price Phase Sc1&amp;2'!$B$119:$AU$165,9+BP$7-$BL$7,0)/1000000</f>
        <v>0</v>
      </c>
      <c r="BQ72" s="108">
        <f>AG72*$BK72*VLOOKUP($D72,'Land Price Phase Sc1&amp;2'!$B$119:$AU$165,9+BQ$7-$BL$7,0)/1000000</f>
        <v>0</v>
      </c>
      <c r="BR72" s="108">
        <f>AH72*$BK72*VLOOKUP($D72,'Land Price Phase Sc1&amp;2'!$B$119:$AU$165,9+BR$7-$BL$7,0)/1000000</f>
        <v>0</v>
      </c>
      <c r="BS72" s="108">
        <f>AI72*$BK72*VLOOKUP($D72,'Land Price Phase Sc1&amp;2'!$B$119:$AU$165,9+BS$7-$BL$7,0)/1000000</f>
        <v>0.40415556540039316</v>
      </c>
      <c r="BT72" s="108">
        <f>AJ72*$BK72*VLOOKUP($D72,'Land Price Phase Sc1&amp;2'!$B$119:$AU$165,9+BT$7-$BL$7,0)/1000000</f>
        <v>0.43285061054382107</v>
      </c>
      <c r="BU72" s="108">
        <f>AK72*$BK72*VLOOKUP($D72,'Land Price Phase Sc1&amp;2'!$B$119:$AU$165,9+BU$7-$BL$7,0)/1000000</f>
        <v>0.46358300389243234</v>
      </c>
      <c r="BV72" s="108">
        <f>AL72*$BK72*VLOOKUP($D72,'Land Price Phase Sc1&amp;2'!$B$119:$AU$165,9+BV$7-$BL$7,0)/1000000</f>
        <v>0.49649739716879504</v>
      </c>
      <c r="BW72" s="108">
        <f>AM72*$BK72*VLOOKUP($D72,'Land Price Phase Sc1&amp;2'!$B$119:$AU$165,9+BW$7-$BL$7,0)/1000000</f>
        <v>0.53174871236777932</v>
      </c>
      <c r="BX72" s="108">
        <f>AN72*$BK72*VLOOKUP($D72,'Land Price Phase Sc1&amp;2'!$B$119:$AU$165,9+BX$7-$BL$7,0)/1000000</f>
        <v>0.56950287094589169</v>
      </c>
      <c r="BY72" s="108">
        <f>AO72*$BK72*VLOOKUP($D72,'Land Price Phase Sc1&amp;2'!$B$119:$AU$165,9+BY$7-$BL$7,0)/1000000</f>
        <v>0.60993757478305</v>
      </c>
      <c r="BZ72" s="108">
        <f>AP72*$BK72*VLOOKUP($D72,'Land Price Phase Sc1&amp;2'!$B$119:$AU$165,9+BZ$7-$BL$7,0)/1000000</f>
        <v>0.65324314259264638</v>
      </c>
      <c r="CA72" s="108">
        <f>AQ72*$BK72*VLOOKUP($D72,'Land Price Phase Sc1&amp;2'!$B$119:$AU$165,9+CA$7-$BL$7,0)/1000000</f>
        <v>0</v>
      </c>
      <c r="CB72" s="108">
        <f>AR72*$BK72*VLOOKUP($D72,'Land Price Phase Sc1&amp;2'!$B$119:$AU$165,9+CB$7-$BL$7,0)/1000000</f>
        <v>0</v>
      </c>
      <c r="CC72" s="108">
        <f>AS72*$BK72*VLOOKUP($D72,'Land Price Phase Sc1&amp;2'!$B$119:$AU$165,9+CC$7-$BL$7,0)/1000000</f>
        <v>0</v>
      </c>
      <c r="CD72" s="108">
        <f>AT72*$BK72*VLOOKUP($D72,'Land Price Phase Sc1&amp;2'!$B$119:$AU$165,9+CD$7-$BL$7,0)/1000000</f>
        <v>0</v>
      </c>
      <c r="CE72" s="108">
        <f>AU72*$BK72*VLOOKUP($D72,'Land Price Phase Sc1&amp;2'!$B$119:$AU$165,9+CE$7-$BL$7,0)/1000000</f>
        <v>0</v>
      </c>
      <c r="CF72" s="108">
        <f>AV72*$BK72*VLOOKUP($D72,'Land Price Phase Sc1&amp;2'!$B$119:$AU$165,9+CF$7-$BL$7,0)/1000000</f>
        <v>0</v>
      </c>
      <c r="CG72" s="108">
        <f>AW72*$BK72*VLOOKUP($D72,'Land Price Phase Sc1&amp;2'!$B$119:$AU$165,9+CG$7-$BL$7,0)/1000000</f>
        <v>0</v>
      </c>
      <c r="CH72" s="108">
        <f>AX72*$BK72*VLOOKUP($D72,'Land Price Phase Sc1&amp;2'!$B$119:$AU$165,9+CH$7-$BL$7,0)/1000000</f>
        <v>0</v>
      </c>
      <c r="CI72" s="108">
        <f>AY72*$BK72*VLOOKUP($D72,'Land Price Phase Sc1&amp;2'!$B$119:$AU$165,9+CI$7-$BL$7,0)/1000000</f>
        <v>0</v>
      </c>
      <c r="CJ72" s="108">
        <f>AZ72*$BK72*VLOOKUP($D72,'Land Price Phase Sc1&amp;2'!$B$119:$AU$165,9+CJ$7-$BL$7,0)/1000000</f>
        <v>0</v>
      </c>
      <c r="CK72" s="108">
        <f>BA72*$BK72*VLOOKUP($D72,'Land Price Phase Sc1&amp;2'!$B$119:$AU$165,9+CK$7-$BL$7,0)/1000000</f>
        <v>0</v>
      </c>
      <c r="CL72" s="108">
        <f>BB72*$BK72*VLOOKUP($D72,'Land Price Phase Sc1&amp;2'!$B$119:$AU$165,9+CL$7-$BL$7,0)/1000000</f>
        <v>0</v>
      </c>
      <c r="CM72" s="108">
        <f>BC72*$BK72*VLOOKUP($D72,'Land Price Phase Sc1&amp;2'!$B$119:$AU$165,9+CM$7-$BL$7,0)/1000000</f>
        <v>0</v>
      </c>
      <c r="CN72" s="108">
        <f>BD72*$BK72*VLOOKUP($D72,'Land Price Phase Sc1&amp;2'!$B$119:$AU$165,9+CN$7-$BL$7,0)/1000000</f>
        <v>0</v>
      </c>
      <c r="CO72" s="108">
        <f>BE72*$BK72*VLOOKUP($D72,'Land Price Phase Sc1&amp;2'!$B$119:$AU$165,9+CO$7-$BL$7,0)/1000000</f>
        <v>0</v>
      </c>
      <c r="CP72" s="108">
        <f>BF72*$BK72*VLOOKUP($D72,'Land Price Phase Sc1&amp;2'!$B$119:$AU$165,9+CP$7-$BL$7,0)/1000000</f>
        <v>0</v>
      </c>
      <c r="CQ72" s="108">
        <f>BG72*$BK72*VLOOKUP($D72,'Land Price Phase Sc1&amp;2'!$B$119:$AU$165,9+CQ$7-$BL$7,0)/1000000</f>
        <v>0</v>
      </c>
      <c r="CR72" s="108">
        <f t="shared" si="126"/>
        <v>4.1615188776948084</v>
      </c>
      <c r="CS72" s="19"/>
      <c r="CT72" s="19"/>
      <c r="CU72" s="19"/>
      <c r="CV72" s="19"/>
      <c r="CW72" s="18"/>
      <c r="CX72" s="18"/>
      <c r="CY72" s="18"/>
      <c r="CZ72" s="18"/>
      <c r="DA72" s="20"/>
      <c r="DB72" s="20"/>
      <c r="DC72" s="20"/>
      <c r="DK72" s="10"/>
      <c r="DL72" s="10"/>
      <c r="DM72" s="10"/>
      <c r="DN72" s="10"/>
      <c r="DO72" s="10"/>
      <c r="DP72" s="10"/>
      <c r="DQ72" s="10"/>
      <c r="DR72" s="10"/>
      <c r="DS72" s="10"/>
      <c r="DT72" s="10"/>
      <c r="EB72" s="84"/>
      <c r="EC72" s="84"/>
    </row>
    <row r="73" spans="1:133" x14ac:dyDescent="0.3">
      <c r="A73" s="104" t="s">
        <v>37</v>
      </c>
      <c r="B73" s="104" t="s">
        <v>195</v>
      </c>
      <c r="C73" s="104"/>
      <c r="D73" s="104" t="str">
        <f>'Land Price Phase Sc1&amp;2'!B32</f>
        <v>Drury East</v>
      </c>
      <c r="E73" s="104"/>
      <c r="F73" s="105">
        <v>3</v>
      </c>
      <c r="G73" s="105"/>
      <c r="H73" s="105"/>
      <c r="I73" s="105"/>
      <c r="J73" s="105">
        <f t="shared" ref="J73:J75" si="172">F73</f>
        <v>3</v>
      </c>
      <c r="K73" s="105"/>
      <c r="L73" s="105"/>
      <c r="M73" s="105"/>
      <c r="N73" s="105"/>
      <c r="O73" s="104">
        <f>VLOOKUP($D73,'Land Price Phase Sc1&amp;2'!$B$4:$F$50,3,0)</f>
        <v>2031</v>
      </c>
      <c r="P73" s="104">
        <f>VLOOKUP($D73,'Land Price Phase Sc1&amp;2'!$B$4:$F$50,4,0)</f>
        <v>2035</v>
      </c>
      <c r="Q73" s="104">
        <f>VLOOKUP($D73,'Land Price Phase Sc1&amp;2'!$B$4:$F$50,5,0)</f>
        <v>2039</v>
      </c>
      <c r="R73" s="106">
        <f t="shared" si="154"/>
        <v>0.99999999999999989</v>
      </c>
      <c r="S73" s="104"/>
      <c r="T73" s="107">
        <f>'Park spec inputs'!H$22</f>
        <v>0.2</v>
      </c>
      <c r="U73" s="107">
        <f>'Park spec inputs'!I$22</f>
        <v>0.3</v>
      </c>
      <c r="V73" s="107">
        <f>'Park spec inputs'!J$22</f>
        <v>0.5</v>
      </c>
      <c r="W73" s="107">
        <f t="shared" si="138"/>
        <v>0.711860292938581</v>
      </c>
      <c r="X73" s="107">
        <f t="shared" si="117"/>
        <v>65.672558263244724</v>
      </c>
      <c r="Y73" s="107">
        <f t="shared" si="118"/>
        <v>52.299029605842442</v>
      </c>
      <c r="Z73" s="104">
        <v>31</v>
      </c>
      <c r="AA73" s="108">
        <f t="shared" si="155"/>
        <v>0.96650034393569972</v>
      </c>
      <c r="AB73" s="104"/>
      <c r="AC73" s="104"/>
      <c r="AD73" s="104"/>
      <c r="AE73" s="104"/>
      <c r="AF73" s="104"/>
      <c r="AG73" s="104"/>
      <c r="AH73" s="111">
        <v>0.05</v>
      </c>
      <c r="AI73" s="111">
        <v>0.05</v>
      </c>
      <c r="AJ73" s="111">
        <v>0.05</v>
      </c>
      <c r="AK73" s="111">
        <v>0.05</v>
      </c>
      <c r="AL73" s="111">
        <f>$U73/4</f>
        <v>7.4999999999999997E-2</v>
      </c>
      <c r="AM73" s="111">
        <f>AL73</f>
        <v>7.4999999999999997E-2</v>
      </c>
      <c r="AN73" s="111">
        <f>AM73</f>
        <v>7.4999999999999997E-2</v>
      </c>
      <c r="AO73" s="111">
        <f>AN73</f>
        <v>7.4999999999999997E-2</v>
      </c>
      <c r="AP73" s="111">
        <f>$V73/3</f>
        <v>0.16666666666666666</v>
      </c>
      <c r="AQ73" s="111">
        <f>AP73</f>
        <v>0.16666666666666666</v>
      </c>
      <c r="AR73" s="111">
        <f>AQ73</f>
        <v>0.16666666666666666</v>
      </c>
      <c r="AS73" s="104"/>
      <c r="AT73" s="104"/>
      <c r="AU73" s="104"/>
      <c r="AV73" s="104"/>
      <c r="AW73" s="104"/>
      <c r="AX73" s="104"/>
      <c r="AY73" s="104"/>
      <c r="AZ73" s="104"/>
      <c r="BA73" s="104"/>
      <c r="BB73" s="104"/>
      <c r="BC73" s="104"/>
      <c r="BD73" s="104"/>
      <c r="BE73" s="104"/>
      <c r="BF73" s="104"/>
      <c r="BG73" s="104"/>
      <c r="BH73" s="109">
        <f t="shared" si="170"/>
        <v>0.2</v>
      </c>
      <c r="BI73" s="109">
        <f t="shared" si="171"/>
        <v>0.79999999999999993</v>
      </c>
      <c r="BJ73" s="109"/>
      <c r="BK73" s="104">
        <f t="shared" si="151"/>
        <v>12000</v>
      </c>
      <c r="BL73" s="108">
        <f>AB73*$BK73*VLOOKUP($D73,'Land Price Phase Sc1&amp;2'!$B$119:$AU$165,9+BL$7-$BL$7,0)/1000000</f>
        <v>0</v>
      </c>
      <c r="BM73" s="108">
        <f>AC73*$BK73*VLOOKUP($D73,'Land Price Phase Sc1&amp;2'!$B$119:$AU$165,9+BM$7-$BL$7,0)/1000000</f>
        <v>0</v>
      </c>
      <c r="BN73" s="108">
        <f>AD73*$BK73*VLOOKUP($D73,'Land Price Phase Sc1&amp;2'!$B$119:$AU$165,9+BN$7-$BL$7,0)/1000000</f>
        <v>0</v>
      </c>
      <c r="BO73" s="108">
        <f>AE73*$BK73*VLOOKUP($D73,'Land Price Phase Sc1&amp;2'!$B$119:$AU$165,9+BO$7-$BL$7,0)/1000000</f>
        <v>0</v>
      </c>
      <c r="BP73" s="108">
        <f>AF73*$BK73*VLOOKUP($D73,'Land Price Phase Sc1&amp;2'!$B$119:$AU$165,9+BP$7-$BL$7,0)/1000000</f>
        <v>0</v>
      </c>
      <c r="BQ73" s="108">
        <f>AG73*$BK73*VLOOKUP($D73,'Land Price Phase Sc1&amp;2'!$B$119:$AU$165,9+BQ$7-$BL$7,0)/1000000</f>
        <v>0</v>
      </c>
      <c r="BR73" s="108">
        <f>AH73*$BK73*VLOOKUP($D73,'Land Price Phase Sc1&amp;2'!$B$119:$AU$165,9+BR$7-$BL$7,0)/1000000</f>
        <v>0.21736097634979129</v>
      </c>
      <c r="BS73" s="108">
        <f>AI73*$BK73*VLOOKUP($D73,'Land Price Phase Sc1&amp;2'!$B$119:$AU$165,9+BS$7-$BL$7,0)/1000000</f>
        <v>0.23279360567062646</v>
      </c>
      <c r="BT73" s="108">
        <f>AJ73*$BK73*VLOOKUP($D73,'Land Price Phase Sc1&amp;2'!$B$119:$AU$165,9+BT$7-$BL$7,0)/1000000</f>
        <v>0.24932195167324092</v>
      </c>
      <c r="BU73" s="108">
        <f>AK73*$BK73*VLOOKUP($D73,'Land Price Phase Sc1&amp;2'!$B$119:$AU$165,9+BU$7-$BL$7,0)/1000000</f>
        <v>0.26702381024204103</v>
      </c>
      <c r="BV73" s="108">
        <f>AL73*$BK73*VLOOKUP($D73,'Land Price Phase Sc1&amp;2'!$B$119:$AU$165,9+BV$7-$BL$7,0)/1000000</f>
        <v>0.5987758609855669</v>
      </c>
      <c r="BW73" s="108">
        <f>AM73*$BK73*VLOOKUP($D73,'Land Price Phase Sc1&amp;2'!$B$119:$AU$165,9+BW$7-$BL$7,0)/1000000</f>
        <v>0.64128894711554196</v>
      </c>
      <c r="BX73" s="108">
        <f>AN73*$BK73*VLOOKUP($D73,'Land Price Phase Sc1&amp;2'!$B$119:$AU$165,9+BX$7-$BL$7,0)/1000000</f>
        <v>0.68682046236074545</v>
      </c>
      <c r="BY73" s="108">
        <f>AO73*$BK73*VLOOKUP($D73,'Land Price Phase Sc1&amp;2'!$B$119:$AU$165,9+BY$7-$BL$7,0)/1000000</f>
        <v>0.73558471518835822</v>
      </c>
      <c r="BZ73" s="108">
        <f>AP73*$BK73*VLOOKUP($D73,'Land Price Phase Sc1&amp;2'!$B$119:$AU$165,9+BZ$7-$BL$7,0)/1000000</f>
        <v>5.225945140741171</v>
      </c>
      <c r="CA73" s="108">
        <f>AQ73*$BK73*VLOOKUP($D73,'Land Price Phase Sc1&amp;2'!$B$119:$AU$165,9+CA$7-$BL$7,0)/1000000</f>
        <v>5.5969872457337937</v>
      </c>
      <c r="CB73" s="108">
        <f>AR73*$BK73*VLOOKUP($D73,'Land Price Phase Sc1&amp;2'!$B$119:$AU$165,9+CB$7-$BL$7,0)/1000000</f>
        <v>5.9943733401808945</v>
      </c>
      <c r="CC73" s="108">
        <f>AS73*$BK73*VLOOKUP($D73,'Land Price Phase Sc1&amp;2'!$B$119:$AU$165,9+CC$7-$BL$7,0)/1000000</f>
        <v>0</v>
      </c>
      <c r="CD73" s="108">
        <f>AT73*$BK73*VLOOKUP($D73,'Land Price Phase Sc1&amp;2'!$B$119:$AU$165,9+CD$7-$BL$7,0)/1000000</f>
        <v>0</v>
      </c>
      <c r="CE73" s="108">
        <f>AU73*$BK73*VLOOKUP($D73,'Land Price Phase Sc1&amp;2'!$B$119:$AU$165,9+CE$7-$BL$7,0)/1000000</f>
        <v>0</v>
      </c>
      <c r="CF73" s="108">
        <f>AV73*$BK73*VLOOKUP($D73,'Land Price Phase Sc1&amp;2'!$B$119:$AU$165,9+CF$7-$BL$7,0)/1000000</f>
        <v>0</v>
      </c>
      <c r="CG73" s="108">
        <f>AW73*$BK73*VLOOKUP($D73,'Land Price Phase Sc1&amp;2'!$B$119:$AU$165,9+CG$7-$BL$7,0)/1000000</f>
        <v>0</v>
      </c>
      <c r="CH73" s="108">
        <f>AX73*$BK73*VLOOKUP($D73,'Land Price Phase Sc1&amp;2'!$B$119:$AU$165,9+CH$7-$BL$7,0)/1000000</f>
        <v>0</v>
      </c>
      <c r="CI73" s="108">
        <f>AY73*$BK73*VLOOKUP($D73,'Land Price Phase Sc1&amp;2'!$B$119:$AU$165,9+CI$7-$BL$7,0)/1000000</f>
        <v>0</v>
      </c>
      <c r="CJ73" s="108">
        <f>AZ73*$BK73*VLOOKUP($D73,'Land Price Phase Sc1&amp;2'!$B$119:$AU$165,9+CJ$7-$BL$7,0)/1000000</f>
        <v>0</v>
      </c>
      <c r="CK73" s="108">
        <f>BA73*$BK73*VLOOKUP($D73,'Land Price Phase Sc1&amp;2'!$B$119:$AU$165,9+CK$7-$BL$7,0)/1000000</f>
        <v>0</v>
      </c>
      <c r="CL73" s="108">
        <f>BB73*$BK73*VLOOKUP($D73,'Land Price Phase Sc1&amp;2'!$B$119:$AU$165,9+CL$7-$BL$7,0)/1000000</f>
        <v>0</v>
      </c>
      <c r="CM73" s="108">
        <f>BC73*$BK73*VLOOKUP($D73,'Land Price Phase Sc1&amp;2'!$B$119:$AU$165,9+CM$7-$BL$7,0)/1000000</f>
        <v>0</v>
      </c>
      <c r="CN73" s="108">
        <f>BD73*$BK73*VLOOKUP($D73,'Land Price Phase Sc1&amp;2'!$B$119:$AU$165,9+CN$7-$BL$7,0)/1000000</f>
        <v>0</v>
      </c>
      <c r="CO73" s="108">
        <f>BE73*$BK73*VLOOKUP($D73,'Land Price Phase Sc1&amp;2'!$B$119:$AU$165,9+CO$7-$BL$7,0)/1000000</f>
        <v>0</v>
      </c>
      <c r="CP73" s="108">
        <f>BF73*$BK73*VLOOKUP($D73,'Land Price Phase Sc1&amp;2'!$B$119:$AU$165,9+CP$7-$BL$7,0)/1000000</f>
        <v>0</v>
      </c>
      <c r="CQ73" s="108">
        <f>BG73*$BK73*VLOOKUP($D73,'Land Price Phase Sc1&amp;2'!$B$119:$AU$165,9+CQ$7-$BL$7,0)/1000000</f>
        <v>0</v>
      </c>
      <c r="CR73" s="108">
        <f t="shared" si="126"/>
        <v>20.446276056241771</v>
      </c>
      <c r="CS73" s="19"/>
      <c r="CT73" s="19"/>
      <c r="CU73" s="19"/>
      <c r="CV73" s="19"/>
      <c r="CW73" s="18"/>
      <c r="CX73" s="18"/>
      <c r="CY73" s="18"/>
      <c r="CZ73" s="18"/>
      <c r="DA73" s="20"/>
      <c r="DB73" s="20"/>
      <c r="DC73" s="20"/>
      <c r="DK73" s="10"/>
      <c r="DL73" s="10"/>
      <c r="DM73" s="10"/>
      <c r="DN73" s="10"/>
      <c r="DO73" s="10"/>
      <c r="DP73" s="10"/>
      <c r="DQ73" s="10"/>
      <c r="DR73" s="10"/>
      <c r="DS73" s="10"/>
      <c r="DT73" s="10"/>
      <c r="EB73" s="84"/>
      <c r="EC73" s="84"/>
    </row>
    <row r="74" spans="1:133" x14ac:dyDescent="0.3">
      <c r="A74" s="104" t="s">
        <v>37</v>
      </c>
      <c r="B74" s="104" t="s">
        <v>195</v>
      </c>
      <c r="C74" s="104"/>
      <c r="D74" s="104" t="s">
        <v>265</v>
      </c>
      <c r="E74" s="104" t="s">
        <v>293</v>
      </c>
      <c r="F74" s="105">
        <v>1</v>
      </c>
      <c r="G74" s="105"/>
      <c r="H74" s="105"/>
      <c r="I74" s="105"/>
      <c r="J74" s="105">
        <f t="shared" si="172"/>
        <v>1</v>
      </c>
      <c r="K74" s="105"/>
      <c r="L74" s="105"/>
      <c r="M74" s="105"/>
      <c r="N74" s="105"/>
      <c r="O74" s="104"/>
      <c r="P74" s="104">
        <v>2023</v>
      </c>
      <c r="Q74" s="104">
        <v>2027</v>
      </c>
      <c r="R74" s="106">
        <f t="shared" si="154"/>
        <v>1</v>
      </c>
      <c r="S74" s="104"/>
      <c r="T74" s="104"/>
      <c r="U74" s="116">
        <f>'Park spec inputs'!L$22</f>
        <v>0.37499999999999994</v>
      </c>
      <c r="V74" s="116">
        <f>'Park spec inputs'!M$22</f>
        <v>0.625</v>
      </c>
      <c r="W74" s="107">
        <f t="shared" si="138"/>
        <v>0.711860292938581</v>
      </c>
      <c r="X74" s="107">
        <f t="shared" si="117"/>
        <v>65.672558263244724</v>
      </c>
      <c r="Y74" s="107">
        <f t="shared" si="118"/>
        <v>52.299029605842442</v>
      </c>
      <c r="Z74" s="104">
        <v>25</v>
      </c>
      <c r="AA74" s="108">
        <f t="shared" si="155"/>
        <v>3.6112534355245667</v>
      </c>
      <c r="AB74" s="109">
        <v>0.18749999999999997</v>
      </c>
      <c r="AC74" s="109">
        <v>0.18749999999999997</v>
      </c>
      <c r="AD74" s="109">
        <v>0.20833333333333334</v>
      </c>
      <c r="AE74" s="109">
        <v>0.20833333333333334</v>
      </c>
      <c r="AF74" s="109">
        <v>0.20833333333333334</v>
      </c>
      <c r="AG74" s="104"/>
      <c r="AH74" s="104"/>
      <c r="AI74" s="104"/>
      <c r="AJ74" s="104"/>
      <c r="AK74" s="104"/>
      <c r="AL74" s="104"/>
      <c r="AM74" s="104"/>
      <c r="AN74" s="104"/>
      <c r="AO74" s="104"/>
      <c r="AP74" s="104"/>
      <c r="AQ74" s="104"/>
      <c r="AR74" s="104"/>
      <c r="AS74" s="104"/>
      <c r="AT74" s="104"/>
      <c r="AU74" s="104"/>
      <c r="AV74" s="104"/>
      <c r="AW74" s="104"/>
      <c r="AX74" s="104"/>
      <c r="AY74" s="104"/>
      <c r="AZ74" s="104"/>
      <c r="BA74" s="104"/>
      <c r="BB74" s="104"/>
      <c r="BC74" s="104"/>
      <c r="BD74" s="104"/>
      <c r="BE74" s="104"/>
      <c r="BF74" s="104"/>
      <c r="BG74" s="104"/>
      <c r="BH74" s="109">
        <f t="shared" si="170"/>
        <v>1</v>
      </c>
      <c r="BI74" s="109">
        <f t="shared" si="171"/>
        <v>0</v>
      </c>
      <c r="BJ74" s="109"/>
      <c r="BK74" s="104">
        <f t="shared" si="151"/>
        <v>4000</v>
      </c>
      <c r="BL74" s="108">
        <f>AB74*$BK74*'Cost inputs'!$D$35*'Land Price Phase Sc1&amp;2'!J$114/1000000</f>
        <v>0.25828499999999999</v>
      </c>
      <c r="BM74" s="108">
        <f>AC74*$BK74*'Cost inputs'!$D$35*'Land Price Phase Sc1&amp;2'!K$114/1000000</f>
        <v>0.27636494999999994</v>
      </c>
      <c r="BN74" s="108">
        <f>AD74*$BK74*'Cost inputs'!$E$35*'Land Price Phase Sc1&amp;2'!L$114/1000000</f>
        <v>0.9560485666666666</v>
      </c>
      <c r="BO74" s="108">
        <f>AE74*$BK74*'Cost inputs'!$E$35*'Land Price Phase Sc1&amp;2'!M$114/1000000</f>
        <v>1.0239280149000001</v>
      </c>
      <c r="BP74" s="108">
        <f>AF74*$BK74*'Cost inputs'!$E$35*'Land Price Phase Sc1&amp;2'!N$114/1000000</f>
        <v>1.0966269039579002</v>
      </c>
      <c r="BQ74" s="108">
        <f>AG74*$BK74*'Cost inputs'!$E$35*'Land Price Phase Sc1&amp;2'!O$114/1000000</f>
        <v>0</v>
      </c>
      <c r="BR74" s="108">
        <f>AH74*$BK74*'Cost inputs'!$E$35*'Land Price Phase Sc1&amp;2'!P$114/1000000</f>
        <v>0</v>
      </c>
      <c r="BS74" s="108">
        <f>AI74*$BK74*'Cost inputs'!$E$35*'Land Price Phase Sc1&amp;2'!Q$114/1000000</f>
        <v>0</v>
      </c>
      <c r="BT74" s="108">
        <f>AJ74*$BK74*'Cost inputs'!$E$35*'Land Price Phase Sc1&amp;2'!R$114/1000000</f>
        <v>0</v>
      </c>
      <c r="BU74" s="108">
        <f>AK74*$BK74*'Cost inputs'!$E$35*'Land Price Phase Sc1&amp;2'!S$114/1000000</f>
        <v>0</v>
      </c>
      <c r="BV74" s="108">
        <f>AL74*$BK74*'Cost inputs'!$E$35*'Land Price Phase Sc1&amp;2'!T$114/1000000</f>
        <v>0</v>
      </c>
      <c r="BW74" s="108">
        <f>AM74*$BK74*'Cost inputs'!$E$35*'Land Price Phase Sc1&amp;2'!U$114/1000000</f>
        <v>0</v>
      </c>
      <c r="BX74" s="108">
        <f>AN74*$BK74*'Cost inputs'!$E$35*'Land Price Phase Sc1&amp;2'!V$114/1000000</f>
        <v>0</v>
      </c>
      <c r="BY74" s="108">
        <f>AO74*$BK74*'Cost inputs'!$E$35*'Land Price Phase Sc1&amp;2'!W$114/1000000</f>
        <v>0</v>
      </c>
      <c r="BZ74" s="108">
        <f>AP74*$BK74*'Cost inputs'!$E$35*'Land Price Phase Sc1&amp;2'!X$114/1000000</f>
        <v>0</v>
      </c>
      <c r="CA74" s="108">
        <f>AQ74*$BK74*'Cost inputs'!$E$35*'Land Price Phase Sc1&amp;2'!Y$114/1000000</f>
        <v>0</v>
      </c>
      <c r="CB74" s="108">
        <f>AR74*$BK74*'Cost inputs'!$E$35*'Land Price Phase Sc1&amp;2'!Z$114/1000000</f>
        <v>0</v>
      </c>
      <c r="CC74" s="108">
        <f>AS74*$BK74*'Cost inputs'!$E$35*'Land Price Phase Sc1&amp;2'!AA$114/1000000</f>
        <v>0</v>
      </c>
      <c r="CD74" s="108">
        <f>AT74*$BK74*'Cost inputs'!$E$35*'Land Price Phase Sc1&amp;2'!AB$114/1000000</f>
        <v>0</v>
      </c>
      <c r="CE74" s="108">
        <f>AU74*$BK74*'Cost inputs'!$E$35*'Land Price Phase Sc1&amp;2'!AC$114/1000000</f>
        <v>0</v>
      </c>
      <c r="CF74" s="108">
        <f>AV74*$BK74*'Cost inputs'!$E$35*'Land Price Phase Sc1&amp;2'!AD$114/1000000</f>
        <v>0</v>
      </c>
      <c r="CG74" s="108">
        <f>AW74*$BK74*'Cost inputs'!$E$35*'Land Price Phase Sc1&amp;2'!AE$114/1000000</f>
        <v>0</v>
      </c>
      <c r="CH74" s="108">
        <f>AX74*$BK74*'Cost inputs'!$E$35*'Land Price Phase Sc1&amp;2'!AF$114/1000000</f>
        <v>0</v>
      </c>
      <c r="CI74" s="108">
        <f>AY74*$BK74*'Cost inputs'!$E$35*'Land Price Phase Sc1&amp;2'!AG$114/1000000</f>
        <v>0</v>
      </c>
      <c r="CJ74" s="108">
        <f>AZ74*$BK74*'Cost inputs'!$E$35*'Land Price Phase Sc1&amp;2'!AH$114/1000000</f>
        <v>0</v>
      </c>
      <c r="CK74" s="108">
        <f>BA74*$BK74*'Cost inputs'!$E$35*'Land Price Phase Sc1&amp;2'!AI$114/1000000</f>
        <v>0</v>
      </c>
      <c r="CL74" s="108">
        <f>BB74*$BK74*'Cost inputs'!$E$35*'Land Price Phase Sc1&amp;2'!AJ$114/1000000</f>
        <v>0</v>
      </c>
      <c r="CM74" s="108">
        <f>BC74*$BK74*'Cost inputs'!$E$35*'Land Price Phase Sc1&amp;2'!AK$114/1000000</f>
        <v>0</v>
      </c>
      <c r="CN74" s="108">
        <f>BD74*$BK74*'Cost inputs'!$E$35*'Land Price Phase Sc1&amp;2'!AL$114/1000000</f>
        <v>0</v>
      </c>
      <c r="CO74" s="108">
        <f>BE74*$BK74*'Cost inputs'!$E$35*'Land Price Phase Sc1&amp;2'!AM$114/1000000</f>
        <v>0</v>
      </c>
      <c r="CP74" s="108">
        <f>BF74*$BK74*'Cost inputs'!$E$35*'Land Price Phase Sc1&amp;2'!AN$114/1000000</f>
        <v>0</v>
      </c>
      <c r="CQ74" s="108">
        <f>BG74*$BK74*'Cost inputs'!$E$35*'Land Price Phase Sc1&amp;2'!AO$114/1000000</f>
        <v>0</v>
      </c>
      <c r="CR74" s="108">
        <f t="shared" si="126"/>
        <v>3.6112534355245667</v>
      </c>
      <c r="CS74" s="19"/>
      <c r="CT74" s="19"/>
      <c r="CU74" s="19"/>
      <c r="CV74" s="19"/>
      <c r="CW74" s="18"/>
      <c r="CX74" s="18"/>
      <c r="CY74" s="18"/>
      <c r="CZ74" s="18"/>
      <c r="DA74" s="20"/>
      <c r="DB74" s="20"/>
      <c r="DC74" s="20"/>
      <c r="DK74" s="10"/>
      <c r="DL74" s="10"/>
      <c r="DM74" s="10"/>
      <c r="DN74" s="10"/>
      <c r="DO74" s="10"/>
      <c r="DP74" s="10"/>
      <c r="DQ74" s="10"/>
      <c r="DR74" s="10"/>
      <c r="DS74" s="10"/>
      <c r="DT74" s="10"/>
      <c r="EB74" s="84"/>
      <c r="EC74" s="84"/>
    </row>
    <row r="75" spans="1:133" x14ac:dyDescent="0.3">
      <c r="A75" s="104" t="s">
        <v>37</v>
      </c>
      <c r="B75" s="104" t="s">
        <v>195</v>
      </c>
      <c r="C75" s="104"/>
      <c r="D75" s="104" t="str">
        <f>'Land Price Phase Sc1&amp;2'!B33</f>
        <v>Drury West (Stage 1) (remainder)</v>
      </c>
      <c r="E75" s="104"/>
      <c r="F75" s="105">
        <v>7</v>
      </c>
      <c r="G75" s="105"/>
      <c r="H75" s="105"/>
      <c r="I75" s="105"/>
      <c r="J75" s="105">
        <f t="shared" si="172"/>
        <v>7</v>
      </c>
      <c r="K75" s="105"/>
      <c r="L75" s="105"/>
      <c r="M75" s="105"/>
      <c r="N75" s="105"/>
      <c r="O75" s="104">
        <f>VLOOKUP($D75,'Land Price Phase Sc1&amp;2'!$B$4:$F$50,3,0)</f>
        <v>2031</v>
      </c>
      <c r="P75" s="104">
        <f>VLOOKUP($D75,'Land Price Phase Sc1&amp;2'!$B$4:$F$50,4,0)</f>
        <v>2035</v>
      </c>
      <c r="Q75" s="104">
        <f>VLOOKUP($D75,'Land Price Phase Sc1&amp;2'!$B$4:$F$50,5,0)</f>
        <v>2039</v>
      </c>
      <c r="R75" s="106">
        <f t="shared" si="154"/>
        <v>0.99999999999999989</v>
      </c>
      <c r="S75" s="104"/>
      <c r="T75" s="107">
        <f>'Park spec inputs'!H$22</f>
        <v>0.2</v>
      </c>
      <c r="U75" s="107">
        <f>'Park spec inputs'!I$22</f>
        <v>0.3</v>
      </c>
      <c r="V75" s="107">
        <f>'Park spec inputs'!J$22</f>
        <v>0.5</v>
      </c>
      <c r="W75" s="107">
        <f t="shared" si="138"/>
        <v>0.711860292938581</v>
      </c>
      <c r="X75" s="107">
        <f t="shared" si="117"/>
        <v>65.672558263244724</v>
      </c>
      <c r="Y75" s="107">
        <f t="shared" si="118"/>
        <v>52.299029605842442</v>
      </c>
      <c r="Z75" s="104">
        <v>31</v>
      </c>
      <c r="AA75" s="108">
        <f t="shared" si="155"/>
        <v>0</v>
      </c>
      <c r="AB75" s="104"/>
      <c r="AC75" s="104"/>
      <c r="AD75" s="104"/>
      <c r="AE75" s="104"/>
      <c r="AF75" s="104"/>
      <c r="AG75" s="104"/>
      <c r="AH75" s="104"/>
      <c r="AI75" s="104"/>
      <c r="AJ75" s="104"/>
      <c r="AK75" s="104"/>
      <c r="AL75" s="111">
        <f>$T75/4</f>
        <v>0.05</v>
      </c>
      <c r="AM75" s="111">
        <f>AL75</f>
        <v>0.05</v>
      </c>
      <c r="AN75" s="111">
        <f t="shared" ref="AN75:AN78" si="173">AM75</f>
        <v>0.05</v>
      </c>
      <c r="AO75" s="111">
        <f t="shared" ref="AO75:AO78" si="174">AN75</f>
        <v>0.05</v>
      </c>
      <c r="AP75" s="111">
        <f t="shared" ref="AP75:AP81" si="175">$U75/4</f>
        <v>7.4999999999999997E-2</v>
      </c>
      <c r="AQ75" s="111">
        <f t="shared" ref="AQ75:AQ78" si="176">AP75</f>
        <v>7.4999999999999997E-2</v>
      </c>
      <c r="AR75" s="111">
        <f t="shared" ref="AR75:AR79" si="177">AQ75</f>
        <v>7.4999999999999997E-2</v>
      </c>
      <c r="AS75" s="111">
        <f t="shared" ref="AS75:AS79" si="178">AR75</f>
        <v>7.4999999999999997E-2</v>
      </c>
      <c r="AT75" s="111">
        <f>$V75/3</f>
        <v>0.16666666666666666</v>
      </c>
      <c r="AU75" s="111">
        <f t="shared" ref="AU75:AU81" si="179">AT75</f>
        <v>0.16666666666666666</v>
      </c>
      <c r="AV75" s="111">
        <f t="shared" ref="AV75:AV81" si="180">AU75</f>
        <v>0.16666666666666666</v>
      </c>
      <c r="AW75" s="104"/>
      <c r="AX75" s="104"/>
      <c r="AY75" s="104"/>
      <c r="AZ75" s="104"/>
      <c r="BA75" s="104"/>
      <c r="BB75" s="104"/>
      <c r="BC75" s="104"/>
      <c r="BD75" s="104"/>
      <c r="BE75" s="104"/>
      <c r="BF75" s="104"/>
      <c r="BG75" s="104"/>
      <c r="BH75" s="109">
        <f t="shared" si="170"/>
        <v>0</v>
      </c>
      <c r="BI75" s="109">
        <f t="shared" si="171"/>
        <v>0.99999999999999989</v>
      </c>
      <c r="BJ75" s="109"/>
      <c r="BK75" s="104">
        <f t="shared" si="151"/>
        <v>28000</v>
      </c>
      <c r="BL75" s="108">
        <f>AB75*$BK75*VLOOKUP($D75,'Land Price Phase Sc1&amp;2'!$B$119:$AU$165,9+BL$7-$BL$7,0)/1000000</f>
        <v>0</v>
      </c>
      <c r="BM75" s="108">
        <f>AC75*$BK75*VLOOKUP($D75,'Land Price Phase Sc1&amp;2'!$B$119:$AU$165,9+BM$7-$BL$7,0)/1000000</f>
        <v>0</v>
      </c>
      <c r="BN75" s="108">
        <f>AD75*$BK75*VLOOKUP($D75,'Land Price Phase Sc1&amp;2'!$B$119:$AU$165,9+BN$7-$BL$7,0)/1000000</f>
        <v>0</v>
      </c>
      <c r="BO75" s="108">
        <f>AE75*$BK75*VLOOKUP($D75,'Land Price Phase Sc1&amp;2'!$B$119:$AU$165,9+BO$7-$BL$7,0)/1000000</f>
        <v>0</v>
      </c>
      <c r="BP75" s="108">
        <f>AF75*$BK75*VLOOKUP($D75,'Land Price Phase Sc1&amp;2'!$B$119:$AU$165,9+BP$7-$BL$7,0)/1000000</f>
        <v>0</v>
      </c>
      <c r="BQ75" s="108">
        <f>AG75*$BK75*VLOOKUP($D75,'Land Price Phase Sc1&amp;2'!$B$119:$AU$165,9+BQ$7-$BL$7,0)/1000000</f>
        <v>0</v>
      </c>
      <c r="BR75" s="108">
        <f>AH75*$BK75*VLOOKUP($D75,'Land Price Phase Sc1&amp;2'!$B$119:$AU$165,9+BR$7-$BL$7,0)/1000000</f>
        <v>0</v>
      </c>
      <c r="BS75" s="108">
        <f>AI75*$BK75*VLOOKUP($D75,'Land Price Phase Sc1&amp;2'!$B$119:$AU$165,9+BS$7-$BL$7,0)/1000000</f>
        <v>0</v>
      </c>
      <c r="BT75" s="108">
        <f>AJ75*$BK75*VLOOKUP($D75,'Land Price Phase Sc1&amp;2'!$B$119:$AU$165,9+BT$7-$BL$7,0)/1000000</f>
        <v>0</v>
      </c>
      <c r="BU75" s="108">
        <f>AK75*$BK75*VLOOKUP($D75,'Land Price Phase Sc1&amp;2'!$B$119:$AU$165,9+BU$7-$BL$7,0)/1000000</f>
        <v>0</v>
      </c>
      <c r="BV75" s="108">
        <f>AL75*$BK75*VLOOKUP($D75,'Land Price Phase Sc1&amp;2'!$B$119:$AU$165,9+BV$7-$BL$7,0)/1000000</f>
        <v>0.9314291170886595</v>
      </c>
      <c r="BW75" s="108">
        <f>AM75*$BK75*VLOOKUP($D75,'Land Price Phase Sc1&amp;2'!$B$119:$AU$165,9+BW$7-$BL$7,0)/1000000</f>
        <v>0.99756058440195416</v>
      </c>
      <c r="BX75" s="108">
        <f>AN75*$BK75*VLOOKUP($D75,'Land Price Phase Sc1&amp;2'!$B$119:$AU$165,9+BX$7-$BL$7,0)/1000000</f>
        <v>1.068387385894493</v>
      </c>
      <c r="BY75" s="108">
        <f>AO75*$BK75*VLOOKUP($D75,'Land Price Phase Sc1&amp;2'!$B$119:$AU$165,9+BY$7-$BL$7,0)/1000000</f>
        <v>1.1442428902930017</v>
      </c>
      <c r="BZ75" s="108">
        <f>AP75*$BK75*VLOOKUP($D75,'Land Price Phase Sc1&amp;2'!$B$119:$AU$165,9+BZ$7-$BL$7,0)/1000000</f>
        <v>5.4872423977782301</v>
      </c>
      <c r="CA75" s="108">
        <f>AQ75*$BK75*VLOOKUP($D75,'Land Price Phase Sc1&amp;2'!$B$119:$AU$165,9+CA$7-$BL$7,0)/1000000</f>
        <v>5.8768366080204837</v>
      </c>
      <c r="CB75" s="108">
        <f>AR75*$BK75*VLOOKUP($D75,'Land Price Phase Sc1&amp;2'!$B$119:$AU$165,9+CB$7-$BL$7,0)/1000000</f>
        <v>6.2940920071899384</v>
      </c>
      <c r="CC75" s="108">
        <f>AS75*$BK75*VLOOKUP($D75,'Land Price Phase Sc1&amp;2'!$B$119:$AU$165,9+CC$7-$BL$7,0)/1000000</f>
        <v>6.7409725397004241</v>
      </c>
      <c r="CD75" s="108">
        <f>AT75*$BK75*VLOOKUP($D75,'Land Price Phase Sc1&amp;2'!$B$119:$AU$165,9+CD$7-$BL$7,0)/1000000</f>
        <v>16.043514644487008</v>
      </c>
      <c r="CE75" s="108">
        <f>AU75*$BK75*VLOOKUP($D75,'Land Price Phase Sc1&amp;2'!$B$119:$AU$165,9+CE$7-$BL$7,0)/1000000</f>
        <v>17.182604184245584</v>
      </c>
      <c r="CF75" s="108">
        <f>AV75*$BK75*VLOOKUP($D75,'Land Price Phase Sc1&amp;2'!$B$119:$AU$165,9+CF$7-$BL$7,0)/1000000</f>
        <v>18.402569081327016</v>
      </c>
      <c r="CG75" s="108">
        <f>AW75*$BK75*VLOOKUP($D75,'Land Price Phase Sc1&amp;2'!$B$119:$AU$165,9+CG$7-$BL$7,0)/1000000</f>
        <v>0</v>
      </c>
      <c r="CH75" s="108">
        <f>AX75*$BK75*VLOOKUP($D75,'Land Price Phase Sc1&amp;2'!$B$119:$AU$165,9+CH$7-$BL$7,0)/1000000</f>
        <v>0</v>
      </c>
      <c r="CI75" s="108">
        <f>AY75*$BK75*VLOOKUP($D75,'Land Price Phase Sc1&amp;2'!$B$119:$AU$165,9+CI$7-$BL$7,0)/1000000</f>
        <v>0</v>
      </c>
      <c r="CJ75" s="108">
        <f>AZ75*$BK75*VLOOKUP($D75,'Land Price Phase Sc1&amp;2'!$B$119:$AU$165,9+CJ$7-$BL$7,0)/1000000</f>
        <v>0</v>
      </c>
      <c r="CK75" s="108">
        <f>BA75*$BK75*VLOOKUP($D75,'Land Price Phase Sc1&amp;2'!$B$119:$AU$165,9+CK$7-$BL$7,0)/1000000</f>
        <v>0</v>
      </c>
      <c r="CL75" s="108">
        <f>BB75*$BK75*VLOOKUP($D75,'Land Price Phase Sc1&amp;2'!$B$119:$AU$165,9+CL$7-$BL$7,0)/1000000</f>
        <v>0</v>
      </c>
      <c r="CM75" s="108">
        <f>BC75*$BK75*VLOOKUP($D75,'Land Price Phase Sc1&amp;2'!$B$119:$AU$165,9+CM$7-$BL$7,0)/1000000</f>
        <v>0</v>
      </c>
      <c r="CN75" s="108">
        <f>BD75*$BK75*VLOOKUP($D75,'Land Price Phase Sc1&amp;2'!$B$119:$AU$165,9+CN$7-$BL$7,0)/1000000</f>
        <v>0</v>
      </c>
      <c r="CO75" s="108">
        <f>BE75*$BK75*VLOOKUP($D75,'Land Price Phase Sc1&amp;2'!$B$119:$AU$165,9+CO$7-$BL$7,0)/1000000</f>
        <v>0</v>
      </c>
      <c r="CP75" s="108">
        <f>BF75*$BK75*VLOOKUP($D75,'Land Price Phase Sc1&amp;2'!$B$119:$AU$165,9+CP$7-$BL$7,0)/1000000</f>
        <v>0</v>
      </c>
      <c r="CQ75" s="108">
        <f>BG75*$BK75*VLOOKUP($D75,'Land Price Phase Sc1&amp;2'!$B$119:$AU$165,9+CQ$7-$BL$7,0)/1000000</f>
        <v>0</v>
      </c>
      <c r="CR75" s="108">
        <f t="shared" si="126"/>
        <v>80.169451440426798</v>
      </c>
      <c r="CS75" s="19"/>
      <c r="CT75" s="19"/>
      <c r="CU75" s="19"/>
      <c r="CV75" s="19"/>
      <c r="CW75" s="18"/>
      <c r="CX75" s="18"/>
      <c r="CY75" s="18"/>
      <c r="CZ75" s="18"/>
      <c r="DA75" s="20"/>
      <c r="DB75" s="20"/>
      <c r="DC75" s="20"/>
      <c r="DK75" s="10"/>
      <c r="DL75" s="10"/>
      <c r="DM75" s="10"/>
      <c r="DN75" s="10"/>
      <c r="DO75" s="10"/>
      <c r="DP75" s="10"/>
      <c r="DQ75" s="10"/>
      <c r="DR75" s="10"/>
      <c r="DS75" s="10"/>
      <c r="DT75" s="10"/>
      <c r="EB75" s="84"/>
      <c r="EC75" s="84"/>
    </row>
    <row r="76" spans="1:133" x14ac:dyDescent="0.3">
      <c r="A76" s="104" t="s">
        <v>37</v>
      </c>
      <c r="B76" s="104" t="s">
        <v>195</v>
      </c>
      <c r="C76" s="104"/>
      <c r="D76" s="104" t="str">
        <f>D75</f>
        <v>Drury West (Stage 1) (remainder)</v>
      </c>
      <c r="E76" s="104"/>
      <c r="F76" s="105"/>
      <c r="G76" s="105">
        <v>1</v>
      </c>
      <c r="H76" s="105"/>
      <c r="I76" s="105"/>
      <c r="J76" s="105"/>
      <c r="K76" s="105">
        <f>G76</f>
        <v>1</v>
      </c>
      <c r="L76" s="105"/>
      <c r="M76" s="105"/>
      <c r="N76" s="105"/>
      <c r="O76" s="104">
        <f>VLOOKUP($D76,'Land Price Phase Sc1&amp;2'!$B$4:$F$50,3,0)</f>
        <v>2031</v>
      </c>
      <c r="P76" s="104">
        <f>VLOOKUP($D76,'Land Price Phase Sc1&amp;2'!$B$4:$F$50,4,0)</f>
        <v>2035</v>
      </c>
      <c r="Q76" s="104">
        <f>VLOOKUP($D76,'Land Price Phase Sc1&amp;2'!$B$4:$F$50,5,0)</f>
        <v>2039</v>
      </c>
      <c r="R76" s="106">
        <f t="shared" si="154"/>
        <v>1</v>
      </c>
      <c r="S76" s="107">
        <f>'Park spec inputs'!C$21</f>
        <v>0.15</v>
      </c>
      <c r="T76" s="107">
        <f>'Park spec inputs'!D$21</f>
        <v>0.5</v>
      </c>
      <c r="U76" s="107">
        <f>'Park spec inputs'!E$21</f>
        <v>0.25</v>
      </c>
      <c r="V76" s="107">
        <f>'Park spec inputs'!F$21</f>
        <v>0.1</v>
      </c>
      <c r="W76" s="107">
        <f t="shared" si="138"/>
        <v>0.711860292938581</v>
      </c>
      <c r="X76" s="107">
        <f t="shared" si="117"/>
        <v>65.672558263244724</v>
      </c>
      <c r="Y76" s="107">
        <f t="shared" si="118"/>
        <v>52.299029605842442</v>
      </c>
      <c r="Z76" s="104">
        <v>28</v>
      </c>
      <c r="AA76" s="108">
        <f t="shared" si="155"/>
        <v>1.8728484189647709</v>
      </c>
      <c r="AB76" s="104"/>
      <c r="AC76" s="104"/>
      <c r="AD76" s="104"/>
      <c r="AE76" s="104"/>
      <c r="AF76" s="104"/>
      <c r="AG76" s="104"/>
      <c r="AH76" s="104"/>
      <c r="AI76" s="104">
        <v>4.9999999999999996E-2</v>
      </c>
      <c r="AJ76" s="104">
        <v>4.9999999999999996E-2</v>
      </c>
      <c r="AK76" s="104">
        <v>4.9999999999999996E-2</v>
      </c>
      <c r="AL76" s="111">
        <f>$T76/4</f>
        <v>0.125</v>
      </c>
      <c r="AM76" s="111">
        <f>AL76</f>
        <v>0.125</v>
      </c>
      <c r="AN76" s="111">
        <f t="shared" si="173"/>
        <v>0.125</v>
      </c>
      <c r="AO76" s="111">
        <f t="shared" si="174"/>
        <v>0.125</v>
      </c>
      <c r="AP76" s="111">
        <f t="shared" si="175"/>
        <v>6.25E-2</v>
      </c>
      <c r="AQ76" s="111">
        <f t="shared" si="176"/>
        <v>6.25E-2</v>
      </c>
      <c r="AR76" s="111">
        <f t="shared" si="177"/>
        <v>6.25E-2</v>
      </c>
      <c r="AS76" s="111">
        <f t="shared" si="178"/>
        <v>6.25E-2</v>
      </c>
      <c r="AT76" s="111">
        <f>$V76/3</f>
        <v>3.3333333333333333E-2</v>
      </c>
      <c r="AU76" s="111">
        <f t="shared" si="179"/>
        <v>3.3333333333333333E-2</v>
      </c>
      <c r="AV76" s="111">
        <f t="shared" si="180"/>
        <v>3.3333333333333333E-2</v>
      </c>
      <c r="AW76" s="104"/>
      <c r="AX76" s="104"/>
      <c r="AY76" s="104"/>
      <c r="AZ76" s="104"/>
      <c r="BA76" s="104"/>
      <c r="BB76" s="104"/>
      <c r="BC76" s="104"/>
      <c r="BD76" s="104"/>
      <c r="BE76" s="104"/>
      <c r="BF76" s="104"/>
      <c r="BG76" s="104"/>
      <c r="BH76" s="109">
        <f t="shared" si="170"/>
        <v>0.15</v>
      </c>
      <c r="BI76" s="109">
        <f t="shared" si="171"/>
        <v>0.85</v>
      </c>
      <c r="BJ76" s="109"/>
      <c r="BK76" s="104">
        <f t="shared" si="151"/>
        <v>30000</v>
      </c>
      <c r="BL76" s="108">
        <f>AB76*$BK76*VLOOKUP($D76,'Land Price Phase Sc1&amp;2'!$B$119:$AU$165,9+BL$7-$BL$7,0)/1000000</f>
        <v>0</v>
      </c>
      <c r="BM76" s="108">
        <f>AC76*$BK76*VLOOKUP($D76,'Land Price Phase Sc1&amp;2'!$B$119:$AU$165,9+BM$7-$BL$7,0)/1000000</f>
        <v>0</v>
      </c>
      <c r="BN76" s="108">
        <f>AD76*$BK76*VLOOKUP($D76,'Land Price Phase Sc1&amp;2'!$B$119:$AU$165,9+BN$7-$BL$7,0)/1000000</f>
        <v>0</v>
      </c>
      <c r="BO76" s="108">
        <f>AE76*$BK76*VLOOKUP($D76,'Land Price Phase Sc1&amp;2'!$B$119:$AU$165,9+BO$7-$BL$7,0)/1000000</f>
        <v>0</v>
      </c>
      <c r="BP76" s="108">
        <f>AF76*$BK76*VLOOKUP($D76,'Land Price Phase Sc1&amp;2'!$B$119:$AU$165,9+BP$7-$BL$7,0)/1000000</f>
        <v>0</v>
      </c>
      <c r="BQ76" s="108">
        <f>AG76*$BK76*VLOOKUP($D76,'Land Price Phase Sc1&amp;2'!$B$119:$AU$165,9+BQ$7-$BL$7,0)/1000000</f>
        <v>0</v>
      </c>
      <c r="BR76" s="108">
        <f>AH76*$BK76*VLOOKUP($D76,'Land Price Phase Sc1&amp;2'!$B$119:$AU$165,9+BR$7-$BL$7,0)/1000000</f>
        <v>0</v>
      </c>
      <c r="BS76" s="108">
        <f>AI76*$BK76*VLOOKUP($D76,'Land Price Phase Sc1&amp;2'!$B$119:$AU$165,9+BS$7-$BL$7,0)/1000000</f>
        <v>0.58198401417656609</v>
      </c>
      <c r="BT76" s="108">
        <f>AJ76*$BK76*VLOOKUP($D76,'Land Price Phase Sc1&amp;2'!$B$119:$AU$165,9+BT$7-$BL$7,0)/1000000</f>
        <v>0.62330487918310229</v>
      </c>
      <c r="BU76" s="108">
        <f>AK76*$BK76*VLOOKUP($D76,'Land Price Phase Sc1&amp;2'!$B$119:$AU$165,9+BU$7-$BL$7,0)/1000000</f>
        <v>0.66755952560510257</v>
      </c>
      <c r="BV76" s="108">
        <f>AL76*$BK76*VLOOKUP($D76,'Land Price Phase Sc1&amp;2'!$B$119:$AU$165,9+BV$7-$BL$7,0)/1000000</f>
        <v>2.4948994207731952</v>
      </c>
      <c r="BW76" s="108">
        <f>AM76*$BK76*VLOOKUP($D76,'Land Price Phase Sc1&amp;2'!$B$119:$AU$165,9+BW$7-$BL$7,0)/1000000</f>
        <v>2.6720372796480918</v>
      </c>
      <c r="BX76" s="108">
        <f>AN76*$BK76*VLOOKUP($D76,'Land Price Phase Sc1&amp;2'!$B$119:$AU$165,9+BX$7-$BL$7,0)/1000000</f>
        <v>2.8617519265031062</v>
      </c>
      <c r="BY76" s="108">
        <f>AO76*$BK76*VLOOKUP($D76,'Land Price Phase Sc1&amp;2'!$B$119:$AU$165,9+BY$7-$BL$7,0)/1000000</f>
        <v>3.064936313284826</v>
      </c>
      <c r="BZ76" s="108">
        <f>AP76*$BK76*VLOOKUP($D76,'Land Price Phase Sc1&amp;2'!$B$119:$AU$165,9+BZ$7-$BL$7,0)/1000000</f>
        <v>4.8993235694448485</v>
      </c>
      <c r="CA76" s="108">
        <f>AQ76*$BK76*VLOOKUP($D76,'Land Price Phase Sc1&amp;2'!$B$119:$AU$165,9+CA$7-$BL$7,0)/1000000</f>
        <v>5.2471755428754321</v>
      </c>
      <c r="CB76" s="108">
        <f>AR76*$BK76*VLOOKUP($D76,'Land Price Phase Sc1&amp;2'!$B$119:$AU$165,9+CB$7-$BL$7,0)/1000000</f>
        <v>5.6197250064195883</v>
      </c>
      <c r="CC76" s="108">
        <f>AS76*$BK76*VLOOKUP($D76,'Land Price Phase Sc1&amp;2'!$B$119:$AU$165,9+CC$7-$BL$7,0)/1000000</f>
        <v>6.0187254818753786</v>
      </c>
      <c r="CD76" s="108">
        <f>AT76*$BK76*VLOOKUP($D76,'Land Price Phase Sc1&amp;2'!$B$119:$AU$165,9+CD$7-$BL$7,0)/1000000</f>
        <v>3.4378959952472159</v>
      </c>
      <c r="CE76" s="108">
        <f>AU76*$BK76*VLOOKUP($D76,'Land Price Phase Sc1&amp;2'!$B$119:$AU$165,9+CE$7-$BL$7,0)/1000000</f>
        <v>3.6819866109097679</v>
      </c>
      <c r="CF76" s="108">
        <f>AV76*$BK76*VLOOKUP($D76,'Land Price Phase Sc1&amp;2'!$B$119:$AU$165,9+CF$7-$BL$7,0)/1000000</f>
        <v>3.9434076602843611</v>
      </c>
      <c r="CG76" s="108">
        <f>AW76*$BK76*VLOOKUP($D76,'Land Price Phase Sc1&amp;2'!$B$119:$AU$165,9+CG$7-$BL$7,0)/1000000</f>
        <v>0</v>
      </c>
      <c r="CH76" s="108">
        <f>AX76*$BK76*VLOOKUP($D76,'Land Price Phase Sc1&amp;2'!$B$119:$AU$165,9+CH$7-$BL$7,0)/1000000</f>
        <v>0</v>
      </c>
      <c r="CI76" s="108">
        <f>AY76*$BK76*VLOOKUP($D76,'Land Price Phase Sc1&amp;2'!$B$119:$AU$165,9+CI$7-$BL$7,0)/1000000</f>
        <v>0</v>
      </c>
      <c r="CJ76" s="108">
        <f>AZ76*$BK76*VLOOKUP($D76,'Land Price Phase Sc1&amp;2'!$B$119:$AU$165,9+CJ$7-$BL$7,0)/1000000</f>
        <v>0</v>
      </c>
      <c r="CK76" s="108">
        <f>BA76*$BK76*VLOOKUP($D76,'Land Price Phase Sc1&amp;2'!$B$119:$AU$165,9+CK$7-$BL$7,0)/1000000</f>
        <v>0</v>
      </c>
      <c r="CL76" s="108">
        <f>BB76*$BK76*VLOOKUP($D76,'Land Price Phase Sc1&amp;2'!$B$119:$AU$165,9+CL$7-$BL$7,0)/1000000</f>
        <v>0</v>
      </c>
      <c r="CM76" s="108">
        <f>BC76*$BK76*VLOOKUP($D76,'Land Price Phase Sc1&amp;2'!$B$119:$AU$165,9+CM$7-$BL$7,0)/1000000</f>
        <v>0</v>
      </c>
      <c r="CN76" s="108">
        <f>BD76*$BK76*VLOOKUP($D76,'Land Price Phase Sc1&amp;2'!$B$119:$AU$165,9+CN$7-$BL$7,0)/1000000</f>
        <v>0</v>
      </c>
      <c r="CO76" s="108">
        <f>BE76*$BK76*VLOOKUP($D76,'Land Price Phase Sc1&amp;2'!$B$119:$AU$165,9+CO$7-$BL$7,0)/1000000</f>
        <v>0</v>
      </c>
      <c r="CP76" s="108">
        <f>BF76*$BK76*VLOOKUP($D76,'Land Price Phase Sc1&amp;2'!$B$119:$AU$165,9+CP$7-$BL$7,0)/1000000</f>
        <v>0</v>
      </c>
      <c r="CQ76" s="108">
        <f>BG76*$BK76*VLOOKUP($D76,'Land Price Phase Sc1&amp;2'!$B$119:$AU$165,9+CQ$7-$BL$7,0)/1000000</f>
        <v>0</v>
      </c>
      <c r="CR76" s="108">
        <f t="shared" si="126"/>
        <v>45.81471322623058</v>
      </c>
      <c r="CS76" s="19"/>
      <c r="CT76" s="19"/>
      <c r="CU76" s="19"/>
      <c r="CV76" s="19"/>
      <c r="CW76" s="18"/>
      <c r="CX76" s="18"/>
      <c r="CY76" s="18"/>
      <c r="CZ76" s="18"/>
      <c r="DA76" s="20"/>
      <c r="DB76" s="20"/>
      <c r="DC76" s="20"/>
      <c r="DK76" s="10"/>
      <c r="DL76" s="10"/>
      <c r="DM76" s="10"/>
      <c r="DN76" s="10"/>
      <c r="DO76" s="10"/>
      <c r="DP76" s="10"/>
      <c r="DQ76" s="10"/>
      <c r="DR76" s="10"/>
      <c r="DS76" s="10"/>
      <c r="DT76" s="10"/>
      <c r="EB76" s="84"/>
      <c r="EC76" s="84"/>
    </row>
    <row r="77" spans="1:133" x14ac:dyDescent="0.3">
      <c r="A77" s="104" t="s">
        <v>37</v>
      </c>
      <c r="B77" s="104" t="s">
        <v>195</v>
      </c>
      <c r="C77" s="104"/>
      <c r="D77" s="104" t="str">
        <f>'Land Price Phase Sc1&amp;2'!B34</f>
        <v>Drury West (Stage 2)</v>
      </c>
      <c r="E77" s="104"/>
      <c r="F77" s="105">
        <v>3</v>
      </c>
      <c r="G77" s="105"/>
      <c r="H77" s="105"/>
      <c r="I77" s="105"/>
      <c r="J77" s="105">
        <f>F77</f>
        <v>3</v>
      </c>
      <c r="K77" s="105"/>
      <c r="L77" s="105"/>
      <c r="M77" s="105"/>
      <c r="N77" s="105"/>
      <c r="O77" s="104">
        <f>VLOOKUP($D77,'Land Price Phase Sc1&amp;2'!$B$4:$F$50,3,0)</f>
        <v>2031</v>
      </c>
      <c r="P77" s="104">
        <f>VLOOKUP($D77,'Land Price Phase Sc1&amp;2'!$B$4:$F$50,4,0)</f>
        <v>2035</v>
      </c>
      <c r="Q77" s="104">
        <f>VLOOKUP($D77,'Land Price Phase Sc1&amp;2'!$B$4:$F$50,5,0)</f>
        <v>2039</v>
      </c>
      <c r="R77" s="106">
        <f t="shared" si="154"/>
        <v>0.99999999999999989</v>
      </c>
      <c r="S77" s="104"/>
      <c r="T77" s="107">
        <f>'Park spec inputs'!H$22</f>
        <v>0.2</v>
      </c>
      <c r="U77" s="107">
        <f>'Park spec inputs'!I$22</f>
        <v>0.3</v>
      </c>
      <c r="V77" s="107">
        <f>'Park spec inputs'!J$22</f>
        <v>0.5</v>
      </c>
      <c r="W77" s="107">
        <f t="shared" si="138"/>
        <v>0.711860292938581</v>
      </c>
      <c r="X77" s="107">
        <f t="shared" si="117"/>
        <v>65.672558263244724</v>
      </c>
      <c r="Y77" s="107">
        <f t="shared" si="118"/>
        <v>52.299029605842442</v>
      </c>
      <c r="Z77" s="104">
        <v>31</v>
      </c>
      <c r="AA77" s="108">
        <f t="shared" si="155"/>
        <v>0</v>
      </c>
      <c r="AB77" s="104"/>
      <c r="AC77" s="104"/>
      <c r="AD77" s="104"/>
      <c r="AE77" s="104"/>
      <c r="AF77" s="104"/>
      <c r="AG77" s="104"/>
      <c r="AH77" s="104"/>
      <c r="AI77" s="104"/>
      <c r="AJ77" s="104"/>
      <c r="AK77" s="104"/>
      <c r="AL77" s="111">
        <f>$T77/4</f>
        <v>0.05</v>
      </c>
      <c r="AM77" s="111">
        <f>AL77</f>
        <v>0.05</v>
      </c>
      <c r="AN77" s="111">
        <f t="shared" si="173"/>
        <v>0.05</v>
      </c>
      <c r="AO77" s="111">
        <f t="shared" si="174"/>
        <v>0.05</v>
      </c>
      <c r="AP77" s="111">
        <f t="shared" si="175"/>
        <v>7.4999999999999997E-2</v>
      </c>
      <c r="AQ77" s="111">
        <f t="shared" si="176"/>
        <v>7.4999999999999997E-2</v>
      </c>
      <c r="AR77" s="111">
        <f t="shared" si="177"/>
        <v>7.4999999999999997E-2</v>
      </c>
      <c r="AS77" s="111">
        <f t="shared" si="178"/>
        <v>7.4999999999999997E-2</v>
      </c>
      <c r="AT77" s="111">
        <f>$V77/3</f>
        <v>0.16666666666666666</v>
      </c>
      <c r="AU77" s="111">
        <f t="shared" si="179"/>
        <v>0.16666666666666666</v>
      </c>
      <c r="AV77" s="111">
        <f t="shared" si="180"/>
        <v>0.16666666666666666</v>
      </c>
      <c r="AW77" s="104"/>
      <c r="AX77" s="104"/>
      <c r="AY77" s="104"/>
      <c r="AZ77" s="104"/>
      <c r="BA77" s="104"/>
      <c r="BB77" s="104"/>
      <c r="BC77" s="104"/>
      <c r="BD77" s="104"/>
      <c r="BE77" s="104"/>
      <c r="BF77" s="104"/>
      <c r="BG77" s="104"/>
      <c r="BH77" s="109">
        <f t="shared" si="170"/>
        <v>0</v>
      </c>
      <c r="BI77" s="109">
        <f t="shared" si="171"/>
        <v>0.99999999999999989</v>
      </c>
      <c r="BJ77" s="109"/>
      <c r="BK77" s="104">
        <f t="shared" si="151"/>
        <v>12000</v>
      </c>
      <c r="BL77" s="108">
        <f>AB77*$BK77*VLOOKUP($D77,'Land Price Phase Sc1&amp;2'!$B$119:$AU$165,9+BL$7-$BL$7,0)/1000000</f>
        <v>0</v>
      </c>
      <c r="BM77" s="108">
        <f>AC77*$BK77*VLOOKUP($D77,'Land Price Phase Sc1&amp;2'!$B$119:$AU$165,9+BM$7-$BL$7,0)/1000000</f>
        <v>0</v>
      </c>
      <c r="BN77" s="108">
        <f>AD77*$BK77*VLOOKUP($D77,'Land Price Phase Sc1&amp;2'!$B$119:$AU$165,9+BN$7-$BL$7,0)/1000000</f>
        <v>0</v>
      </c>
      <c r="BO77" s="108">
        <f>AE77*$BK77*VLOOKUP($D77,'Land Price Phase Sc1&amp;2'!$B$119:$AU$165,9+BO$7-$BL$7,0)/1000000</f>
        <v>0</v>
      </c>
      <c r="BP77" s="108">
        <f>AF77*$BK77*VLOOKUP($D77,'Land Price Phase Sc1&amp;2'!$B$119:$AU$165,9+BP$7-$BL$7,0)/1000000</f>
        <v>0</v>
      </c>
      <c r="BQ77" s="108">
        <f>AG77*$BK77*VLOOKUP($D77,'Land Price Phase Sc1&amp;2'!$B$119:$AU$165,9+BQ$7-$BL$7,0)/1000000</f>
        <v>0</v>
      </c>
      <c r="BR77" s="108">
        <f>AH77*$BK77*VLOOKUP($D77,'Land Price Phase Sc1&amp;2'!$B$119:$AU$165,9+BR$7-$BL$7,0)/1000000</f>
        <v>0</v>
      </c>
      <c r="BS77" s="108">
        <f>AI77*$BK77*VLOOKUP($D77,'Land Price Phase Sc1&amp;2'!$B$119:$AU$165,9+BS$7-$BL$7,0)/1000000</f>
        <v>0</v>
      </c>
      <c r="BT77" s="108">
        <f>AJ77*$BK77*VLOOKUP($D77,'Land Price Phase Sc1&amp;2'!$B$119:$AU$165,9+BT$7-$BL$7,0)/1000000</f>
        <v>0</v>
      </c>
      <c r="BU77" s="108">
        <f>AK77*$BK77*VLOOKUP($D77,'Land Price Phase Sc1&amp;2'!$B$119:$AU$165,9+BU$7-$BL$7,0)/1000000</f>
        <v>0</v>
      </c>
      <c r="BV77" s="108">
        <f>AL77*$BK77*VLOOKUP($D77,'Land Price Phase Sc1&amp;2'!$B$119:$AU$165,9+BV$7-$BL$7,0)/1000000</f>
        <v>0.39918390732371128</v>
      </c>
      <c r="BW77" s="108">
        <f>AM77*$BK77*VLOOKUP($D77,'Land Price Phase Sc1&amp;2'!$B$119:$AU$165,9+BW$7-$BL$7,0)/1000000</f>
        <v>0.42752596474369464</v>
      </c>
      <c r="BX77" s="108">
        <f>AN77*$BK77*VLOOKUP($D77,'Land Price Phase Sc1&amp;2'!$B$119:$AU$165,9+BX$7-$BL$7,0)/1000000</f>
        <v>0.45788030824049697</v>
      </c>
      <c r="BY77" s="108">
        <f>AO77*$BK77*VLOOKUP($D77,'Land Price Phase Sc1&amp;2'!$B$119:$AU$165,9+BY$7-$BL$7,0)/1000000</f>
        <v>0.4903898101255722</v>
      </c>
      <c r="BZ77" s="108">
        <f>AP77*$BK77*VLOOKUP($D77,'Land Price Phase Sc1&amp;2'!$B$119:$AU$165,9+BZ$7-$BL$7,0)/1000000</f>
        <v>2.3516753133335273</v>
      </c>
      <c r="CA77" s="108">
        <f>AQ77*$BK77*VLOOKUP($D77,'Land Price Phase Sc1&amp;2'!$B$119:$AU$165,9+CA$7-$BL$7,0)/1000000</f>
        <v>2.5186442605802073</v>
      </c>
      <c r="CB77" s="108">
        <f>AR77*$BK77*VLOOKUP($D77,'Land Price Phase Sc1&amp;2'!$B$119:$AU$165,9+CB$7-$BL$7,0)/1000000</f>
        <v>2.6974680030814024</v>
      </c>
      <c r="CC77" s="108">
        <f>AS77*$BK77*VLOOKUP($D77,'Land Price Phase Sc1&amp;2'!$B$119:$AU$165,9+CC$7-$BL$7,0)/1000000</f>
        <v>2.8889882313001816</v>
      </c>
      <c r="CD77" s="108">
        <f>AT77*$BK77*VLOOKUP($D77,'Land Price Phase Sc1&amp;2'!$B$119:$AU$165,9+CD$7-$BL$7,0)/1000000</f>
        <v>6.8757919904944318</v>
      </c>
      <c r="CE77" s="108">
        <f>AU77*$BK77*VLOOKUP($D77,'Land Price Phase Sc1&amp;2'!$B$119:$AU$165,9+CE$7-$BL$7,0)/1000000</f>
        <v>7.3639732218195357</v>
      </c>
      <c r="CF77" s="108">
        <f>AV77*$BK77*VLOOKUP($D77,'Land Price Phase Sc1&amp;2'!$B$119:$AU$165,9+CF$7-$BL$7,0)/1000000</f>
        <v>7.8868153205687221</v>
      </c>
      <c r="CG77" s="108">
        <f>AW77*$BK77*VLOOKUP($D77,'Land Price Phase Sc1&amp;2'!$B$119:$AU$165,9+CG$7-$BL$7,0)/1000000</f>
        <v>0</v>
      </c>
      <c r="CH77" s="108">
        <f>AX77*$BK77*VLOOKUP($D77,'Land Price Phase Sc1&amp;2'!$B$119:$AU$165,9+CH$7-$BL$7,0)/1000000</f>
        <v>0</v>
      </c>
      <c r="CI77" s="108">
        <f>AY77*$BK77*VLOOKUP($D77,'Land Price Phase Sc1&amp;2'!$B$119:$AU$165,9+CI$7-$BL$7,0)/1000000</f>
        <v>0</v>
      </c>
      <c r="CJ77" s="108">
        <f>AZ77*$BK77*VLOOKUP($D77,'Land Price Phase Sc1&amp;2'!$B$119:$AU$165,9+CJ$7-$BL$7,0)/1000000</f>
        <v>0</v>
      </c>
      <c r="CK77" s="108">
        <f>BA77*$BK77*VLOOKUP($D77,'Land Price Phase Sc1&amp;2'!$B$119:$AU$165,9+CK$7-$BL$7,0)/1000000</f>
        <v>0</v>
      </c>
      <c r="CL77" s="108">
        <f>BB77*$BK77*VLOOKUP($D77,'Land Price Phase Sc1&amp;2'!$B$119:$AU$165,9+CL$7-$BL$7,0)/1000000</f>
        <v>0</v>
      </c>
      <c r="CM77" s="108">
        <f>BC77*$BK77*VLOOKUP($D77,'Land Price Phase Sc1&amp;2'!$B$119:$AU$165,9+CM$7-$BL$7,0)/1000000</f>
        <v>0</v>
      </c>
      <c r="CN77" s="108">
        <f>BD77*$BK77*VLOOKUP($D77,'Land Price Phase Sc1&amp;2'!$B$119:$AU$165,9+CN$7-$BL$7,0)/1000000</f>
        <v>0</v>
      </c>
      <c r="CO77" s="108">
        <f>BE77*$BK77*VLOOKUP($D77,'Land Price Phase Sc1&amp;2'!$B$119:$AU$165,9+CO$7-$BL$7,0)/1000000</f>
        <v>0</v>
      </c>
      <c r="CP77" s="108">
        <f>BF77*$BK77*VLOOKUP($D77,'Land Price Phase Sc1&amp;2'!$B$119:$AU$165,9+CP$7-$BL$7,0)/1000000</f>
        <v>0</v>
      </c>
      <c r="CQ77" s="108">
        <f>BG77*$BK77*VLOOKUP($D77,'Land Price Phase Sc1&amp;2'!$B$119:$AU$165,9+CQ$7-$BL$7,0)/1000000</f>
        <v>0</v>
      </c>
      <c r="CR77" s="108">
        <f t="shared" si="126"/>
        <v>34.358336331611483</v>
      </c>
      <c r="CS77" s="19"/>
      <c r="CT77" s="19"/>
      <c r="CU77" s="19"/>
      <c r="CV77" s="19"/>
      <c r="CW77" s="18"/>
      <c r="CX77" s="18"/>
      <c r="CY77" s="18"/>
      <c r="CZ77" s="18"/>
      <c r="DA77" s="20"/>
      <c r="DB77" s="20"/>
      <c r="DC77" s="20"/>
      <c r="DK77" s="10"/>
      <c r="DL77" s="10"/>
      <c r="DM77" s="10"/>
      <c r="DN77" s="10"/>
      <c r="DO77" s="10"/>
      <c r="DP77" s="10"/>
      <c r="DQ77" s="10"/>
      <c r="DR77" s="10"/>
      <c r="DS77" s="10"/>
      <c r="DT77" s="10"/>
      <c r="EB77" s="84"/>
      <c r="EC77" s="84"/>
    </row>
    <row r="78" spans="1:133" x14ac:dyDescent="0.3">
      <c r="A78" s="104" t="s">
        <v>37</v>
      </c>
      <c r="B78" s="104" t="s">
        <v>195</v>
      </c>
      <c r="C78" s="104"/>
      <c r="D78" s="104" t="str">
        <f>D77</f>
        <v>Drury West (Stage 2)</v>
      </c>
      <c r="E78" s="104"/>
      <c r="F78" s="105"/>
      <c r="G78" s="105">
        <v>1</v>
      </c>
      <c r="H78" s="105"/>
      <c r="I78" s="105"/>
      <c r="J78" s="105"/>
      <c r="K78" s="105">
        <f>G78</f>
        <v>1</v>
      </c>
      <c r="L78" s="105"/>
      <c r="M78" s="105"/>
      <c r="N78" s="105"/>
      <c r="O78" s="104">
        <f>VLOOKUP($D78,'Land Price Phase Sc1&amp;2'!$B$4:$F$50,3,0)</f>
        <v>2031</v>
      </c>
      <c r="P78" s="104">
        <f>VLOOKUP($D78,'Land Price Phase Sc1&amp;2'!$B$4:$F$50,4,0)</f>
        <v>2035</v>
      </c>
      <c r="Q78" s="104">
        <f>VLOOKUP($D78,'Land Price Phase Sc1&amp;2'!$B$4:$F$50,5,0)</f>
        <v>2039</v>
      </c>
      <c r="R78" s="106">
        <f t="shared" si="154"/>
        <v>1</v>
      </c>
      <c r="S78" s="107">
        <f>'Park spec inputs'!C$21</f>
        <v>0.15</v>
      </c>
      <c r="T78" s="107">
        <f>'Park spec inputs'!D$21</f>
        <v>0.5</v>
      </c>
      <c r="U78" s="107">
        <f>'Park spec inputs'!E$21</f>
        <v>0.25</v>
      </c>
      <c r="V78" s="107">
        <f>'Park spec inputs'!F$21</f>
        <v>0.1</v>
      </c>
      <c r="W78" s="107">
        <f t="shared" si="138"/>
        <v>0.711860292938581</v>
      </c>
      <c r="X78" s="107">
        <f t="shared" si="117"/>
        <v>65.672558263244724</v>
      </c>
      <c r="Y78" s="107">
        <f t="shared" si="118"/>
        <v>52.299029605842442</v>
      </c>
      <c r="Z78" s="104">
        <v>28</v>
      </c>
      <c r="AA78" s="108">
        <f t="shared" si="155"/>
        <v>1.8728484189647709</v>
      </c>
      <c r="AB78" s="104"/>
      <c r="AC78" s="104"/>
      <c r="AD78" s="104"/>
      <c r="AE78" s="104"/>
      <c r="AF78" s="104"/>
      <c r="AG78" s="104"/>
      <c r="AH78" s="104"/>
      <c r="AI78" s="104">
        <v>4.9999999999999996E-2</v>
      </c>
      <c r="AJ78" s="104">
        <v>4.9999999999999996E-2</v>
      </c>
      <c r="AK78" s="104">
        <v>4.9999999999999996E-2</v>
      </c>
      <c r="AL78" s="111">
        <f>$T78/4</f>
        <v>0.125</v>
      </c>
      <c r="AM78" s="111">
        <f>AL78</f>
        <v>0.125</v>
      </c>
      <c r="AN78" s="111">
        <f t="shared" si="173"/>
        <v>0.125</v>
      </c>
      <c r="AO78" s="111">
        <f t="shared" si="174"/>
        <v>0.125</v>
      </c>
      <c r="AP78" s="111">
        <f t="shared" si="175"/>
        <v>6.25E-2</v>
      </c>
      <c r="AQ78" s="111">
        <f t="shared" si="176"/>
        <v>6.25E-2</v>
      </c>
      <c r="AR78" s="111">
        <f t="shared" si="177"/>
        <v>6.25E-2</v>
      </c>
      <c r="AS78" s="111">
        <f t="shared" si="178"/>
        <v>6.25E-2</v>
      </c>
      <c r="AT78" s="111">
        <f>$V78/3</f>
        <v>3.3333333333333333E-2</v>
      </c>
      <c r="AU78" s="111">
        <f t="shared" si="179"/>
        <v>3.3333333333333333E-2</v>
      </c>
      <c r="AV78" s="111">
        <f t="shared" si="180"/>
        <v>3.3333333333333333E-2</v>
      </c>
      <c r="AW78" s="104"/>
      <c r="AX78" s="104"/>
      <c r="AY78" s="104"/>
      <c r="AZ78" s="104"/>
      <c r="BA78" s="104"/>
      <c r="BB78" s="104"/>
      <c r="BC78" s="104"/>
      <c r="BD78" s="104"/>
      <c r="BE78" s="104"/>
      <c r="BF78" s="104"/>
      <c r="BG78" s="104"/>
      <c r="BH78" s="109">
        <f t="shared" si="170"/>
        <v>0.15</v>
      </c>
      <c r="BI78" s="109">
        <f t="shared" si="171"/>
        <v>0.85</v>
      </c>
      <c r="BJ78" s="109"/>
      <c r="BK78" s="104">
        <f t="shared" si="151"/>
        <v>30000</v>
      </c>
      <c r="BL78" s="108">
        <f>AB78*$BK78*VLOOKUP($D78,'Land Price Phase Sc1&amp;2'!$B$119:$AU$165,9+BL$7-$BL$7,0)/1000000</f>
        <v>0</v>
      </c>
      <c r="BM78" s="108">
        <f>AC78*$BK78*VLOOKUP($D78,'Land Price Phase Sc1&amp;2'!$B$119:$AU$165,9+BM$7-$BL$7,0)/1000000</f>
        <v>0</v>
      </c>
      <c r="BN78" s="108">
        <f>AD78*$BK78*VLOOKUP($D78,'Land Price Phase Sc1&amp;2'!$B$119:$AU$165,9+BN$7-$BL$7,0)/1000000</f>
        <v>0</v>
      </c>
      <c r="BO78" s="108">
        <f>AE78*$BK78*VLOOKUP($D78,'Land Price Phase Sc1&amp;2'!$B$119:$AU$165,9+BO$7-$BL$7,0)/1000000</f>
        <v>0</v>
      </c>
      <c r="BP78" s="108">
        <f>AF78*$BK78*VLOOKUP($D78,'Land Price Phase Sc1&amp;2'!$B$119:$AU$165,9+BP$7-$BL$7,0)/1000000</f>
        <v>0</v>
      </c>
      <c r="BQ78" s="108">
        <f>AG78*$BK78*VLOOKUP($D78,'Land Price Phase Sc1&amp;2'!$B$119:$AU$165,9+BQ$7-$BL$7,0)/1000000</f>
        <v>0</v>
      </c>
      <c r="BR78" s="108">
        <f>AH78*$BK78*VLOOKUP($D78,'Land Price Phase Sc1&amp;2'!$B$119:$AU$165,9+BR$7-$BL$7,0)/1000000</f>
        <v>0</v>
      </c>
      <c r="BS78" s="108">
        <f>AI78*$BK78*VLOOKUP($D78,'Land Price Phase Sc1&amp;2'!$B$119:$AU$165,9+BS$7-$BL$7,0)/1000000</f>
        <v>0.58198401417656609</v>
      </c>
      <c r="BT78" s="108">
        <f>AJ78*$BK78*VLOOKUP($D78,'Land Price Phase Sc1&amp;2'!$B$119:$AU$165,9+BT$7-$BL$7,0)/1000000</f>
        <v>0.62330487918310229</v>
      </c>
      <c r="BU78" s="108">
        <f>AK78*$BK78*VLOOKUP($D78,'Land Price Phase Sc1&amp;2'!$B$119:$AU$165,9+BU$7-$BL$7,0)/1000000</f>
        <v>0.66755952560510257</v>
      </c>
      <c r="BV78" s="108">
        <f>AL78*$BK78*VLOOKUP($D78,'Land Price Phase Sc1&amp;2'!$B$119:$AU$165,9+BV$7-$BL$7,0)/1000000</f>
        <v>2.4948994207731952</v>
      </c>
      <c r="BW78" s="108">
        <f>AM78*$BK78*VLOOKUP($D78,'Land Price Phase Sc1&amp;2'!$B$119:$AU$165,9+BW$7-$BL$7,0)/1000000</f>
        <v>2.6720372796480918</v>
      </c>
      <c r="BX78" s="108">
        <f>AN78*$BK78*VLOOKUP($D78,'Land Price Phase Sc1&amp;2'!$B$119:$AU$165,9+BX$7-$BL$7,0)/1000000</f>
        <v>2.8617519265031062</v>
      </c>
      <c r="BY78" s="108">
        <f>AO78*$BK78*VLOOKUP($D78,'Land Price Phase Sc1&amp;2'!$B$119:$AU$165,9+BY$7-$BL$7,0)/1000000</f>
        <v>3.064936313284826</v>
      </c>
      <c r="BZ78" s="108">
        <f>AP78*$BK78*VLOOKUP($D78,'Land Price Phase Sc1&amp;2'!$B$119:$AU$165,9+BZ$7-$BL$7,0)/1000000</f>
        <v>4.8993235694448485</v>
      </c>
      <c r="CA78" s="108">
        <f>AQ78*$BK78*VLOOKUP($D78,'Land Price Phase Sc1&amp;2'!$B$119:$AU$165,9+CA$7-$BL$7,0)/1000000</f>
        <v>5.2471755428754321</v>
      </c>
      <c r="CB78" s="108">
        <f>AR78*$BK78*VLOOKUP($D78,'Land Price Phase Sc1&amp;2'!$B$119:$AU$165,9+CB$7-$BL$7,0)/1000000</f>
        <v>5.6197250064195883</v>
      </c>
      <c r="CC78" s="108">
        <f>AS78*$BK78*VLOOKUP($D78,'Land Price Phase Sc1&amp;2'!$B$119:$AU$165,9+CC$7-$BL$7,0)/1000000</f>
        <v>6.0187254818753786</v>
      </c>
      <c r="CD78" s="108">
        <f>AT78*$BK78*VLOOKUP($D78,'Land Price Phase Sc1&amp;2'!$B$119:$AU$165,9+CD$7-$BL$7,0)/1000000</f>
        <v>3.4378959952472159</v>
      </c>
      <c r="CE78" s="108">
        <f>AU78*$BK78*VLOOKUP($D78,'Land Price Phase Sc1&amp;2'!$B$119:$AU$165,9+CE$7-$BL$7,0)/1000000</f>
        <v>3.6819866109097679</v>
      </c>
      <c r="CF78" s="108">
        <f>AV78*$BK78*VLOOKUP($D78,'Land Price Phase Sc1&amp;2'!$B$119:$AU$165,9+CF$7-$BL$7,0)/1000000</f>
        <v>3.9434076602843611</v>
      </c>
      <c r="CG78" s="108">
        <f>AW78*$BK78*VLOOKUP($D78,'Land Price Phase Sc1&amp;2'!$B$119:$AU$165,9+CG$7-$BL$7,0)/1000000</f>
        <v>0</v>
      </c>
      <c r="CH78" s="108">
        <f>AX78*$BK78*VLOOKUP($D78,'Land Price Phase Sc1&amp;2'!$B$119:$AU$165,9+CH$7-$BL$7,0)/1000000</f>
        <v>0</v>
      </c>
      <c r="CI78" s="108">
        <f>AY78*$BK78*VLOOKUP($D78,'Land Price Phase Sc1&amp;2'!$B$119:$AU$165,9+CI$7-$BL$7,0)/1000000</f>
        <v>0</v>
      </c>
      <c r="CJ78" s="108">
        <f>AZ78*$BK78*VLOOKUP($D78,'Land Price Phase Sc1&amp;2'!$B$119:$AU$165,9+CJ$7-$BL$7,0)/1000000</f>
        <v>0</v>
      </c>
      <c r="CK78" s="108">
        <f>BA78*$BK78*VLOOKUP($D78,'Land Price Phase Sc1&amp;2'!$B$119:$AU$165,9+CK$7-$BL$7,0)/1000000</f>
        <v>0</v>
      </c>
      <c r="CL78" s="108">
        <f>BB78*$BK78*VLOOKUP($D78,'Land Price Phase Sc1&amp;2'!$B$119:$AU$165,9+CL$7-$BL$7,0)/1000000</f>
        <v>0</v>
      </c>
      <c r="CM78" s="108">
        <f>BC78*$BK78*VLOOKUP($D78,'Land Price Phase Sc1&amp;2'!$B$119:$AU$165,9+CM$7-$BL$7,0)/1000000</f>
        <v>0</v>
      </c>
      <c r="CN78" s="108">
        <f>BD78*$BK78*VLOOKUP($D78,'Land Price Phase Sc1&amp;2'!$B$119:$AU$165,9+CN$7-$BL$7,0)/1000000</f>
        <v>0</v>
      </c>
      <c r="CO78" s="108">
        <f>BE78*$BK78*VLOOKUP($D78,'Land Price Phase Sc1&amp;2'!$B$119:$AU$165,9+CO$7-$BL$7,0)/1000000</f>
        <v>0</v>
      </c>
      <c r="CP78" s="108">
        <f>BF78*$BK78*VLOOKUP($D78,'Land Price Phase Sc1&amp;2'!$B$119:$AU$165,9+CP$7-$BL$7,0)/1000000</f>
        <v>0</v>
      </c>
      <c r="CQ78" s="108">
        <f>BG78*$BK78*VLOOKUP($D78,'Land Price Phase Sc1&amp;2'!$B$119:$AU$165,9+CQ$7-$BL$7,0)/1000000</f>
        <v>0</v>
      </c>
      <c r="CR78" s="108">
        <f t="shared" si="126"/>
        <v>45.81471322623058</v>
      </c>
      <c r="CS78" s="19"/>
      <c r="CT78" s="19"/>
      <c r="CU78" s="19"/>
      <c r="CV78" s="19"/>
      <c r="CW78" s="18"/>
      <c r="CX78" s="18"/>
      <c r="CY78" s="18"/>
      <c r="CZ78" s="18"/>
      <c r="DA78" s="20"/>
      <c r="DB78" s="20"/>
      <c r="DC78" s="20"/>
      <c r="DK78" s="10"/>
      <c r="DL78" s="10"/>
      <c r="DM78" s="10"/>
      <c r="DN78" s="10"/>
      <c r="DO78" s="10"/>
      <c r="DP78" s="10"/>
      <c r="DQ78" s="10"/>
      <c r="DR78" s="10"/>
      <c r="DS78" s="10"/>
      <c r="DT78" s="10"/>
      <c r="EB78" s="84"/>
      <c r="EC78" s="84"/>
    </row>
    <row r="79" spans="1:133" x14ac:dyDescent="0.3">
      <c r="A79" s="104" t="s">
        <v>37</v>
      </c>
      <c r="B79" s="104" t="s">
        <v>195</v>
      </c>
      <c r="C79" s="104"/>
      <c r="D79" s="104" t="str">
        <f>D78</f>
        <v>Drury West (Stage 2)</v>
      </c>
      <c r="E79" s="104"/>
      <c r="F79" s="105"/>
      <c r="G79" s="105"/>
      <c r="H79" s="105"/>
      <c r="I79" s="105">
        <v>0.5</v>
      </c>
      <c r="J79" s="105"/>
      <c r="K79" s="105"/>
      <c r="L79" s="105"/>
      <c r="M79" s="105">
        <f>I79</f>
        <v>0.5</v>
      </c>
      <c r="N79" s="105"/>
      <c r="O79" s="104">
        <f>VLOOKUP($D79,'Land Price Phase Sc1&amp;2'!$B$4:$F$50,3,0)</f>
        <v>2031</v>
      </c>
      <c r="P79" s="104">
        <f>VLOOKUP($D79,'Land Price Phase Sc1&amp;2'!$B$4:$F$50,4,0)</f>
        <v>2035</v>
      </c>
      <c r="Q79" s="104">
        <f>VLOOKUP($D79,'Land Price Phase Sc1&amp;2'!$B$4:$F$50,5,0)</f>
        <v>2039</v>
      </c>
      <c r="R79" s="106">
        <f t="shared" si="154"/>
        <v>0.99999999999999989</v>
      </c>
      <c r="S79" s="104"/>
      <c r="T79" s="104"/>
      <c r="U79" s="116">
        <f>'Park spec inputs'!L$24</f>
        <v>0.5</v>
      </c>
      <c r="V79" s="116">
        <f>'Park spec inputs'!M$24</f>
        <v>0.5</v>
      </c>
      <c r="W79" s="107">
        <f t="shared" si="138"/>
        <v>0.711860292938581</v>
      </c>
      <c r="X79" s="107">
        <f t="shared" si="117"/>
        <v>65.672558263244724</v>
      </c>
      <c r="Y79" s="107">
        <f t="shared" si="118"/>
        <v>52.299029605842442</v>
      </c>
      <c r="Z79" s="104" t="s">
        <v>370</v>
      </c>
      <c r="AA79" s="108">
        <f t="shared" si="155"/>
        <v>0</v>
      </c>
      <c r="AB79" s="104"/>
      <c r="AC79" s="104"/>
      <c r="AD79" s="104"/>
      <c r="AE79" s="104"/>
      <c r="AF79" s="104"/>
      <c r="AG79" s="104"/>
      <c r="AH79" s="104"/>
      <c r="AI79" s="104"/>
      <c r="AJ79" s="104"/>
      <c r="AK79" s="104"/>
      <c r="AL79" s="104"/>
      <c r="AM79" s="104"/>
      <c r="AN79" s="104"/>
      <c r="AO79" s="104"/>
      <c r="AP79" s="109">
        <f t="shared" si="175"/>
        <v>0.125</v>
      </c>
      <c r="AQ79" s="109">
        <f>AP79</f>
        <v>0.125</v>
      </c>
      <c r="AR79" s="109">
        <f t="shared" si="177"/>
        <v>0.125</v>
      </c>
      <c r="AS79" s="109">
        <f t="shared" si="178"/>
        <v>0.125</v>
      </c>
      <c r="AT79" s="109">
        <f>$V$79/3</f>
        <v>0.16666666666666666</v>
      </c>
      <c r="AU79" s="109">
        <f t="shared" si="179"/>
        <v>0.16666666666666666</v>
      </c>
      <c r="AV79" s="109">
        <f t="shared" si="180"/>
        <v>0.16666666666666666</v>
      </c>
      <c r="AW79" s="104"/>
      <c r="AX79" s="104"/>
      <c r="AY79" s="104"/>
      <c r="AZ79" s="104"/>
      <c r="BA79" s="104"/>
      <c r="BB79" s="104"/>
      <c r="BC79" s="104"/>
      <c r="BD79" s="104"/>
      <c r="BE79" s="104"/>
      <c r="BF79" s="104"/>
      <c r="BG79" s="104"/>
      <c r="BH79" s="109">
        <f t="shared" si="170"/>
        <v>0</v>
      </c>
      <c r="BI79" s="109">
        <f t="shared" si="171"/>
        <v>0.99999999999999989</v>
      </c>
      <c r="BJ79" s="109"/>
      <c r="BK79" s="104">
        <f t="shared" si="151"/>
        <v>1000</v>
      </c>
      <c r="BL79" s="108">
        <f>AB79*$BK79*VLOOKUP($D79,'Land Price Phase Sc1&amp;2'!$B$119:$AU$165,9+BL$7-$BL$7,0)/1000000</f>
        <v>0</v>
      </c>
      <c r="BM79" s="108">
        <f>AC79*$BK79*VLOOKUP($D79,'Land Price Phase Sc1&amp;2'!$B$119:$AU$165,9+BM$7-$BL$7,0)/1000000</f>
        <v>0</v>
      </c>
      <c r="BN79" s="108">
        <f>AD79*$BK79*VLOOKUP($D79,'Land Price Phase Sc1&amp;2'!$B$119:$AU$165,9+BN$7-$BL$7,0)/1000000</f>
        <v>0</v>
      </c>
      <c r="BO79" s="108">
        <f>AE79*$BK79*VLOOKUP($D79,'Land Price Phase Sc1&amp;2'!$B$119:$AU$165,9+BO$7-$BL$7,0)/1000000</f>
        <v>0</v>
      </c>
      <c r="BP79" s="108">
        <f>AF79*$BK79*VLOOKUP($D79,'Land Price Phase Sc1&amp;2'!$B$119:$AU$165,9+BP$7-$BL$7,0)/1000000</f>
        <v>0</v>
      </c>
      <c r="BQ79" s="108">
        <f>AG79*$BK79*VLOOKUP($D79,'Land Price Phase Sc1&amp;2'!$B$119:$AU$165,9+BQ$7-$BL$7,0)/1000000</f>
        <v>0</v>
      </c>
      <c r="BR79" s="108">
        <f>AH79*$BK79*VLOOKUP($D79,'Land Price Phase Sc1&amp;2'!$B$119:$AU$165,9+BR$7-$BL$7,0)/1000000</f>
        <v>0</v>
      </c>
      <c r="BS79" s="108">
        <f>AI79*$BK79*VLOOKUP($D79,'Land Price Phase Sc1&amp;2'!$B$119:$AU$165,9+BS$7-$BL$7,0)/1000000</f>
        <v>0</v>
      </c>
      <c r="BT79" s="108">
        <f>AJ79*$BK79*VLOOKUP($D79,'Land Price Phase Sc1&amp;2'!$B$119:$AU$165,9+BT$7-$BL$7,0)/1000000</f>
        <v>0</v>
      </c>
      <c r="BU79" s="108">
        <f>AK79*$BK79*VLOOKUP($D79,'Land Price Phase Sc1&amp;2'!$B$119:$AU$165,9+BU$7-$BL$7,0)/1000000</f>
        <v>0</v>
      </c>
      <c r="BV79" s="108">
        <f>AL79*$BK79*VLOOKUP($D79,'Land Price Phase Sc1&amp;2'!$B$119:$AU$165,9+BV$7-$BL$7,0)/1000000</f>
        <v>0</v>
      </c>
      <c r="BW79" s="108">
        <f>AM79*$BK79*VLOOKUP($D79,'Land Price Phase Sc1&amp;2'!$B$119:$AU$165,9+BW$7-$BL$7,0)/1000000</f>
        <v>0</v>
      </c>
      <c r="BX79" s="108">
        <f>AN79*$BK79*VLOOKUP($D79,'Land Price Phase Sc1&amp;2'!$B$119:$AU$165,9+BX$7-$BL$7,0)/1000000</f>
        <v>0</v>
      </c>
      <c r="BY79" s="108">
        <f>AO79*$BK79*VLOOKUP($D79,'Land Price Phase Sc1&amp;2'!$B$119:$AU$165,9+BY$7-$BL$7,0)/1000000</f>
        <v>0</v>
      </c>
      <c r="BZ79" s="108">
        <f>AP79*$BK79*VLOOKUP($D79,'Land Price Phase Sc1&amp;2'!$B$119:$AU$165,9+BZ$7-$BL$7,0)/1000000</f>
        <v>0.32662157129632319</v>
      </c>
      <c r="CA79" s="108">
        <f>AQ79*$BK79*VLOOKUP($D79,'Land Price Phase Sc1&amp;2'!$B$119:$AU$165,9+CA$7-$BL$7,0)/1000000</f>
        <v>0.34981170285836211</v>
      </c>
      <c r="CB79" s="108">
        <f>AR79*$BK79*VLOOKUP($D79,'Land Price Phase Sc1&amp;2'!$B$119:$AU$165,9+CB$7-$BL$7,0)/1000000</f>
        <v>0.37464833376130591</v>
      </c>
      <c r="CC79" s="108">
        <f>AS79*$BK79*VLOOKUP($D79,'Land Price Phase Sc1&amp;2'!$B$119:$AU$165,9+CC$7-$BL$7,0)/1000000</f>
        <v>0.40124836545835862</v>
      </c>
      <c r="CD79" s="108">
        <f>AT79*$BK79*VLOOKUP($D79,'Land Price Phase Sc1&amp;2'!$B$119:$AU$165,9+CD$7-$BL$7,0)/1000000</f>
        <v>0.57298266587453595</v>
      </c>
      <c r="CE79" s="108">
        <f>AU79*$BK79*VLOOKUP($D79,'Land Price Phase Sc1&amp;2'!$B$119:$AU$165,9+CE$7-$BL$7,0)/1000000</f>
        <v>0.61366443515162794</v>
      </c>
      <c r="CF79" s="108">
        <f>AV79*$BK79*VLOOKUP($D79,'Land Price Phase Sc1&amp;2'!$B$119:$AU$165,9+CF$7-$BL$7,0)/1000000</f>
        <v>0.65723461004739347</v>
      </c>
      <c r="CG79" s="108">
        <f>AW79*$BK79*VLOOKUP($D79,'Land Price Phase Sc1&amp;2'!$B$119:$AU$165,9+CG$7-$BL$7,0)/1000000</f>
        <v>0</v>
      </c>
      <c r="CH79" s="108">
        <f>AX79*$BK79*VLOOKUP($D79,'Land Price Phase Sc1&amp;2'!$B$119:$AU$165,9+CH$7-$BL$7,0)/1000000</f>
        <v>0</v>
      </c>
      <c r="CI79" s="108">
        <f>AY79*$BK79*VLOOKUP($D79,'Land Price Phase Sc1&amp;2'!$B$119:$AU$165,9+CI$7-$BL$7,0)/1000000</f>
        <v>0</v>
      </c>
      <c r="CJ79" s="108">
        <f>AZ79*$BK79*VLOOKUP($D79,'Land Price Phase Sc1&amp;2'!$B$119:$AU$165,9+CJ$7-$BL$7,0)/1000000</f>
        <v>0</v>
      </c>
      <c r="CK79" s="108">
        <f>BA79*$BK79*VLOOKUP($D79,'Land Price Phase Sc1&amp;2'!$B$119:$AU$165,9+CK$7-$BL$7,0)/1000000</f>
        <v>0</v>
      </c>
      <c r="CL79" s="108">
        <f>BB79*$BK79*VLOOKUP($D79,'Land Price Phase Sc1&amp;2'!$B$119:$AU$165,9+CL$7-$BL$7,0)/1000000</f>
        <v>0</v>
      </c>
      <c r="CM79" s="108">
        <f>BC79*$BK79*VLOOKUP($D79,'Land Price Phase Sc1&amp;2'!$B$119:$AU$165,9+CM$7-$BL$7,0)/1000000</f>
        <v>0</v>
      </c>
      <c r="CN79" s="108">
        <f>BD79*$BK79*VLOOKUP($D79,'Land Price Phase Sc1&amp;2'!$B$119:$AU$165,9+CN$7-$BL$7,0)/1000000</f>
        <v>0</v>
      </c>
      <c r="CO79" s="108">
        <f>BE79*$BK79*VLOOKUP($D79,'Land Price Phase Sc1&amp;2'!$B$119:$AU$165,9+CO$7-$BL$7,0)/1000000</f>
        <v>0</v>
      </c>
      <c r="CP79" s="108">
        <f>BF79*$BK79*VLOOKUP($D79,'Land Price Phase Sc1&amp;2'!$B$119:$AU$165,9+CP$7-$BL$7,0)/1000000</f>
        <v>0</v>
      </c>
      <c r="CQ79" s="108">
        <f>BG79*$BK79*VLOOKUP($D79,'Land Price Phase Sc1&amp;2'!$B$119:$AU$165,9+CQ$7-$BL$7,0)/1000000</f>
        <v>0</v>
      </c>
      <c r="CR79" s="108">
        <f t="shared" si="126"/>
        <v>3.2962116844479072</v>
      </c>
      <c r="CS79" s="19"/>
      <c r="CT79" s="19"/>
      <c r="CU79" s="19"/>
      <c r="CV79" s="19"/>
      <c r="CW79" s="18"/>
      <c r="CX79" s="18"/>
      <c r="CY79" s="18"/>
      <c r="CZ79" s="18"/>
      <c r="DA79" s="20"/>
      <c r="DB79" s="20"/>
      <c r="DC79" s="20"/>
      <c r="DK79" s="10"/>
      <c r="DL79" s="10"/>
      <c r="DM79" s="10"/>
      <c r="DN79" s="10"/>
      <c r="DO79" s="10"/>
      <c r="DP79" s="10"/>
      <c r="DQ79" s="10"/>
      <c r="DR79" s="10"/>
      <c r="DS79" s="10"/>
      <c r="DT79" s="10"/>
      <c r="EB79" s="84"/>
      <c r="EC79" s="84"/>
    </row>
    <row r="80" spans="1:133" x14ac:dyDescent="0.3">
      <c r="A80" s="104" t="s">
        <v>37</v>
      </c>
      <c r="B80" s="104" t="s">
        <v>195</v>
      </c>
      <c r="C80" s="104"/>
      <c r="D80" s="104" t="str">
        <f>'Land Price Phase Sc1&amp;2'!B35</f>
        <v>Drury West (Stage 3) (remainder)</v>
      </c>
      <c r="E80" s="104"/>
      <c r="F80" s="105">
        <v>4</v>
      </c>
      <c r="G80" s="105"/>
      <c r="H80" s="105"/>
      <c r="I80" s="105"/>
      <c r="J80" s="105">
        <f>F80</f>
        <v>4</v>
      </c>
      <c r="K80" s="105"/>
      <c r="L80" s="105"/>
      <c r="M80" s="105"/>
      <c r="N80" s="105"/>
      <c r="O80" s="104">
        <f>VLOOKUP($D80,'Land Price Phase Sc1&amp;2'!$B$4:$F$50,3,0)</f>
        <v>2031</v>
      </c>
      <c r="P80" s="104">
        <f>VLOOKUP($D80,'Land Price Phase Sc1&amp;2'!$B$4:$F$50,4,0)</f>
        <v>2035</v>
      </c>
      <c r="Q80" s="104">
        <f>VLOOKUP($D80,'Land Price Phase Sc1&amp;2'!$B$4:$F$50,5,0)</f>
        <v>2039</v>
      </c>
      <c r="R80" s="106">
        <f t="shared" si="154"/>
        <v>0.99999999999999989</v>
      </c>
      <c r="S80" s="104"/>
      <c r="T80" s="107">
        <f>'Park spec inputs'!H$22</f>
        <v>0.2</v>
      </c>
      <c r="U80" s="107">
        <f>'Park spec inputs'!I$22</f>
        <v>0.3</v>
      </c>
      <c r="V80" s="107">
        <f>'Park spec inputs'!J$22</f>
        <v>0.5</v>
      </c>
      <c r="W80" s="107">
        <f t="shared" si="138"/>
        <v>0.711860292938581</v>
      </c>
      <c r="X80" s="107">
        <f t="shared" si="117"/>
        <v>65.672558263244724</v>
      </c>
      <c r="Y80" s="107">
        <f t="shared" si="118"/>
        <v>52.299029605842442</v>
      </c>
      <c r="Z80" s="104">
        <v>32</v>
      </c>
      <c r="AA80" s="108">
        <f t="shared" si="155"/>
        <v>0</v>
      </c>
      <c r="AB80" s="104"/>
      <c r="AC80" s="104"/>
      <c r="AD80" s="104"/>
      <c r="AE80" s="104"/>
      <c r="AF80" s="104"/>
      <c r="AG80" s="104"/>
      <c r="AH80" s="104"/>
      <c r="AI80" s="104"/>
      <c r="AJ80" s="104"/>
      <c r="AK80" s="104"/>
      <c r="AL80" s="111">
        <f>$T80/4</f>
        <v>0.05</v>
      </c>
      <c r="AM80" s="111">
        <f>AL80</f>
        <v>0.05</v>
      </c>
      <c r="AN80" s="111">
        <f t="shared" ref="AN80:AN81" si="181">AM80</f>
        <v>0.05</v>
      </c>
      <c r="AO80" s="111">
        <f t="shared" ref="AO80:AO81" si="182">AN80</f>
        <v>0.05</v>
      </c>
      <c r="AP80" s="111">
        <f t="shared" si="175"/>
        <v>7.4999999999999997E-2</v>
      </c>
      <c r="AQ80" s="111">
        <f>AP80</f>
        <v>7.4999999999999997E-2</v>
      </c>
      <c r="AR80" s="111">
        <f>AQ80</f>
        <v>7.4999999999999997E-2</v>
      </c>
      <c r="AS80" s="111">
        <f>AR80</f>
        <v>7.4999999999999997E-2</v>
      </c>
      <c r="AT80" s="111">
        <f>$V80/3</f>
        <v>0.16666666666666666</v>
      </c>
      <c r="AU80" s="111">
        <f t="shared" si="179"/>
        <v>0.16666666666666666</v>
      </c>
      <c r="AV80" s="111">
        <f t="shared" si="180"/>
        <v>0.16666666666666666</v>
      </c>
      <c r="AW80" s="104"/>
      <c r="AX80" s="104"/>
      <c r="AY80" s="104"/>
      <c r="AZ80" s="104"/>
      <c r="BA80" s="104"/>
      <c r="BB80" s="104"/>
      <c r="BC80" s="104"/>
      <c r="BD80" s="104"/>
      <c r="BE80" s="104"/>
      <c r="BF80" s="104"/>
      <c r="BG80" s="104"/>
      <c r="BH80" s="109">
        <f t="shared" si="170"/>
        <v>0</v>
      </c>
      <c r="BI80" s="109">
        <f t="shared" si="171"/>
        <v>0.99999999999999989</v>
      </c>
      <c r="BJ80" s="109"/>
      <c r="BK80" s="104">
        <f t="shared" si="151"/>
        <v>16000</v>
      </c>
      <c r="BL80" s="108">
        <f>AB80*$BK80*VLOOKUP($D80,'Land Price Phase Sc1&amp;2'!$B$119:$AU$165,9+BL$7-$BL$7,0)/1000000</f>
        <v>0</v>
      </c>
      <c r="BM80" s="108">
        <f>AC80*$BK80*VLOOKUP($D80,'Land Price Phase Sc1&amp;2'!$B$119:$AU$165,9+BM$7-$BL$7,0)/1000000</f>
        <v>0</v>
      </c>
      <c r="BN80" s="108">
        <f>AD80*$BK80*VLOOKUP($D80,'Land Price Phase Sc1&amp;2'!$B$119:$AU$165,9+BN$7-$BL$7,0)/1000000</f>
        <v>0</v>
      </c>
      <c r="BO80" s="108">
        <f>AE80*$BK80*VLOOKUP($D80,'Land Price Phase Sc1&amp;2'!$B$119:$AU$165,9+BO$7-$BL$7,0)/1000000</f>
        <v>0</v>
      </c>
      <c r="BP80" s="108">
        <f>AF80*$BK80*VLOOKUP($D80,'Land Price Phase Sc1&amp;2'!$B$119:$AU$165,9+BP$7-$BL$7,0)/1000000</f>
        <v>0</v>
      </c>
      <c r="BQ80" s="108">
        <f>AG80*$BK80*VLOOKUP($D80,'Land Price Phase Sc1&amp;2'!$B$119:$AU$165,9+BQ$7-$BL$7,0)/1000000</f>
        <v>0</v>
      </c>
      <c r="BR80" s="108">
        <f>AH80*$BK80*VLOOKUP($D80,'Land Price Phase Sc1&amp;2'!$B$119:$AU$165,9+BR$7-$BL$7,0)/1000000</f>
        <v>0</v>
      </c>
      <c r="BS80" s="108">
        <f>AI80*$BK80*VLOOKUP($D80,'Land Price Phase Sc1&amp;2'!$B$119:$AU$165,9+BS$7-$BL$7,0)/1000000</f>
        <v>0</v>
      </c>
      <c r="BT80" s="108">
        <f>AJ80*$BK80*VLOOKUP($D80,'Land Price Phase Sc1&amp;2'!$B$119:$AU$165,9+BT$7-$BL$7,0)/1000000</f>
        <v>0</v>
      </c>
      <c r="BU80" s="108">
        <f>AK80*$BK80*VLOOKUP($D80,'Land Price Phase Sc1&amp;2'!$B$119:$AU$165,9+BU$7-$BL$7,0)/1000000</f>
        <v>0</v>
      </c>
      <c r="BV80" s="108">
        <f>AL80*$BK80*VLOOKUP($D80,'Land Price Phase Sc1&amp;2'!$B$119:$AU$165,9+BV$7-$BL$7,0)/1000000</f>
        <v>0.53224520976494838</v>
      </c>
      <c r="BW80" s="108">
        <f>AM80*$BK80*VLOOKUP($D80,'Land Price Phase Sc1&amp;2'!$B$119:$AU$165,9+BW$7-$BL$7,0)/1000000</f>
        <v>0.57003461965825952</v>
      </c>
      <c r="BX80" s="108">
        <f>AN80*$BK80*VLOOKUP($D80,'Land Price Phase Sc1&amp;2'!$B$119:$AU$165,9+BX$7-$BL$7,0)/1000000</f>
        <v>0.61050707765399592</v>
      </c>
      <c r="BY80" s="108">
        <f>AO80*$BK80*VLOOKUP($D80,'Land Price Phase Sc1&amp;2'!$B$119:$AU$165,9+BY$7-$BL$7,0)/1000000</f>
        <v>0.65385308016742949</v>
      </c>
      <c r="BZ80" s="108">
        <f>AP80*$BK80*VLOOKUP($D80,'Land Price Phase Sc1&amp;2'!$B$119:$AU$165,9+BZ$7-$BL$7,0)/1000000</f>
        <v>3.1355670844447032</v>
      </c>
      <c r="CA80" s="108">
        <f>AQ80*$BK80*VLOOKUP($D80,'Land Price Phase Sc1&amp;2'!$B$119:$AU$165,9+CA$7-$BL$7,0)/1000000</f>
        <v>3.3581923474402768</v>
      </c>
      <c r="CB80" s="108">
        <f>AR80*$BK80*VLOOKUP($D80,'Land Price Phase Sc1&amp;2'!$B$119:$AU$165,9+CB$7-$BL$7,0)/1000000</f>
        <v>3.5966240041085364</v>
      </c>
      <c r="CC80" s="108">
        <f>AS80*$BK80*VLOOKUP($D80,'Land Price Phase Sc1&amp;2'!$B$119:$AU$165,9+CC$7-$BL$7,0)/1000000</f>
        <v>3.8519843084002425</v>
      </c>
      <c r="CD80" s="108">
        <f>AT80*$BK80*VLOOKUP($D80,'Land Price Phase Sc1&amp;2'!$B$119:$AU$165,9+CD$7-$BL$7,0)/1000000</f>
        <v>9.1677226539925751</v>
      </c>
      <c r="CE80" s="108">
        <f>AU80*$BK80*VLOOKUP($D80,'Land Price Phase Sc1&amp;2'!$B$119:$AU$165,9+CE$7-$BL$7,0)/1000000</f>
        <v>9.818630962426047</v>
      </c>
      <c r="CF80" s="108">
        <f>AV80*$BK80*VLOOKUP($D80,'Land Price Phase Sc1&amp;2'!$B$119:$AU$165,9+CF$7-$BL$7,0)/1000000</f>
        <v>10.515753760758296</v>
      </c>
      <c r="CG80" s="108">
        <f>AW80*$BK80*VLOOKUP($D80,'Land Price Phase Sc1&amp;2'!$B$119:$AU$165,9+CG$7-$BL$7,0)/1000000</f>
        <v>0</v>
      </c>
      <c r="CH80" s="108">
        <f>AX80*$BK80*VLOOKUP($D80,'Land Price Phase Sc1&amp;2'!$B$119:$AU$165,9+CH$7-$BL$7,0)/1000000</f>
        <v>0</v>
      </c>
      <c r="CI80" s="108">
        <f>AY80*$BK80*VLOOKUP($D80,'Land Price Phase Sc1&amp;2'!$B$119:$AU$165,9+CI$7-$BL$7,0)/1000000</f>
        <v>0</v>
      </c>
      <c r="CJ80" s="108">
        <f>AZ80*$BK80*VLOOKUP($D80,'Land Price Phase Sc1&amp;2'!$B$119:$AU$165,9+CJ$7-$BL$7,0)/1000000</f>
        <v>0</v>
      </c>
      <c r="CK80" s="108">
        <f>BA80*$BK80*VLOOKUP($D80,'Land Price Phase Sc1&amp;2'!$B$119:$AU$165,9+CK$7-$BL$7,0)/1000000</f>
        <v>0</v>
      </c>
      <c r="CL80" s="108">
        <f>BB80*$BK80*VLOOKUP($D80,'Land Price Phase Sc1&amp;2'!$B$119:$AU$165,9+CL$7-$BL$7,0)/1000000</f>
        <v>0</v>
      </c>
      <c r="CM80" s="108">
        <f>BC80*$BK80*VLOOKUP($D80,'Land Price Phase Sc1&amp;2'!$B$119:$AU$165,9+CM$7-$BL$7,0)/1000000</f>
        <v>0</v>
      </c>
      <c r="CN80" s="108">
        <f>BD80*$BK80*VLOOKUP($D80,'Land Price Phase Sc1&amp;2'!$B$119:$AU$165,9+CN$7-$BL$7,0)/1000000</f>
        <v>0</v>
      </c>
      <c r="CO80" s="108">
        <f>BE80*$BK80*VLOOKUP($D80,'Land Price Phase Sc1&amp;2'!$B$119:$AU$165,9+CO$7-$BL$7,0)/1000000</f>
        <v>0</v>
      </c>
      <c r="CP80" s="108">
        <f>BF80*$BK80*VLOOKUP($D80,'Land Price Phase Sc1&amp;2'!$B$119:$AU$165,9+CP$7-$BL$7,0)/1000000</f>
        <v>0</v>
      </c>
      <c r="CQ80" s="108">
        <f>BG80*$BK80*VLOOKUP($D80,'Land Price Phase Sc1&amp;2'!$B$119:$AU$165,9+CQ$7-$BL$7,0)/1000000</f>
        <v>0</v>
      </c>
      <c r="CR80" s="108">
        <f t="shared" si="126"/>
        <v>45.811115108815308</v>
      </c>
      <c r="CS80" s="19"/>
      <c r="CT80" s="19"/>
      <c r="CU80" s="19"/>
      <c r="CV80" s="19"/>
      <c r="CW80" s="18"/>
      <c r="CX80" s="18"/>
      <c r="CY80" s="18"/>
      <c r="CZ80" s="18"/>
      <c r="DA80" s="20"/>
      <c r="DB80" s="20"/>
      <c r="DC80" s="20"/>
      <c r="DK80" s="10"/>
      <c r="DL80" s="10"/>
      <c r="DM80" s="10"/>
      <c r="DN80" s="10"/>
      <c r="DO80" s="10"/>
      <c r="DP80" s="10"/>
      <c r="DQ80" s="10"/>
      <c r="DR80" s="10"/>
      <c r="DS80" s="10"/>
      <c r="DT80" s="10"/>
      <c r="EB80" s="84"/>
      <c r="EC80" s="84"/>
    </row>
    <row r="81" spans="1:133" x14ac:dyDescent="0.3">
      <c r="A81" s="104" t="s">
        <v>37</v>
      </c>
      <c r="B81" s="104" t="s">
        <v>195</v>
      </c>
      <c r="C81" s="104"/>
      <c r="D81" s="104" t="str">
        <f>D80</f>
        <v>Drury West (Stage 3) (remainder)</v>
      </c>
      <c r="E81" s="104"/>
      <c r="F81" s="105"/>
      <c r="G81" s="105">
        <v>1</v>
      </c>
      <c r="H81" s="105"/>
      <c r="I81" s="105"/>
      <c r="J81" s="105"/>
      <c r="K81" s="105">
        <f>G81</f>
        <v>1</v>
      </c>
      <c r="L81" s="105"/>
      <c r="M81" s="105"/>
      <c r="N81" s="105"/>
      <c r="O81" s="104">
        <f>VLOOKUP($D81,'Land Price Phase Sc1&amp;2'!$B$4:$F$50,3,0)</f>
        <v>2031</v>
      </c>
      <c r="P81" s="104">
        <f>VLOOKUP($D81,'Land Price Phase Sc1&amp;2'!$B$4:$F$50,4,0)</f>
        <v>2035</v>
      </c>
      <c r="Q81" s="104">
        <f>VLOOKUP($D81,'Land Price Phase Sc1&amp;2'!$B$4:$F$50,5,0)</f>
        <v>2039</v>
      </c>
      <c r="R81" s="106">
        <f t="shared" si="154"/>
        <v>1</v>
      </c>
      <c r="S81" s="107">
        <f>'Park spec inputs'!C$21</f>
        <v>0.15</v>
      </c>
      <c r="T81" s="107">
        <f>'Park spec inputs'!D$21</f>
        <v>0.5</v>
      </c>
      <c r="U81" s="107">
        <f>'Park spec inputs'!E$21</f>
        <v>0.25</v>
      </c>
      <c r="V81" s="107">
        <f>'Park spec inputs'!F$21</f>
        <v>0.1</v>
      </c>
      <c r="W81" s="107">
        <f t="shared" si="138"/>
        <v>0.711860292938581</v>
      </c>
      <c r="X81" s="107">
        <f t="shared" si="117"/>
        <v>65.672558263244724</v>
      </c>
      <c r="Y81" s="107">
        <f t="shared" si="118"/>
        <v>52.299029605842442</v>
      </c>
      <c r="Z81" s="104">
        <v>28</v>
      </c>
      <c r="AA81" s="108">
        <f t="shared" si="155"/>
        <v>1.8728484189647709</v>
      </c>
      <c r="AB81" s="104"/>
      <c r="AC81" s="104"/>
      <c r="AD81" s="104"/>
      <c r="AE81" s="104"/>
      <c r="AF81" s="104"/>
      <c r="AG81" s="104"/>
      <c r="AH81" s="104"/>
      <c r="AI81" s="104">
        <v>4.9999999999999996E-2</v>
      </c>
      <c r="AJ81" s="104">
        <v>4.9999999999999996E-2</v>
      </c>
      <c r="AK81" s="104">
        <v>4.9999999999999996E-2</v>
      </c>
      <c r="AL81" s="111">
        <f>$T81/4</f>
        <v>0.125</v>
      </c>
      <c r="AM81" s="111">
        <f>AL81</f>
        <v>0.125</v>
      </c>
      <c r="AN81" s="111">
        <f t="shared" si="181"/>
        <v>0.125</v>
      </c>
      <c r="AO81" s="111">
        <f t="shared" si="182"/>
        <v>0.125</v>
      </c>
      <c r="AP81" s="111">
        <f t="shared" si="175"/>
        <v>6.25E-2</v>
      </c>
      <c r="AQ81" s="111">
        <f>AP81</f>
        <v>6.25E-2</v>
      </c>
      <c r="AR81" s="111">
        <f>AQ81</f>
        <v>6.25E-2</v>
      </c>
      <c r="AS81" s="111">
        <f>AR81</f>
        <v>6.25E-2</v>
      </c>
      <c r="AT81" s="111">
        <f>$V81/3</f>
        <v>3.3333333333333333E-2</v>
      </c>
      <c r="AU81" s="111">
        <f t="shared" si="179"/>
        <v>3.3333333333333333E-2</v>
      </c>
      <c r="AV81" s="111">
        <f t="shared" si="180"/>
        <v>3.3333333333333333E-2</v>
      </c>
      <c r="AW81" s="104"/>
      <c r="AX81" s="104"/>
      <c r="AY81" s="104"/>
      <c r="AZ81" s="104"/>
      <c r="BA81" s="104"/>
      <c r="BB81" s="104"/>
      <c r="BC81" s="104"/>
      <c r="BD81" s="104"/>
      <c r="BE81" s="104"/>
      <c r="BF81" s="104"/>
      <c r="BG81" s="104"/>
      <c r="BH81" s="109">
        <f t="shared" si="170"/>
        <v>0.15</v>
      </c>
      <c r="BI81" s="109">
        <f t="shared" si="171"/>
        <v>0.85</v>
      </c>
      <c r="BJ81" s="109"/>
      <c r="BK81" s="104">
        <f t="shared" si="151"/>
        <v>30000</v>
      </c>
      <c r="BL81" s="108">
        <f>AB81*$BK81*VLOOKUP($D81,'Land Price Phase Sc1&amp;2'!$B$119:$AU$165,9+BL$7-$BL$7,0)/1000000</f>
        <v>0</v>
      </c>
      <c r="BM81" s="108">
        <f>AC81*$BK81*VLOOKUP($D81,'Land Price Phase Sc1&amp;2'!$B$119:$AU$165,9+BM$7-$BL$7,0)/1000000</f>
        <v>0</v>
      </c>
      <c r="BN81" s="108">
        <f>AD81*$BK81*VLOOKUP($D81,'Land Price Phase Sc1&amp;2'!$B$119:$AU$165,9+BN$7-$BL$7,0)/1000000</f>
        <v>0</v>
      </c>
      <c r="BO81" s="108">
        <f>AE81*$BK81*VLOOKUP($D81,'Land Price Phase Sc1&amp;2'!$B$119:$AU$165,9+BO$7-$BL$7,0)/1000000</f>
        <v>0</v>
      </c>
      <c r="BP81" s="108">
        <f>AF81*$BK81*VLOOKUP($D81,'Land Price Phase Sc1&amp;2'!$B$119:$AU$165,9+BP$7-$BL$7,0)/1000000</f>
        <v>0</v>
      </c>
      <c r="BQ81" s="108">
        <f>AG81*$BK81*VLOOKUP($D81,'Land Price Phase Sc1&amp;2'!$B$119:$AU$165,9+BQ$7-$BL$7,0)/1000000</f>
        <v>0</v>
      </c>
      <c r="BR81" s="108">
        <f>AH81*$BK81*VLOOKUP($D81,'Land Price Phase Sc1&amp;2'!$B$119:$AU$165,9+BR$7-$BL$7,0)/1000000</f>
        <v>0</v>
      </c>
      <c r="BS81" s="108">
        <f>AI81*$BK81*VLOOKUP($D81,'Land Price Phase Sc1&amp;2'!$B$119:$AU$165,9+BS$7-$BL$7,0)/1000000</f>
        <v>0.58198401417656609</v>
      </c>
      <c r="BT81" s="108">
        <f>AJ81*$BK81*VLOOKUP($D81,'Land Price Phase Sc1&amp;2'!$B$119:$AU$165,9+BT$7-$BL$7,0)/1000000</f>
        <v>0.62330487918310229</v>
      </c>
      <c r="BU81" s="108">
        <f>AK81*$BK81*VLOOKUP($D81,'Land Price Phase Sc1&amp;2'!$B$119:$AU$165,9+BU$7-$BL$7,0)/1000000</f>
        <v>0.66755952560510257</v>
      </c>
      <c r="BV81" s="108">
        <f>AL81*$BK81*VLOOKUP($D81,'Land Price Phase Sc1&amp;2'!$B$119:$AU$165,9+BV$7-$BL$7,0)/1000000</f>
        <v>2.4948994207731952</v>
      </c>
      <c r="BW81" s="108">
        <f>AM81*$BK81*VLOOKUP($D81,'Land Price Phase Sc1&amp;2'!$B$119:$AU$165,9+BW$7-$BL$7,0)/1000000</f>
        <v>2.6720372796480918</v>
      </c>
      <c r="BX81" s="108">
        <f>AN81*$BK81*VLOOKUP($D81,'Land Price Phase Sc1&amp;2'!$B$119:$AU$165,9+BX$7-$BL$7,0)/1000000</f>
        <v>2.8617519265031062</v>
      </c>
      <c r="BY81" s="108">
        <f>AO81*$BK81*VLOOKUP($D81,'Land Price Phase Sc1&amp;2'!$B$119:$AU$165,9+BY$7-$BL$7,0)/1000000</f>
        <v>3.064936313284826</v>
      </c>
      <c r="BZ81" s="108">
        <f>AP81*$BK81*VLOOKUP($D81,'Land Price Phase Sc1&amp;2'!$B$119:$AU$165,9+BZ$7-$BL$7,0)/1000000</f>
        <v>4.8993235694448485</v>
      </c>
      <c r="CA81" s="108">
        <f>AQ81*$BK81*VLOOKUP($D81,'Land Price Phase Sc1&amp;2'!$B$119:$AU$165,9+CA$7-$BL$7,0)/1000000</f>
        <v>5.2471755428754321</v>
      </c>
      <c r="CB81" s="108">
        <f>AR81*$BK81*VLOOKUP($D81,'Land Price Phase Sc1&amp;2'!$B$119:$AU$165,9+CB$7-$BL$7,0)/1000000</f>
        <v>5.6197250064195883</v>
      </c>
      <c r="CC81" s="108">
        <f>AS81*$BK81*VLOOKUP($D81,'Land Price Phase Sc1&amp;2'!$B$119:$AU$165,9+CC$7-$BL$7,0)/1000000</f>
        <v>6.0187254818753786</v>
      </c>
      <c r="CD81" s="108">
        <f>AT81*$BK81*VLOOKUP($D81,'Land Price Phase Sc1&amp;2'!$B$119:$AU$165,9+CD$7-$BL$7,0)/1000000</f>
        <v>3.4378959952472159</v>
      </c>
      <c r="CE81" s="108">
        <f>AU81*$BK81*VLOOKUP($D81,'Land Price Phase Sc1&amp;2'!$B$119:$AU$165,9+CE$7-$BL$7,0)/1000000</f>
        <v>3.6819866109097679</v>
      </c>
      <c r="CF81" s="108">
        <f>AV81*$BK81*VLOOKUP($D81,'Land Price Phase Sc1&amp;2'!$B$119:$AU$165,9+CF$7-$BL$7,0)/1000000</f>
        <v>3.9434076602843611</v>
      </c>
      <c r="CG81" s="108">
        <f>AW81*$BK81*VLOOKUP($D81,'Land Price Phase Sc1&amp;2'!$B$119:$AU$165,9+CG$7-$BL$7,0)/1000000</f>
        <v>0</v>
      </c>
      <c r="CH81" s="108">
        <f>AX81*$BK81*VLOOKUP($D81,'Land Price Phase Sc1&amp;2'!$B$119:$AU$165,9+CH$7-$BL$7,0)/1000000</f>
        <v>0</v>
      </c>
      <c r="CI81" s="108">
        <f>AY81*$BK81*VLOOKUP($D81,'Land Price Phase Sc1&amp;2'!$B$119:$AU$165,9+CI$7-$BL$7,0)/1000000</f>
        <v>0</v>
      </c>
      <c r="CJ81" s="108">
        <f>AZ81*$BK81*VLOOKUP($D81,'Land Price Phase Sc1&amp;2'!$B$119:$AU$165,9+CJ$7-$BL$7,0)/1000000</f>
        <v>0</v>
      </c>
      <c r="CK81" s="108">
        <f>BA81*$BK81*VLOOKUP($D81,'Land Price Phase Sc1&amp;2'!$B$119:$AU$165,9+CK$7-$BL$7,0)/1000000</f>
        <v>0</v>
      </c>
      <c r="CL81" s="108">
        <f>BB81*$BK81*VLOOKUP($D81,'Land Price Phase Sc1&amp;2'!$B$119:$AU$165,9+CL$7-$BL$7,0)/1000000</f>
        <v>0</v>
      </c>
      <c r="CM81" s="108">
        <f>BC81*$BK81*VLOOKUP($D81,'Land Price Phase Sc1&amp;2'!$B$119:$AU$165,9+CM$7-$BL$7,0)/1000000</f>
        <v>0</v>
      </c>
      <c r="CN81" s="108">
        <f>BD81*$BK81*VLOOKUP($D81,'Land Price Phase Sc1&amp;2'!$B$119:$AU$165,9+CN$7-$BL$7,0)/1000000</f>
        <v>0</v>
      </c>
      <c r="CO81" s="108">
        <f>BE81*$BK81*VLOOKUP($D81,'Land Price Phase Sc1&amp;2'!$B$119:$AU$165,9+CO$7-$BL$7,0)/1000000</f>
        <v>0</v>
      </c>
      <c r="CP81" s="108">
        <f>BF81*$BK81*VLOOKUP($D81,'Land Price Phase Sc1&amp;2'!$B$119:$AU$165,9+CP$7-$BL$7,0)/1000000</f>
        <v>0</v>
      </c>
      <c r="CQ81" s="108">
        <f>BG81*$BK81*VLOOKUP($D81,'Land Price Phase Sc1&amp;2'!$B$119:$AU$165,9+CQ$7-$BL$7,0)/1000000</f>
        <v>0</v>
      </c>
      <c r="CR81" s="108">
        <f t="shared" si="126"/>
        <v>45.81471322623058</v>
      </c>
      <c r="CS81" s="19"/>
      <c r="CT81" s="19"/>
      <c r="CU81" s="19"/>
      <c r="CV81" s="19"/>
      <c r="CW81" s="18"/>
      <c r="CX81" s="18"/>
      <c r="CY81" s="18"/>
      <c r="CZ81" s="18"/>
      <c r="DA81" s="20"/>
      <c r="DB81" s="20"/>
      <c r="DC81" s="20"/>
      <c r="DK81" s="10"/>
      <c r="DL81" s="10"/>
      <c r="DM81" s="10"/>
      <c r="DN81" s="10"/>
      <c r="DO81" s="10"/>
      <c r="DP81" s="10"/>
      <c r="DQ81" s="10"/>
      <c r="DR81" s="10"/>
      <c r="DS81" s="10"/>
      <c r="DT81" s="10"/>
      <c r="EB81" s="84"/>
      <c r="EC81" s="84"/>
    </row>
    <row r="82" spans="1:133" x14ac:dyDescent="0.3">
      <c r="A82" s="104" t="s">
        <v>37</v>
      </c>
      <c r="B82" s="104" t="s">
        <v>198</v>
      </c>
      <c r="C82" s="104"/>
      <c r="D82" s="104" t="s">
        <v>92</v>
      </c>
      <c r="E82" s="104" t="s">
        <v>264</v>
      </c>
      <c r="F82" s="105">
        <v>1</v>
      </c>
      <c r="G82" s="105"/>
      <c r="H82" s="105"/>
      <c r="I82" s="105"/>
      <c r="J82" s="105">
        <f>F82</f>
        <v>1</v>
      </c>
      <c r="K82" s="105"/>
      <c r="L82" s="105"/>
      <c r="M82" s="105"/>
      <c r="N82" s="105"/>
      <c r="O82" s="104"/>
      <c r="P82" s="104">
        <v>2022</v>
      </c>
      <c r="Q82" s="104">
        <v>2026</v>
      </c>
      <c r="R82" s="106">
        <f t="shared" si="154"/>
        <v>1</v>
      </c>
      <c r="S82" s="104"/>
      <c r="T82" s="104"/>
      <c r="U82" s="104"/>
      <c r="V82" s="104"/>
      <c r="W82" s="107">
        <f t="shared" si="138"/>
        <v>0.21355808788157429</v>
      </c>
      <c r="X82" s="107">
        <f t="shared" si="117"/>
        <v>2.9660913873839014</v>
      </c>
      <c r="Y82" s="107">
        <f t="shared" si="118"/>
        <v>3.1078056670393375</v>
      </c>
      <c r="Z82" s="104">
        <v>25</v>
      </c>
      <c r="AA82" s="108">
        <f t="shared" si="155"/>
        <v>1.4342937830980054</v>
      </c>
      <c r="AB82" s="104"/>
      <c r="AC82" s="104"/>
      <c r="AD82" s="104"/>
      <c r="AE82" s="104"/>
      <c r="AF82" s="104"/>
      <c r="AG82" s="104"/>
      <c r="AH82" s="104"/>
      <c r="AI82" s="104"/>
      <c r="AJ82" s="104">
        <v>0.1</v>
      </c>
      <c r="AK82" s="104">
        <v>0.1</v>
      </c>
      <c r="AL82" s="104">
        <v>0.4</v>
      </c>
      <c r="AM82" s="104">
        <v>0.4</v>
      </c>
      <c r="AN82" s="104"/>
      <c r="AO82" s="104"/>
      <c r="AP82" s="104"/>
      <c r="AQ82" s="104"/>
      <c r="AR82" s="104"/>
      <c r="AS82" s="104"/>
      <c r="AT82" s="104"/>
      <c r="AU82" s="104"/>
      <c r="AV82" s="104"/>
      <c r="AW82" s="104"/>
      <c r="AX82" s="104"/>
      <c r="AY82" s="104"/>
      <c r="AZ82" s="104"/>
      <c r="BA82" s="104"/>
      <c r="BB82" s="104"/>
      <c r="BC82" s="104"/>
      <c r="BD82" s="104"/>
      <c r="BE82" s="104"/>
      <c r="BF82" s="104"/>
      <c r="BG82" s="104"/>
      <c r="BH82" s="109">
        <f t="shared" si="170"/>
        <v>0.2</v>
      </c>
      <c r="BI82" s="109">
        <f t="shared" si="171"/>
        <v>0.8</v>
      </c>
      <c r="BJ82" s="109"/>
      <c r="BK82" s="104">
        <f t="shared" si="151"/>
        <v>4000</v>
      </c>
      <c r="BL82" s="108">
        <f>AB82*$BK82*VLOOKUP($D82,'Land Price Phase Sc1&amp;2'!$B$119:$AU$165,9+BL$7-$BL$7,0)/1000000</f>
        <v>0</v>
      </c>
      <c r="BM82" s="108">
        <f>AC82*$BK82*VLOOKUP($D82,'Land Price Phase Sc1&amp;2'!$B$119:$AU$165,9+BM$7-$BL$7,0)/1000000</f>
        <v>0</v>
      </c>
      <c r="BN82" s="108">
        <f>AD82*$BK82*VLOOKUP($D82,'Land Price Phase Sc1&amp;2'!$B$119:$AU$165,9+BN$7-$BL$7,0)/1000000</f>
        <v>0</v>
      </c>
      <c r="BO82" s="108">
        <f>AE82*$BK82*VLOOKUP($D82,'Land Price Phase Sc1&amp;2'!$B$119:$AU$165,9+BO$7-$BL$7,0)/1000000</f>
        <v>0</v>
      </c>
      <c r="BP82" s="108">
        <f>AF82*$BK82*VLOOKUP($D82,'Land Price Phase Sc1&amp;2'!$B$119:$AU$165,9+BP$7-$BL$7,0)/1000000</f>
        <v>0</v>
      </c>
      <c r="BQ82" s="108">
        <f>AG82*$BK82*VLOOKUP($D82,'Land Price Phase Sc1&amp;2'!$B$119:$AU$165,9+BQ$7-$BL$7,0)/1000000</f>
        <v>0</v>
      </c>
      <c r="BR82" s="108">
        <f>AH82*$BK82*VLOOKUP($D82,'Land Price Phase Sc1&amp;2'!$B$119:$AU$165,9+BR$7-$BL$7,0)/1000000</f>
        <v>0</v>
      </c>
      <c r="BS82" s="108">
        <f>AI82*$BK82*VLOOKUP($D82,'Land Price Phase Sc1&amp;2'!$B$119:$AU$165,9+BS$7-$BL$7,0)/1000000</f>
        <v>0</v>
      </c>
      <c r="BT82" s="108">
        <f>AJ82*$BK82*VLOOKUP($D82,'Land Price Phase Sc1&amp;2'!$B$119:$AU$165,9+BT$7-$BL$7,0)/1000000</f>
        <v>0.69256097687011375</v>
      </c>
      <c r="BU82" s="108">
        <f>AK82*$BK82*VLOOKUP($D82,'Land Price Phase Sc1&amp;2'!$B$119:$AU$165,9+BU$7-$BL$7,0)/1000000</f>
        <v>0.74173280622789173</v>
      </c>
      <c r="BV82" s="108">
        <f>AL82*$BK82*VLOOKUP($D82,'Land Price Phase Sc1&amp;2'!$B$119:$AU$165,9+BV$7-$BL$7,0)/1000000</f>
        <v>3.1775833418802879</v>
      </c>
      <c r="BW82" s="108">
        <f>AM82*$BK82*VLOOKUP($D82,'Land Price Phase Sc1&amp;2'!$B$119:$AU$165,9+BW$7-$BL$7,0)/1000000</f>
        <v>3.4031917591537879</v>
      </c>
      <c r="BX82" s="108">
        <f>AN82*$BK82*VLOOKUP($D82,'Land Price Phase Sc1&amp;2'!$B$119:$AU$165,9+BX$7-$BL$7,0)/1000000</f>
        <v>0</v>
      </c>
      <c r="BY82" s="108">
        <f>AO82*$BK82*VLOOKUP($D82,'Land Price Phase Sc1&amp;2'!$B$119:$AU$165,9+BY$7-$BL$7,0)/1000000</f>
        <v>0</v>
      </c>
      <c r="BZ82" s="108">
        <f>AP82*$BK82*VLOOKUP($D82,'Land Price Phase Sc1&amp;2'!$B$119:$AU$165,9+BZ$7-$BL$7,0)/1000000</f>
        <v>0</v>
      </c>
      <c r="CA82" s="108">
        <f>AQ82*$BK82*VLOOKUP($D82,'Land Price Phase Sc1&amp;2'!$B$119:$AU$165,9+CA$7-$BL$7,0)/1000000</f>
        <v>0</v>
      </c>
      <c r="CB82" s="108">
        <f>AR82*$BK82*VLOOKUP($D82,'Land Price Phase Sc1&amp;2'!$B$119:$AU$165,9+CB$7-$BL$7,0)/1000000</f>
        <v>0</v>
      </c>
      <c r="CC82" s="108">
        <f>AS82*$BK82*VLOOKUP($D82,'Land Price Phase Sc1&amp;2'!$B$119:$AU$165,9+CC$7-$BL$7,0)/1000000</f>
        <v>0</v>
      </c>
      <c r="CD82" s="108">
        <f>AT82*$BK82*VLOOKUP($D82,'Land Price Phase Sc1&amp;2'!$B$119:$AU$165,9+CD$7-$BL$7,0)/1000000</f>
        <v>0</v>
      </c>
      <c r="CE82" s="108">
        <f>AU82*$BK82*VLOOKUP($D82,'Land Price Phase Sc1&amp;2'!$B$119:$AU$165,9+CE$7-$BL$7,0)/1000000</f>
        <v>0</v>
      </c>
      <c r="CF82" s="108">
        <f>AV82*$BK82*VLOOKUP($D82,'Land Price Phase Sc1&amp;2'!$B$119:$AU$165,9+CF$7-$BL$7,0)/1000000</f>
        <v>0</v>
      </c>
      <c r="CG82" s="108">
        <f>AW82*$BK82*VLOOKUP($D82,'Land Price Phase Sc1&amp;2'!$B$119:$AU$165,9+CG$7-$BL$7,0)/1000000</f>
        <v>0</v>
      </c>
      <c r="CH82" s="108">
        <f>AX82*$BK82*VLOOKUP($D82,'Land Price Phase Sc1&amp;2'!$B$119:$AU$165,9+CH$7-$BL$7,0)/1000000</f>
        <v>0</v>
      </c>
      <c r="CI82" s="108">
        <f>AY82*$BK82*VLOOKUP($D82,'Land Price Phase Sc1&amp;2'!$B$119:$AU$165,9+CI$7-$BL$7,0)/1000000</f>
        <v>0</v>
      </c>
      <c r="CJ82" s="108">
        <f>AZ82*$BK82*VLOOKUP($D82,'Land Price Phase Sc1&amp;2'!$B$119:$AU$165,9+CJ$7-$BL$7,0)/1000000</f>
        <v>0</v>
      </c>
      <c r="CK82" s="108">
        <f>BA82*$BK82*VLOOKUP($D82,'Land Price Phase Sc1&amp;2'!$B$119:$AU$165,9+CK$7-$BL$7,0)/1000000</f>
        <v>0</v>
      </c>
      <c r="CL82" s="108">
        <f>BB82*$BK82*VLOOKUP($D82,'Land Price Phase Sc1&amp;2'!$B$119:$AU$165,9+CL$7-$BL$7,0)/1000000</f>
        <v>0</v>
      </c>
      <c r="CM82" s="108">
        <f>BC82*$BK82*VLOOKUP($D82,'Land Price Phase Sc1&amp;2'!$B$119:$AU$165,9+CM$7-$BL$7,0)/1000000</f>
        <v>0</v>
      </c>
      <c r="CN82" s="108">
        <f>BD82*$BK82*VLOOKUP($D82,'Land Price Phase Sc1&amp;2'!$B$119:$AU$165,9+CN$7-$BL$7,0)/1000000</f>
        <v>0</v>
      </c>
      <c r="CO82" s="108">
        <f>BE82*$BK82*VLOOKUP($D82,'Land Price Phase Sc1&amp;2'!$B$119:$AU$165,9+CO$7-$BL$7,0)/1000000</f>
        <v>0</v>
      </c>
      <c r="CP82" s="108">
        <f>BF82*$BK82*VLOOKUP($D82,'Land Price Phase Sc1&amp;2'!$B$119:$AU$165,9+CP$7-$BL$7,0)/1000000</f>
        <v>0</v>
      </c>
      <c r="CQ82" s="108">
        <f>BG82*$BK82*VLOOKUP($D82,'Land Price Phase Sc1&amp;2'!$B$119:$AU$165,9+CQ$7-$BL$7,0)/1000000</f>
        <v>0</v>
      </c>
      <c r="CR82" s="108">
        <f t="shared" si="126"/>
        <v>8.0150688841320807</v>
      </c>
      <c r="CS82" s="19"/>
      <c r="CT82" s="19"/>
      <c r="CU82" s="19"/>
      <c r="CV82" s="19"/>
      <c r="CW82" s="18"/>
      <c r="CX82" s="18"/>
      <c r="CY82" s="18"/>
      <c r="CZ82" s="18"/>
      <c r="DA82" s="20"/>
      <c r="DB82" s="20"/>
      <c r="DC82" s="20"/>
      <c r="DK82" s="10"/>
      <c r="DL82" s="10"/>
      <c r="DM82" s="10"/>
      <c r="DN82" s="10"/>
      <c r="DO82" s="10"/>
      <c r="DP82" s="10"/>
      <c r="DQ82" s="10"/>
      <c r="DR82" s="10"/>
      <c r="DS82" s="10"/>
      <c r="DT82" s="10"/>
      <c r="EB82" s="84"/>
      <c r="EC82" s="84"/>
    </row>
    <row r="83" spans="1:133" x14ac:dyDescent="0.3">
      <c r="A83" s="104" t="str">
        <f>'Cost inputs'!A38</f>
        <v>Paerata / Pukekohe</v>
      </c>
      <c r="B83" s="104" t="s">
        <v>197</v>
      </c>
      <c r="C83" s="104"/>
      <c r="D83" s="104" t="s">
        <v>273</v>
      </c>
      <c r="E83" s="104" t="s">
        <v>274</v>
      </c>
      <c r="F83" s="105">
        <v>5</v>
      </c>
      <c r="G83" s="105"/>
      <c r="H83" s="105"/>
      <c r="I83" s="105"/>
      <c r="J83" s="105">
        <f>F83</f>
        <v>5</v>
      </c>
      <c r="K83" s="105"/>
      <c r="L83" s="105"/>
      <c r="M83" s="105"/>
      <c r="N83" s="105"/>
      <c r="O83" s="104"/>
      <c r="P83" s="104"/>
      <c r="Q83" s="104">
        <v>2023</v>
      </c>
      <c r="R83" s="106">
        <f>SUM(AB83:BG83)</f>
        <v>1</v>
      </c>
      <c r="S83" s="104"/>
      <c r="T83" s="104"/>
      <c r="U83" s="104"/>
      <c r="V83" s="104"/>
      <c r="W83" s="107">
        <f t="shared" si="138"/>
        <v>0.711860292938581</v>
      </c>
      <c r="X83" s="107">
        <f t="shared" si="117"/>
        <v>53.481741858551679</v>
      </c>
      <c r="Y83" s="107">
        <f t="shared" si="118"/>
        <v>39.827095742386597</v>
      </c>
      <c r="Z83" s="104">
        <v>25</v>
      </c>
      <c r="AA83" s="108">
        <f t="shared" si="155"/>
        <v>11.342644172202196</v>
      </c>
      <c r="AB83" s="114">
        <f t="shared" ref="AB83:AQ83" si="183">AB114</f>
        <v>7.2277777590649045E-2</v>
      </c>
      <c r="AC83" s="114">
        <f t="shared" si="183"/>
        <v>3.7144039148275132E-2</v>
      </c>
      <c r="AD83" s="114">
        <f t="shared" si="183"/>
        <v>4.693886925000864E-2</v>
      </c>
      <c r="AE83" s="114">
        <f t="shared" si="183"/>
        <v>1.9207251627271639E-2</v>
      </c>
      <c r="AF83" s="114">
        <f t="shared" si="183"/>
        <v>3.0671470308457977E-2</v>
      </c>
      <c r="AG83" s="114">
        <f t="shared" si="183"/>
        <v>7.0574517253221988E-2</v>
      </c>
      <c r="AH83" s="114">
        <f t="shared" si="183"/>
        <v>5.784797696261839E-2</v>
      </c>
      <c r="AI83" s="114">
        <f t="shared" si="183"/>
        <v>6.2267232328672428E-2</v>
      </c>
      <c r="AJ83" s="114">
        <f t="shared" si="183"/>
        <v>4.8241630734504208E-2</v>
      </c>
      <c r="AK83" s="114">
        <f t="shared" si="183"/>
        <v>1.4129803340614668E-2</v>
      </c>
      <c r="AL83" s="114">
        <f t="shared" si="183"/>
        <v>0.10472734996525389</v>
      </c>
      <c r="AM83" s="114">
        <f t="shared" si="183"/>
        <v>0.10601471966704468</v>
      </c>
      <c r="AN83" s="114">
        <f t="shared" si="183"/>
        <v>0.10750477164694536</v>
      </c>
      <c r="AO83" s="114">
        <f t="shared" si="183"/>
        <v>0.10314837920794254</v>
      </c>
      <c r="AP83" s="114">
        <f t="shared" si="183"/>
        <v>4.8886873976350477E-2</v>
      </c>
      <c r="AQ83" s="114">
        <f t="shared" si="183"/>
        <v>5.2554477979523215E-2</v>
      </c>
      <c r="AR83" s="114">
        <f>1-SUM(AB83:AQ83)</f>
        <v>1.7862859012645727E-2</v>
      </c>
      <c r="AS83" s="114"/>
      <c r="AT83" s="114">
        <f t="shared" ref="AT83:BG83" si="184">AT114</f>
        <v>0</v>
      </c>
      <c r="AU83" s="114">
        <f t="shared" si="184"/>
        <v>0</v>
      </c>
      <c r="AV83" s="114">
        <f t="shared" si="184"/>
        <v>0</v>
      </c>
      <c r="AW83" s="114">
        <f t="shared" si="184"/>
        <v>0</v>
      </c>
      <c r="AX83" s="114">
        <f t="shared" si="184"/>
        <v>0</v>
      </c>
      <c r="AY83" s="114">
        <f t="shared" si="184"/>
        <v>0</v>
      </c>
      <c r="AZ83" s="114">
        <f t="shared" si="184"/>
        <v>0</v>
      </c>
      <c r="BA83" s="114">
        <f t="shared" si="184"/>
        <v>0</v>
      </c>
      <c r="BB83" s="114">
        <f t="shared" si="184"/>
        <v>0</v>
      </c>
      <c r="BC83" s="114">
        <f t="shared" si="184"/>
        <v>0</v>
      </c>
      <c r="BD83" s="114">
        <f t="shared" si="184"/>
        <v>0</v>
      </c>
      <c r="BE83" s="114">
        <f t="shared" si="184"/>
        <v>0</v>
      </c>
      <c r="BF83" s="114">
        <f t="shared" si="184"/>
        <v>0</v>
      </c>
      <c r="BG83" s="114">
        <f t="shared" si="184"/>
        <v>0</v>
      </c>
      <c r="BH83" s="109">
        <f t="shared" si="170"/>
        <v>0.45930056854429413</v>
      </c>
      <c r="BI83" s="109">
        <f t="shared" si="171"/>
        <v>0.54069943145570587</v>
      </c>
      <c r="BJ83" s="109"/>
      <c r="BK83" s="104">
        <f t="shared" ref="BK83:BK87" si="185">SUMPRODUCT(F83:I83,$F$5:$I$5)</f>
        <v>20000</v>
      </c>
      <c r="BL83" s="108">
        <f>AB83*$BK83*'Cost inputs'!$E$38*'Land Price Phase Sc1&amp;2'!J$114/1000000</f>
        <v>1.3374279965373699</v>
      </c>
      <c r="BM83" s="108">
        <f>AC83*$BK83*'Cost inputs'!$E$38*'Land Price Phase Sc1&amp;2'!K$114/1000000</f>
        <v>0.73542523142766092</v>
      </c>
      <c r="BN83" s="108">
        <f>AD83*$BK83*'Cost inputs'!$E$38*'Land Price Phase Sc1&amp;2'!L$114/1000000</f>
        <v>0.96931811521637645</v>
      </c>
      <c r="BO83" s="108">
        <f>AE83*$BK83*'Cost inputs'!$E$38*'Land Price Phase Sc1&amp;2'!M$114/1000000</f>
        <v>0.42480380945657614</v>
      </c>
      <c r="BP83" s="108">
        <f>AF83*$BK83*'Cost inputs'!$E$38*'Land Price Phase Sc1&amp;2'!N$114/1000000</f>
        <v>0.72651944572273996</v>
      </c>
      <c r="BQ83" s="108">
        <f>AG83*$BK83*'Cost inputs'!$E$38*'Land Price Phase Sc1&amp;2'!O$114/1000000</f>
        <v>1.7903998570933146</v>
      </c>
      <c r="BR83" s="108">
        <f>AH83*$BK83*'Cost inputs'!$E$38*'Land Price Phase Sc1&amp;2'!P$114/1000000</f>
        <v>1.5717365940568711</v>
      </c>
      <c r="BS83" s="108">
        <f>AI83*$BK83*'Cost inputs'!$E$38*'Land Price Phase Sc1&amp;2'!Q$114/1000000</f>
        <v>1.8119266911152816</v>
      </c>
      <c r="BT83" s="108">
        <f>AJ83*$BK83*'Cost inputs'!$E$38*'Land Price Phase Sc1&amp;2'!R$114/1000000</f>
        <v>1.5034621908282992</v>
      </c>
      <c r="BU83" s="108">
        <f>AK83*$BK83*'Cost inputs'!$E$38*'Land Price Phase Sc1&amp;2'!S$114/1000000</f>
        <v>0.47162424074770609</v>
      </c>
      <c r="BV83" s="108">
        <f>AL83*$BK83*'Cost inputs'!$E$38*'Land Price Phase Sc1&amp;2'!T$114/1000000</f>
        <v>3.7437736802496522</v>
      </c>
      <c r="BW83" s="108">
        <f>AM83*$BK83*'Cost inputs'!$E$38*'Land Price Phase Sc1&amp;2'!U$114/1000000</f>
        <v>4.0588697285987125</v>
      </c>
      <c r="BX83" s="108">
        <f>AN83*$BK83*'Cost inputs'!$E$38*'Land Price Phase Sc1&amp;2'!V$114/1000000</f>
        <v>4.4081478787188866</v>
      </c>
      <c r="BY83" s="108">
        <f>AO83*$BK83*'Cost inputs'!$E$38*'Land Price Phase Sc1&amp;2'!W$114/1000000</f>
        <v>4.5298132024964293</v>
      </c>
      <c r="BZ83" s="108">
        <f>AP83*$BK83*'Cost inputs'!$E$38*'Land Price Phase Sc1&amp;2'!X$114/1000000</f>
        <v>2.2993210935246133</v>
      </c>
      <c r="CA83" s="108">
        <f>AQ83*$BK83*'Cost inputs'!$E$38*'Land Price Phase Sc1&amp;2'!Y$114/1000000</f>
        <v>2.6473206866183006</v>
      </c>
      <c r="CB83" s="108">
        <f>AR83*$BK83*'Cost inputs'!$E$38*'Land Price Phase Sc1&amp;2'!Z$114/1000000</f>
        <v>0.96368981260332176</v>
      </c>
      <c r="CC83" s="108">
        <f>AS83*$BK83*'Cost inputs'!$E$38*'Land Price Phase Sc1&amp;2'!AA$114/1000000</f>
        <v>0</v>
      </c>
      <c r="CD83" s="108">
        <f>AT83*$BK83*'Cost inputs'!$E$38*'Land Price Phase Sc1&amp;2'!AB$114/1000000</f>
        <v>0</v>
      </c>
      <c r="CE83" s="108">
        <f>AU83*$BK83*'Cost inputs'!$E$38*'Land Price Phase Sc1&amp;2'!AC$114/1000000</f>
        <v>0</v>
      </c>
      <c r="CF83" s="108">
        <f>AV83*$BK83*'Cost inputs'!$E$38*'Land Price Phase Sc1&amp;2'!AD$114/1000000</f>
        <v>0</v>
      </c>
      <c r="CG83" s="108">
        <f>AW83*$BK83*'Cost inputs'!$E$38*'Land Price Phase Sc1&amp;2'!AE$114/1000000</f>
        <v>0</v>
      </c>
      <c r="CH83" s="108">
        <f>AX83*$BK83*'Cost inputs'!$E$38*'Land Price Phase Sc1&amp;2'!AF$114/1000000</f>
        <v>0</v>
      </c>
      <c r="CI83" s="108">
        <f>AY83*$BK83*'Cost inputs'!$E$38*'Land Price Phase Sc1&amp;2'!AG$114/1000000</f>
        <v>0</v>
      </c>
      <c r="CJ83" s="108">
        <f>AZ83*$BK83*'Cost inputs'!$E$38*'Land Price Phase Sc1&amp;2'!AH$114/1000000</f>
        <v>0</v>
      </c>
      <c r="CK83" s="108">
        <f>BA83*$BK83*'Cost inputs'!$E$38*'Land Price Phase Sc1&amp;2'!AI$114/1000000</f>
        <v>0</v>
      </c>
      <c r="CL83" s="108">
        <f>BB83*$BK83*'Cost inputs'!$E$38*'Land Price Phase Sc1&amp;2'!AJ$114/1000000</f>
        <v>0</v>
      </c>
      <c r="CM83" s="108">
        <f>BC83*$BK83*'Cost inputs'!$E$38*'Land Price Phase Sc1&amp;2'!AK$114/1000000</f>
        <v>0</v>
      </c>
      <c r="CN83" s="108">
        <f>BD83*$BK83*'Cost inputs'!$E$38*'Land Price Phase Sc1&amp;2'!AL$114/1000000</f>
        <v>0</v>
      </c>
      <c r="CO83" s="108">
        <f>BE83*$BK83*'Cost inputs'!$E$38*'Land Price Phase Sc1&amp;2'!AM$114/1000000</f>
        <v>0</v>
      </c>
      <c r="CP83" s="108">
        <f>BF83*$BK83*'Cost inputs'!$E$38*'Land Price Phase Sc1&amp;2'!AN$114/1000000</f>
        <v>0</v>
      </c>
      <c r="CQ83" s="108">
        <f>BG83*$BK83*'Cost inputs'!$E$38*'Land Price Phase Sc1&amp;2'!AO$114/1000000</f>
        <v>0</v>
      </c>
      <c r="CR83" s="108">
        <f t="shared" ref="CR83:CR98" si="186">SUM(BL83:CQ83)</f>
        <v>33.993580255012105</v>
      </c>
      <c r="CS83" s="19"/>
      <c r="CT83" s="19"/>
      <c r="CU83" s="19"/>
      <c r="CV83" s="19"/>
      <c r="CW83" s="18"/>
      <c r="CX83" s="18"/>
      <c r="CY83" s="18"/>
      <c r="CZ83" s="18"/>
      <c r="DA83" s="20"/>
      <c r="DB83" s="20"/>
      <c r="DC83" s="20"/>
      <c r="DK83" s="10"/>
      <c r="DL83" s="10"/>
      <c r="DM83" s="10"/>
      <c r="DN83" s="10"/>
      <c r="DO83" s="10"/>
      <c r="DP83" s="10"/>
      <c r="DQ83" s="10"/>
      <c r="DR83" s="10"/>
      <c r="DS83" s="10"/>
      <c r="DT83" s="10"/>
      <c r="EB83" s="84"/>
      <c r="EC83" s="84"/>
    </row>
    <row r="84" spans="1:133" x14ac:dyDescent="0.3">
      <c r="A84" s="104" t="str">
        <f>A83</f>
        <v>Paerata / Pukekohe</v>
      </c>
      <c r="B84" s="104" t="s">
        <v>197</v>
      </c>
      <c r="C84" s="104"/>
      <c r="D84" s="104" t="s">
        <v>273</v>
      </c>
      <c r="E84" s="104" t="s">
        <v>274</v>
      </c>
      <c r="F84" s="105"/>
      <c r="G84" s="105">
        <v>1</v>
      </c>
      <c r="H84" s="105"/>
      <c r="I84" s="105"/>
      <c r="J84" s="105"/>
      <c r="K84" s="105">
        <f>G84</f>
        <v>1</v>
      </c>
      <c r="L84" s="105"/>
      <c r="M84" s="105"/>
      <c r="N84" s="105"/>
      <c r="O84" s="104"/>
      <c r="P84" s="104"/>
      <c r="Q84" s="104">
        <v>2023</v>
      </c>
      <c r="R84" s="106">
        <f>SUM(AB84:BG84)</f>
        <v>1</v>
      </c>
      <c r="S84" s="104"/>
      <c r="T84" s="104"/>
      <c r="U84" s="104"/>
      <c r="V84" s="104"/>
      <c r="W84" s="107">
        <f t="shared" si="138"/>
        <v>0.711860292938581</v>
      </c>
      <c r="X84" s="107">
        <f t="shared" si="117"/>
        <v>53.481741858551679</v>
      </c>
      <c r="Y84" s="107">
        <f t="shared" si="118"/>
        <v>39.827095742386597</v>
      </c>
      <c r="Z84" s="104">
        <v>25</v>
      </c>
      <c r="AA84" s="108">
        <f t="shared" si="155"/>
        <v>17.013966258303295</v>
      </c>
      <c r="AB84" s="114">
        <f>AB83</f>
        <v>7.2277777590649045E-2</v>
      </c>
      <c r="AC84" s="114">
        <f t="shared" ref="AC84:BG85" si="187">AC83</f>
        <v>3.7144039148275132E-2</v>
      </c>
      <c r="AD84" s="114">
        <f t="shared" si="187"/>
        <v>4.693886925000864E-2</v>
      </c>
      <c r="AE84" s="114">
        <f t="shared" si="187"/>
        <v>1.9207251627271639E-2</v>
      </c>
      <c r="AF84" s="114">
        <f t="shared" si="187"/>
        <v>3.0671470308457977E-2</v>
      </c>
      <c r="AG84" s="114">
        <f t="shared" si="187"/>
        <v>7.0574517253221988E-2</v>
      </c>
      <c r="AH84" s="114">
        <f t="shared" si="187"/>
        <v>5.784797696261839E-2</v>
      </c>
      <c r="AI84" s="114">
        <f t="shared" si="187"/>
        <v>6.2267232328672428E-2</v>
      </c>
      <c r="AJ84" s="114">
        <f t="shared" si="187"/>
        <v>4.8241630734504208E-2</v>
      </c>
      <c r="AK84" s="114">
        <f t="shared" si="187"/>
        <v>1.4129803340614668E-2</v>
      </c>
      <c r="AL84" s="114">
        <f t="shared" si="187"/>
        <v>0.10472734996525389</v>
      </c>
      <c r="AM84" s="114">
        <f t="shared" si="187"/>
        <v>0.10601471966704468</v>
      </c>
      <c r="AN84" s="114">
        <f t="shared" si="187"/>
        <v>0.10750477164694536</v>
      </c>
      <c r="AO84" s="114">
        <f t="shared" si="187"/>
        <v>0.10314837920794254</v>
      </c>
      <c r="AP84" s="114">
        <f t="shared" si="187"/>
        <v>4.8886873976350477E-2</v>
      </c>
      <c r="AQ84" s="114">
        <f t="shared" si="187"/>
        <v>5.2554477979523215E-2</v>
      </c>
      <c r="AR84" s="114">
        <f t="shared" si="187"/>
        <v>1.7862859012645727E-2</v>
      </c>
      <c r="AS84" s="114"/>
      <c r="AT84" s="114">
        <f t="shared" si="187"/>
        <v>0</v>
      </c>
      <c r="AU84" s="114">
        <f t="shared" si="187"/>
        <v>0</v>
      </c>
      <c r="AV84" s="114">
        <f t="shared" si="187"/>
        <v>0</v>
      </c>
      <c r="AW84" s="114">
        <f t="shared" si="187"/>
        <v>0</v>
      </c>
      <c r="AX84" s="114">
        <f t="shared" si="187"/>
        <v>0</v>
      </c>
      <c r="AY84" s="114">
        <f t="shared" si="187"/>
        <v>0</v>
      </c>
      <c r="AZ84" s="114">
        <f t="shared" si="187"/>
        <v>0</v>
      </c>
      <c r="BA84" s="114">
        <f t="shared" si="187"/>
        <v>0</v>
      </c>
      <c r="BB84" s="114">
        <f t="shared" si="187"/>
        <v>0</v>
      </c>
      <c r="BC84" s="114">
        <f t="shared" si="187"/>
        <v>0</v>
      </c>
      <c r="BD84" s="114">
        <f t="shared" si="187"/>
        <v>0</v>
      </c>
      <c r="BE84" s="114">
        <f t="shared" si="187"/>
        <v>0</v>
      </c>
      <c r="BF84" s="114">
        <f t="shared" si="187"/>
        <v>0</v>
      </c>
      <c r="BG84" s="114">
        <f t="shared" si="187"/>
        <v>0</v>
      </c>
      <c r="BH84" s="109">
        <f t="shared" si="170"/>
        <v>0.45930056854429413</v>
      </c>
      <c r="BI84" s="109">
        <f t="shared" si="171"/>
        <v>0.54069943145570587</v>
      </c>
      <c r="BJ84" s="109"/>
      <c r="BK84" s="104">
        <f t="shared" si="185"/>
        <v>30000</v>
      </c>
      <c r="BL84" s="108">
        <f>AB84*$BK84*'Cost inputs'!$E$38*'Land Price Phase Sc1&amp;2'!J$114/1000000</f>
        <v>2.0061419948060548</v>
      </c>
      <c r="BM84" s="108">
        <f>AC84*$BK84*'Cost inputs'!$E$38*'Land Price Phase Sc1&amp;2'!K$114/1000000</f>
        <v>1.1031378471414912</v>
      </c>
      <c r="BN84" s="108">
        <f>AD84*$BK84*'Cost inputs'!$E$38*'Land Price Phase Sc1&amp;2'!L$114/1000000</f>
        <v>1.4539771728245645</v>
      </c>
      <c r="BO84" s="108">
        <f>AE84*$BK84*'Cost inputs'!$E$38*'Land Price Phase Sc1&amp;2'!M$114/1000000</f>
        <v>0.63720571418486427</v>
      </c>
      <c r="BP84" s="108">
        <f>AF84*$BK84*'Cost inputs'!$E$38*'Land Price Phase Sc1&amp;2'!N$114/1000000</f>
        <v>1.0897791685841101</v>
      </c>
      <c r="BQ84" s="108">
        <f>AG84*$BK84*'Cost inputs'!$E$38*'Land Price Phase Sc1&amp;2'!O$114/1000000</f>
        <v>2.685599785639972</v>
      </c>
      <c r="BR84" s="108">
        <f>AH84*$BK84*'Cost inputs'!$E$38*'Land Price Phase Sc1&amp;2'!P$114/1000000</f>
        <v>2.3576048910853062</v>
      </c>
      <c r="BS84" s="108">
        <f>AI84*$BK84*'Cost inputs'!$E$38*'Land Price Phase Sc1&amp;2'!Q$114/1000000</f>
        <v>2.7178900366729222</v>
      </c>
      <c r="BT84" s="108">
        <f>AJ84*$BK84*'Cost inputs'!$E$38*'Land Price Phase Sc1&amp;2'!R$114/1000000</f>
        <v>2.2551932862424486</v>
      </c>
      <c r="BU84" s="108">
        <f>AK84*$BK84*'Cost inputs'!$E$38*'Land Price Phase Sc1&amp;2'!S$114/1000000</f>
        <v>0.70743636112155905</v>
      </c>
      <c r="BV84" s="108">
        <f>AL84*$BK84*'Cost inputs'!$E$38*'Land Price Phase Sc1&amp;2'!T$114/1000000</f>
        <v>5.6156605203744769</v>
      </c>
      <c r="BW84" s="108">
        <f>AM84*$BK84*'Cost inputs'!$E$38*'Land Price Phase Sc1&amp;2'!U$114/1000000</f>
        <v>6.0883045928980684</v>
      </c>
      <c r="BX84" s="108">
        <f>AN84*$BK84*'Cost inputs'!$E$38*'Land Price Phase Sc1&amp;2'!V$114/1000000</f>
        <v>6.6122218180783303</v>
      </c>
      <c r="BY84" s="108">
        <f>AO84*$BK84*'Cost inputs'!$E$38*'Land Price Phase Sc1&amp;2'!W$114/1000000</f>
        <v>6.7947198037446448</v>
      </c>
      <c r="BZ84" s="108">
        <f>AP84*$BK84*'Cost inputs'!$E$38*'Land Price Phase Sc1&amp;2'!X$114/1000000</f>
        <v>3.4489816402869202</v>
      </c>
      <c r="CA84" s="108">
        <f>AQ84*$BK84*'Cost inputs'!$E$38*'Land Price Phase Sc1&amp;2'!Y$114/1000000</f>
        <v>3.9709810299274517</v>
      </c>
      <c r="CB84" s="108">
        <f>AR84*$BK84*'Cost inputs'!$E$38*'Land Price Phase Sc1&amp;2'!Z$114/1000000</f>
        <v>1.445534718904983</v>
      </c>
      <c r="CC84" s="108">
        <f>AS84*$BK84*'Cost inputs'!$E$38*'Land Price Phase Sc1&amp;2'!AA$114/1000000</f>
        <v>0</v>
      </c>
      <c r="CD84" s="108">
        <f>AT84*$BK84*'Cost inputs'!$E$38*'Land Price Phase Sc1&amp;2'!AB$114/1000000</f>
        <v>0</v>
      </c>
      <c r="CE84" s="108">
        <f>AU84*$BK84*'Cost inputs'!$E$38*'Land Price Phase Sc1&amp;2'!AC$114/1000000</f>
        <v>0</v>
      </c>
      <c r="CF84" s="108">
        <f>AV84*$BK84*'Cost inputs'!$E$38*'Land Price Phase Sc1&amp;2'!AD$114/1000000</f>
        <v>0</v>
      </c>
      <c r="CG84" s="108">
        <f>AW84*$BK84*'Cost inputs'!$E$38*'Land Price Phase Sc1&amp;2'!AE$114/1000000</f>
        <v>0</v>
      </c>
      <c r="CH84" s="108">
        <f>AX84*$BK84*'Cost inputs'!$E$38*'Land Price Phase Sc1&amp;2'!AF$114/1000000</f>
        <v>0</v>
      </c>
      <c r="CI84" s="108">
        <f>AY84*$BK84*'Cost inputs'!$E$38*'Land Price Phase Sc1&amp;2'!AG$114/1000000</f>
        <v>0</v>
      </c>
      <c r="CJ84" s="108">
        <f>AZ84*$BK84*'Cost inputs'!$E$38*'Land Price Phase Sc1&amp;2'!AH$114/1000000</f>
        <v>0</v>
      </c>
      <c r="CK84" s="108">
        <f>BA84*$BK84*'Cost inputs'!$E$38*'Land Price Phase Sc1&amp;2'!AI$114/1000000</f>
        <v>0</v>
      </c>
      <c r="CL84" s="108">
        <f>BB84*$BK84*'Cost inputs'!$E$38*'Land Price Phase Sc1&amp;2'!AJ$114/1000000</f>
        <v>0</v>
      </c>
      <c r="CM84" s="108">
        <f>BC84*$BK84*'Cost inputs'!$E$38*'Land Price Phase Sc1&amp;2'!AK$114/1000000</f>
        <v>0</v>
      </c>
      <c r="CN84" s="108">
        <f>BD84*$BK84*'Cost inputs'!$E$38*'Land Price Phase Sc1&amp;2'!AL$114/1000000</f>
        <v>0</v>
      </c>
      <c r="CO84" s="108">
        <f>BE84*$BK84*'Cost inputs'!$E$38*'Land Price Phase Sc1&amp;2'!AM$114/1000000</f>
        <v>0</v>
      </c>
      <c r="CP84" s="108">
        <f>BF84*$BK84*'Cost inputs'!$E$38*'Land Price Phase Sc1&amp;2'!AN$114/1000000</f>
        <v>0</v>
      </c>
      <c r="CQ84" s="108">
        <f>BG84*$BK84*'Cost inputs'!$E$38*'Land Price Phase Sc1&amp;2'!AO$114/1000000</f>
        <v>0</v>
      </c>
      <c r="CR84" s="108">
        <f t="shared" si="186"/>
        <v>50.990370382518158</v>
      </c>
      <c r="CS84" s="19"/>
      <c r="CT84" s="19"/>
      <c r="CU84" s="19"/>
      <c r="CV84" s="19"/>
      <c r="CW84" s="18"/>
      <c r="CX84" s="18"/>
      <c r="CY84" s="18"/>
      <c r="CZ84" s="18"/>
      <c r="DA84" s="20"/>
      <c r="DB84" s="20"/>
      <c r="DC84" s="20"/>
      <c r="DK84" s="10"/>
      <c r="DL84" s="10"/>
      <c r="DM84" s="10"/>
      <c r="DN84" s="10"/>
      <c r="DO84" s="10"/>
      <c r="DP84" s="10"/>
      <c r="DQ84" s="10"/>
      <c r="DR84" s="10"/>
      <c r="DS84" s="10"/>
      <c r="DT84" s="10"/>
      <c r="EB84" s="84"/>
      <c r="EC84" s="84"/>
    </row>
    <row r="85" spans="1:133" x14ac:dyDescent="0.3">
      <c r="A85" s="104" t="str">
        <f>A84</f>
        <v>Paerata / Pukekohe</v>
      </c>
      <c r="B85" s="104" t="s">
        <v>197</v>
      </c>
      <c r="C85" s="104"/>
      <c r="D85" s="104" t="s">
        <v>273</v>
      </c>
      <c r="E85" s="104" t="s">
        <v>274</v>
      </c>
      <c r="F85" s="105"/>
      <c r="G85" s="105"/>
      <c r="H85" s="105"/>
      <c r="I85" s="105">
        <v>1</v>
      </c>
      <c r="J85" s="105"/>
      <c r="K85" s="105"/>
      <c r="L85" s="105"/>
      <c r="M85" s="105">
        <f>I85</f>
        <v>1</v>
      </c>
      <c r="N85" s="105"/>
      <c r="O85" s="104"/>
      <c r="P85" s="104"/>
      <c r="Q85" s="104">
        <v>2023</v>
      </c>
      <c r="R85" s="106">
        <f>SUM(AB85:BG85)</f>
        <v>1</v>
      </c>
      <c r="S85" s="104"/>
      <c r="T85" s="104"/>
      <c r="U85" s="104"/>
      <c r="V85" s="104"/>
      <c r="W85" s="107">
        <f t="shared" si="138"/>
        <v>0.711860292938581</v>
      </c>
      <c r="X85" s="107">
        <f t="shared" si="117"/>
        <v>53.481741858551679</v>
      </c>
      <c r="Y85" s="107">
        <f t="shared" si="118"/>
        <v>39.827095742386597</v>
      </c>
      <c r="Z85" s="104">
        <v>25</v>
      </c>
      <c r="AA85" s="108">
        <f t="shared" si="155"/>
        <v>1.301544142365286</v>
      </c>
      <c r="AB85" s="111">
        <f>AB84</f>
        <v>7.2277777590649045E-2</v>
      </c>
      <c r="AC85" s="111">
        <f t="shared" si="187"/>
        <v>3.7144039148275132E-2</v>
      </c>
      <c r="AD85" s="111">
        <f t="shared" si="187"/>
        <v>4.693886925000864E-2</v>
      </c>
      <c r="AE85" s="111">
        <f t="shared" si="187"/>
        <v>1.9207251627271639E-2</v>
      </c>
      <c r="AF85" s="111">
        <f t="shared" si="187"/>
        <v>3.0671470308457977E-2</v>
      </c>
      <c r="AG85" s="111">
        <f t="shared" si="187"/>
        <v>7.0574517253221988E-2</v>
      </c>
      <c r="AH85" s="111">
        <f t="shared" si="187"/>
        <v>5.784797696261839E-2</v>
      </c>
      <c r="AI85" s="111">
        <f t="shared" si="187"/>
        <v>6.2267232328672428E-2</v>
      </c>
      <c r="AJ85" s="111">
        <f t="shared" si="187"/>
        <v>4.8241630734504208E-2</v>
      </c>
      <c r="AK85" s="111">
        <f t="shared" si="187"/>
        <v>1.4129803340614668E-2</v>
      </c>
      <c r="AL85" s="111">
        <f t="shared" si="187"/>
        <v>0.10472734996525389</v>
      </c>
      <c r="AM85" s="111">
        <f t="shared" si="187"/>
        <v>0.10601471966704468</v>
      </c>
      <c r="AN85" s="111">
        <f t="shared" si="187"/>
        <v>0.10750477164694536</v>
      </c>
      <c r="AO85" s="111">
        <f t="shared" si="187"/>
        <v>0.10314837920794254</v>
      </c>
      <c r="AP85" s="111">
        <f t="shared" si="187"/>
        <v>4.8886873976350477E-2</v>
      </c>
      <c r="AQ85" s="111">
        <f t="shared" si="187"/>
        <v>5.2554477979523215E-2</v>
      </c>
      <c r="AR85" s="111">
        <f t="shared" si="187"/>
        <v>1.7862859012645727E-2</v>
      </c>
      <c r="AS85" s="111"/>
      <c r="AT85" s="111">
        <f t="shared" si="187"/>
        <v>0</v>
      </c>
      <c r="AU85" s="111">
        <f t="shared" si="187"/>
        <v>0</v>
      </c>
      <c r="AV85" s="111">
        <f t="shared" si="187"/>
        <v>0</v>
      </c>
      <c r="AW85" s="111">
        <f t="shared" si="187"/>
        <v>0</v>
      </c>
      <c r="AX85" s="111">
        <f t="shared" si="187"/>
        <v>0</v>
      </c>
      <c r="AY85" s="111">
        <f t="shared" si="187"/>
        <v>0</v>
      </c>
      <c r="AZ85" s="111">
        <f t="shared" si="187"/>
        <v>0</v>
      </c>
      <c r="BA85" s="111">
        <f t="shared" si="187"/>
        <v>0</v>
      </c>
      <c r="BB85" s="111">
        <f t="shared" si="187"/>
        <v>0</v>
      </c>
      <c r="BC85" s="111">
        <f t="shared" si="187"/>
        <v>0</v>
      </c>
      <c r="BD85" s="111">
        <f t="shared" si="187"/>
        <v>0</v>
      </c>
      <c r="BE85" s="111">
        <f t="shared" si="187"/>
        <v>0</v>
      </c>
      <c r="BF85" s="111">
        <f t="shared" si="187"/>
        <v>0</v>
      </c>
      <c r="BG85" s="111">
        <f t="shared" si="187"/>
        <v>0</v>
      </c>
      <c r="BH85" s="109">
        <f t="shared" si="170"/>
        <v>0.45930056854429413</v>
      </c>
      <c r="BI85" s="109">
        <f t="shared" si="171"/>
        <v>0.54069943145570587</v>
      </c>
      <c r="BJ85" s="109"/>
      <c r="BK85" s="104">
        <f t="shared" si="185"/>
        <v>2000</v>
      </c>
      <c r="BL85" s="108">
        <f>AB85*$BK85*'Cost inputs'!$E$38*'Land Price Phase Sc1&amp;2'!J$114/1000000</f>
        <v>0.133742799653737</v>
      </c>
      <c r="BM85" s="108">
        <f>AC85*$BK85*'Cost inputs'!$E$38*'Land Price Phase Sc1&amp;2'!K$114/1000000</f>
        <v>7.3542523142766089E-2</v>
      </c>
      <c r="BN85" s="108">
        <f>AD85*$BK85*'Cost inputs'!$E$38*'Land Price Phase Sc1&amp;2'!L$114/1000000</f>
        <v>9.6931811521637642E-2</v>
      </c>
      <c r="BO85" s="108">
        <f>AE85*$BK85*'Cost inputs'!$E$38*'Land Price Phase Sc1&amp;2'!M$114/1000000</f>
        <v>4.2480380945657613E-2</v>
      </c>
      <c r="BP85" s="108">
        <f>AF85*$BK85*'Cost inputs'!$E$38*'Land Price Phase Sc1&amp;2'!N$114/1000000</f>
        <v>7.2651944572274002E-2</v>
      </c>
      <c r="BQ85" s="108">
        <f>AG85*$BK85*'Cost inputs'!$E$38*'Land Price Phase Sc1&amp;2'!O$114/1000000</f>
        <v>0.17903998570933147</v>
      </c>
      <c r="BR85" s="108">
        <f>AI85*$BK85*'Cost inputs'!$E$38*'Land Price Phase Sc1&amp;2'!P$114/1000000</f>
        <v>0.16918083016949409</v>
      </c>
      <c r="BS85" s="108">
        <f>AJ85*$BK85*'Cost inputs'!$E$38*'Land Price Phase Sc1&amp;2'!Q$114/1000000</f>
        <v>0.14037928952645182</v>
      </c>
      <c r="BT85" s="108">
        <f>AK85*$BK85*'Cost inputs'!$E$38*'Land Price Phase Sc1&amp;2'!R$114/1000000</f>
        <v>4.4035876820514103E-2</v>
      </c>
      <c r="BU85" s="108">
        <f>AL85*$BK85*'Cost inputs'!$E$38*'Land Price Phase Sc1&amp;2'!S$114/1000000</f>
        <v>0.34955870030342223</v>
      </c>
      <c r="BV85" s="108">
        <f>AM85*$BK85*'Cost inputs'!$E$38*'Land Price Phase Sc1&amp;2'!T$114/1000000</f>
        <v>0.37897943310912341</v>
      </c>
      <c r="BW85" s="108">
        <f>AN85*$BK85*'Cost inputs'!$E$38*'Land Price Phase Sc1&amp;2'!U$114/1000000</f>
        <v>0.41159177205591857</v>
      </c>
      <c r="BX85" s="108">
        <f>AO85*$BK85*'Cost inputs'!$E$38*'Land Price Phase Sc1&amp;2'!V$114/1000000</f>
        <v>0.42295174626483933</v>
      </c>
      <c r="BY85" s="108">
        <f>AP85*$BK85*'Cost inputs'!$E$38*'Land Price Phase Sc1&amp;2'!W$114/1000000</f>
        <v>0.21468917773339066</v>
      </c>
      <c r="BZ85" s="108">
        <f>AQ85*$BK85*'Cost inputs'!$E$38*'Land Price Phase Sc1&amp;2'!X$114/1000000</f>
        <v>0.24718213693915045</v>
      </c>
      <c r="CA85" s="108">
        <f>AQ85*$BK85*'Cost inputs'!$E$38*'Land Price Phase Sc1&amp;2'!Y$114/1000000</f>
        <v>0.26473206866183008</v>
      </c>
      <c r="CB85" s="108">
        <f>AR85*$BK85*'Cost inputs'!$E$38*'Land Price Phase Sc1&amp;2'!Z$114/1000000</f>
        <v>9.6368981260332207E-2</v>
      </c>
      <c r="CC85" s="108">
        <f>AS85*$BK85*'Cost inputs'!$E$38*'Land Price Phase Sc1&amp;2'!AA$114/1000000</f>
        <v>0</v>
      </c>
      <c r="CD85" s="108">
        <f>AT85*$BK85*'Cost inputs'!$E$38*'Land Price Phase Sc1&amp;2'!AB$114/1000000</f>
        <v>0</v>
      </c>
      <c r="CE85" s="108">
        <f>AU85*$BK85*'Cost inputs'!$E$38*'Land Price Phase Sc1&amp;2'!AC$114/1000000</f>
        <v>0</v>
      </c>
      <c r="CF85" s="108">
        <f>AV85*$BK85*'Cost inputs'!$E$38*'Land Price Phase Sc1&amp;2'!AD$114/1000000</f>
        <v>0</v>
      </c>
      <c r="CG85" s="108">
        <f>AW85*$BK85*'Cost inputs'!$E$38*'Land Price Phase Sc1&amp;2'!AE$114/1000000</f>
        <v>0</v>
      </c>
      <c r="CH85" s="108">
        <f>AX85*$BK85*'Cost inputs'!$E$38*'Land Price Phase Sc1&amp;2'!AF$114/1000000</f>
        <v>0</v>
      </c>
      <c r="CI85" s="108">
        <f>AY85*$BK85*'Cost inputs'!$E$38*'Land Price Phase Sc1&amp;2'!AG$114/1000000</f>
        <v>0</v>
      </c>
      <c r="CJ85" s="108">
        <f>AZ85*$BK85*'Cost inputs'!$E$38*'Land Price Phase Sc1&amp;2'!AH$114/1000000</f>
        <v>0</v>
      </c>
      <c r="CK85" s="108">
        <f>BA85*$BK85*'Cost inputs'!$E$38*'Land Price Phase Sc1&amp;2'!AI$114/1000000</f>
        <v>0</v>
      </c>
      <c r="CL85" s="108">
        <f>BB85*$BK85*'Cost inputs'!$E$38*'Land Price Phase Sc1&amp;2'!AJ$114/1000000</f>
        <v>0</v>
      </c>
      <c r="CM85" s="108">
        <f>BC85*$BK85*'Cost inputs'!$E$38*'Land Price Phase Sc1&amp;2'!AK$114/1000000</f>
        <v>0</v>
      </c>
      <c r="CN85" s="108">
        <f>BD85*$BK85*'Cost inputs'!$E$38*'Land Price Phase Sc1&amp;2'!AL$114/1000000</f>
        <v>0</v>
      </c>
      <c r="CO85" s="108">
        <f>BE85*$BK85*'Cost inputs'!$E$38*'Land Price Phase Sc1&amp;2'!AM$114/1000000</f>
        <v>0</v>
      </c>
      <c r="CP85" s="108">
        <f>BF85*$BK85*'Cost inputs'!$E$38*'Land Price Phase Sc1&amp;2'!AN$114/1000000</f>
        <v>0</v>
      </c>
      <c r="CQ85" s="108">
        <f>BG85*$BK85*'Cost inputs'!$E$38*'Land Price Phase Sc1&amp;2'!AO$114/1000000</f>
        <v>0</v>
      </c>
      <c r="CR85" s="108">
        <f t="shared" si="186"/>
        <v>3.3380394583898703</v>
      </c>
      <c r="CS85" s="19"/>
      <c r="CT85" s="19"/>
      <c r="CU85" s="19"/>
      <c r="CV85" s="19"/>
      <c r="CW85" s="18"/>
      <c r="CX85" s="18"/>
      <c r="CY85" s="18"/>
      <c r="CZ85" s="18"/>
      <c r="DA85" s="20"/>
      <c r="DB85" s="20"/>
      <c r="DC85" s="20"/>
      <c r="DK85" s="10"/>
      <c r="DL85" s="10"/>
      <c r="DM85" s="10"/>
      <c r="DN85" s="10"/>
      <c r="DO85" s="10"/>
      <c r="DP85" s="10"/>
      <c r="DQ85" s="10"/>
      <c r="DR85" s="10"/>
      <c r="DS85" s="10"/>
      <c r="DT85" s="10"/>
      <c r="EB85" s="84"/>
      <c r="EC85" s="84"/>
    </row>
    <row r="86" spans="1:133" ht="18.75" customHeight="1" x14ac:dyDescent="0.3">
      <c r="A86" s="104" t="s">
        <v>40</v>
      </c>
      <c r="B86" s="104" t="s">
        <v>197</v>
      </c>
      <c r="C86" s="104"/>
      <c r="D86" s="117" t="str">
        <f>'Land Price Phase Sc1&amp;2'!B41</f>
        <v>Paerata West, Pukekohe North-east, North-west, South-east</v>
      </c>
      <c r="E86" s="104"/>
      <c r="F86" s="105">
        <v>14</v>
      </c>
      <c r="G86" s="105"/>
      <c r="H86" s="105"/>
      <c r="I86" s="105"/>
      <c r="J86" s="105">
        <f>F86</f>
        <v>14</v>
      </c>
      <c r="K86" s="105"/>
      <c r="L86" s="105"/>
      <c r="M86" s="105"/>
      <c r="N86" s="105"/>
      <c r="O86" s="104">
        <f>VLOOKUP($D86,'Land Price Phase Sc1&amp;2'!$B$4:$F$50,3,0)</f>
        <v>2036</v>
      </c>
      <c r="P86" s="104">
        <f>VLOOKUP($D86,'Land Price Phase Sc1&amp;2'!$B$4:$F$50,4,0)</f>
        <v>2040</v>
      </c>
      <c r="Q86" s="104">
        <f>VLOOKUP($D86,'Land Price Phase Sc1&amp;2'!$B$4:$F$50,5,0)</f>
        <v>2044</v>
      </c>
      <c r="R86" s="106">
        <f t="shared" ref="R86:R92" si="188">SUM(AB86:BG86)</f>
        <v>0.99999999999999989</v>
      </c>
      <c r="S86" s="104"/>
      <c r="T86" s="107">
        <f>'Park spec inputs'!H$22</f>
        <v>0.2</v>
      </c>
      <c r="U86" s="107">
        <f>'Park spec inputs'!I$22</f>
        <v>0.3</v>
      </c>
      <c r="V86" s="107">
        <f>'Park spec inputs'!J$22</f>
        <v>0.5</v>
      </c>
      <c r="W86" s="107">
        <f t="shared" si="138"/>
        <v>0.711860292938581</v>
      </c>
      <c r="X86" s="107">
        <f t="shared" si="117"/>
        <v>53.481741858551679</v>
      </c>
      <c r="Y86" s="107">
        <f t="shared" si="118"/>
        <v>39.827095742386597</v>
      </c>
      <c r="Z86" s="104" t="s">
        <v>370</v>
      </c>
      <c r="AA86" s="108">
        <f t="shared" si="155"/>
        <v>0</v>
      </c>
      <c r="AB86" s="104"/>
      <c r="AC86" s="104"/>
      <c r="AD86" s="104"/>
      <c r="AE86" s="104"/>
      <c r="AF86" s="104"/>
      <c r="AG86" s="104"/>
      <c r="AH86" s="104"/>
      <c r="AI86" s="104"/>
      <c r="AJ86" s="104"/>
      <c r="AK86" s="104"/>
      <c r="AL86" s="104"/>
      <c r="AM86" s="111">
        <f>$T86/4</f>
        <v>0.05</v>
      </c>
      <c r="AN86" s="111">
        <f>AM86</f>
        <v>0.05</v>
      </c>
      <c r="AO86" s="111">
        <f t="shared" ref="AO86" si="189">AN86</f>
        <v>0.05</v>
      </c>
      <c r="AP86" s="111">
        <f t="shared" ref="AP86" si="190">AO86</f>
        <v>0.05</v>
      </c>
      <c r="AQ86" s="111">
        <f>$U86/4</f>
        <v>7.4999999999999997E-2</v>
      </c>
      <c r="AR86" s="111">
        <f t="shared" ref="AR86:AT88" si="191">AQ86</f>
        <v>7.4999999999999997E-2</v>
      </c>
      <c r="AS86" s="111">
        <f t="shared" si="191"/>
        <v>7.4999999999999997E-2</v>
      </c>
      <c r="AT86" s="111">
        <f t="shared" si="191"/>
        <v>7.4999999999999997E-2</v>
      </c>
      <c r="AU86" s="111">
        <f>$V86/3</f>
        <v>0.16666666666666666</v>
      </c>
      <c r="AV86" s="111">
        <f t="shared" ref="AV86:AW88" si="192">AU86</f>
        <v>0.16666666666666666</v>
      </c>
      <c r="AW86" s="111">
        <f t="shared" si="192"/>
        <v>0.16666666666666666</v>
      </c>
      <c r="AX86" s="104"/>
      <c r="AY86" s="104"/>
      <c r="AZ86" s="104"/>
      <c r="BA86" s="104"/>
      <c r="BB86" s="104"/>
      <c r="BC86" s="104"/>
      <c r="BD86" s="104"/>
      <c r="BE86" s="104"/>
      <c r="BF86" s="104"/>
      <c r="BG86" s="104"/>
      <c r="BH86" s="109">
        <f t="shared" si="170"/>
        <v>0</v>
      </c>
      <c r="BI86" s="109">
        <f t="shared" si="171"/>
        <v>0.99999999999999989</v>
      </c>
      <c r="BJ86" s="109"/>
      <c r="BK86" s="104">
        <f t="shared" si="185"/>
        <v>56000</v>
      </c>
      <c r="BL86" s="108">
        <f>AB86*$BK86*VLOOKUP($D86,'Land Price Phase Sc1&amp;2'!$B$119:$AU$165,9+BL$7-$BL$7,0)/1000000</f>
        <v>0</v>
      </c>
      <c r="BM86" s="108">
        <f>AC86*$BK86*VLOOKUP($D86,'Land Price Phase Sc1&amp;2'!$B$119:$AU$165,9+BM$7-$BL$7,0)/1000000</f>
        <v>0</v>
      </c>
      <c r="BN86" s="108">
        <f>AD86*$BK86*VLOOKUP($D86,'Land Price Phase Sc1&amp;2'!$B$119:$AU$165,9+BN$7-$BL$7,0)/1000000</f>
        <v>0</v>
      </c>
      <c r="BO86" s="108">
        <f>AE86*$BK86*VLOOKUP($D86,'Land Price Phase Sc1&amp;2'!$B$119:$AU$165,9+BO$7-$BL$7,0)/1000000</f>
        <v>0</v>
      </c>
      <c r="BP86" s="108">
        <f>AF86*$BK86*VLOOKUP($D86,'Land Price Phase Sc1&amp;2'!$B$119:$AU$165,9+BP$7-$BL$7,0)/1000000</f>
        <v>0</v>
      </c>
      <c r="BQ86" s="108">
        <f>AG86*$BK86*VLOOKUP($D86,'Land Price Phase Sc1&amp;2'!$B$119:$AU$165,9+BQ$7-$BL$7,0)/1000000</f>
        <v>0</v>
      </c>
      <c r="BR86" s="108">
        <f>AH86*$BK86*VLOOKUP($D86,'Land Price Phase Sc1&amp;2'!$B$119:$AU$165,9+BR$7-$BL$7,0)/1000000</f>
        <v>0</v>
      </c>
      <c r="BS86" s="108">
        <f>AI86*$BK86*VLOOKUP($D86,'Land Price Phase Sc1&amp;2'!$B$119:$AU$165,9+BS$7-$BL$7,0)/1000000</f>
        <v>0</v>
      </c>
      <c r="BT86" s="108">
        <f>AJ86*$BK86*VLOOKUP($D86,'Land Price Phase Sc1&amp;2'!$B$119:$AU$165,9+BT$7-$BL$7,0)/1000000</f>
        <v>0</v>
      </c>
      <c r="BU86" s="108">
        <f>AK86*$BK86*VLOOKUP($D86,'Land Price Phase Sc1&amp;2'!$B$119:$AU$165,9+BU$7-$BL$7,0)/1000000</f>
        <v>0</v>
      </c>
      <c r="BV86" s="108">
        <f>AL86*$BK86*VLOOKUP($D86,'Land Price Phase Sc1&amp;2'!$B$119:$AU$165,9+BV$7-$BL$7,0)/1000000</f>
        <v>0</v>
      </c>
      <c r="BW86" s="108">
        <f>AM86*$BK86*VLOOKUP($D86,'Land Price Phase Sc1&amp;2'!$B$119:$AU$165,9+BW$7-$BL$7,0)/1000000</f>
        <v>0.77422612520748679</v>
      </c>
      <c r="BX86" s="108">
        <f>AN86*$BK86*VLOOKUP($D86,'Land Price Phase Sc1&amp;2'!$B$119:$AU$165,9+BX$7-$BL$7,0)/1000000</f>
        <v>0.82919618009721829</v>
      </c>
      <c r="BY86" s="108">
        <f>AO86*$BK86*VLOOKUP($D86,'Land Price Phase Sc1&amp;2'!$B$119:$AU$165,9+BY$7-$BL$7,0)/1000000</f>
        <v>0.88806910888412072</v>
      </c>
      <c r="BZ86" s="108">
        <f>AP86*$BK86*VLOOKUP($D86,'Land Price Phase Sc1&amp;2'!$B$119:$AU$165,9+BZ$7-$BL$7,0)/1000000</f>
        <v>0.95112201561489318</v>
      </c>
      <c r="CA86" s="108">
        <f>AQ86*$BK86*VLOOKUP($D86,'Land Price Phase Sc1&amp;2'!$B$119:$AU$165,9+CA$7-$BL$7,0)/1000000</f>
        <v>2.5270397414488084</v>
      </c>
      <c r="CB86" s="108">
        <f>AR86*$BK86*VLOOKUP($D86,'Land Price Phase Sc1&amp;2'!$B$119:$AU$165,9+CB$7-$BL$7,0)/1000000</f>
        <v>2.7064595630916735</v>
      </c>
      <c r="CC86" s="108">
        <f>AS86*$BK86*VLOOKUP($D86,'Land Price Phase Sc1&amp;2'!$B$119:$AU$165,9+CC$7-$BL$7,0)/1000000</f>
        <v>2.898618192071182</v>
      </c>
      <c r="CD86" s="108">
        <f>AT86*$BK86*VLOOKUP($D86,'Land Price Phase Sc1&amp;2'!$B$119:$AU$165,9+CD$7-$BL$7,0)/1000000</f>
        <v>3.1044200837082361</v>
      </c>
      <c r="CE86" s="108">
        <f>AU86*$BK86*VLOOKUP($D86,'Land Price Phase Sc1&amp;2'!$B$119:$AU$165,9+CE$7-$BL$7,0)/1000000</f>
        <v>30.928687531642051</v>
      </c>
      <c r="CF86" s="108">
        <f>AV86*$BK86*VLOOKUP($D86,'Land Price Phase Sc1&amp;2'!$B$119:$AU$165,9+CF$7-$BL$7,0)/1000000</f>
        <v>33.124624346388629</v>
      </c>
      <c r="CG86" s="108">
        <f>AW86*$BK86*VLOOKUP($D86,'Land Price Phase Sc1&amp;2'!$B$119:$AU$165,9+CG$7-$BL$7,0)/1000000</f>
        <v>35.476472674982219</v>
      </c>
      <c r="CH86" s="108">
        <f>AX86*$BK86*VLOOKUP($D86,'Land Price Phase Sc1&amp;2'!$B$119:$AU$165,9+CH$7-$BL$7,0)/1000000</f>
        <v>0</v>
      </c>
      <c r="CI86" s="108">
        <f>AY86*$BK86*VLOOKUP($D86,'Land Price Phase Sc1&amp;2'!$B$119:$AU$165,9+CI$7-$BL$7,0)/1000000</f>
        <v>0</v>
      </c>
      <c r="CJ86" s="108">
        <f>AZ86*$BK86*VLOOKUP($D86,'Land Price Phase Sc1&amp;2'!$B$119:$AU$165,9+CJ$7-$BL$7,0)/1000000</f>
        <v>0</v>
      </c>
      <c r="CK86" s="108">
        <f>BA86*$BK86*VLOOKUP($D86,'Land Price Phase Sc1&amp;2'!$B$119:$AU$165,9+CK$7-$BL$7,0)/1000000</f>
        <v>0</v>
      </c>
      <c r="CL86" s="108">
        <f>BB86*$BK86*VLOOKUP($D86,'Land Price Phase Sc1&amp;2'!$B$119:$AU$165,9+CL$7-$BL$7,0)/1000000</f>
        <v>0</v>
      </c>
      <c r="CM86" s="108">
        <f>BC86*$BK86*VLOOKUP($D86,'Land Price Phase Sc1&amp;2'!$B$119:$AU$165,9+CM$7-$BL$7,0)/1000000</f>
        <v>0</v>
      </c>
      <c r="CN86" s="108">
        <f>BD86*$BK86*VLOOKUP($D86,'Land Price Phase Sc1&amp;2'!$B$119:$AU$165,9+CN$7-$BL$7,0)/1000000</f>
        <v>0</v>
      </c>
      <c r="CO86" s="108">
        <f>BE86*$BK86*VLOOKUP($D86,'Land Price Phase Sc1&amp;2'!$B$119:$AU$165,9+CO$7-$BL$7,0)/1000000</f>
        <v>0</v>
      </c>
      <c r="CP86" s="108">
        <f>BF86*$BK86*VLOOKUP($D86,'Land Price Phase Sc1&amp;2'!$B$119:$AU$165,9+CP$7-$BL$7,0)/1000000</f>
        <v>0</v>
      </c>
      <c r="CQ86" s="108">
        <f>BG86*$BK86*VLOOKUP($D86,'Land Price Phase Sc1&amp;2'!$B$119:$AU$165,9+CQ$7-$BL$7,0)/1000000</f>
        <v>0</v>
      </c>
      <c r="CR86" s="108">
        <f t="shared" si="186"/>
        <v>114.20893556313652</v>
      </c>
      <c r="CS86" s="19"/>
      <c r="CT86" s="19"/>
      <c r="CU86" s="19"/>
      <c r="CV86" s="19"/>
      <c r="CW86" s="18"/>
      <c r="CX86" s="18"/>
      <c r="CY86" s="18"/>
      <c r="CZ86" s="18"/>
      <c r="DA86" s="20"/>
      <c r="DB86" s="20"/>
      <c r="DC86" s="20"/>
      <c r="DK86" s="10"/>
      <c r="DL86" s="10"/>
      <c r="DM86" s="10"/>
      <c r="DN86" s="10"/>
      <c r="DO86" s="10"/>
      <c r="DP86" s="10"/>
      <c r="DQ86" s="10"/>
      <c r="DR86" s="10"/>
      <c r="DS86" s="10"/>
      <c r="DT86" s="10"/>
      <c r="EB86" s="84"/>
      <c r="EC86" s="84"/>
    </row>
    <row r="87" spans="1:133" ht="18.75" customHeight="1" x14ac:dyDescent="0.3">
      <c r="A87" s="104" t="s">
        <v>40</v>
      </c>
      <c r="B87" s="104" t="s">
        <v>197</v>
      </c>
      <c r="C87" s="104"/>
      <c r="D87" s="117" t="str">
        <f>D86</f>
        <v>Paerata West, Pukekohe North-east, North-west, South-east</v>
      </c>
      <c r="E87" s="104"/>
      <c r="F87" s="105"/>
      <c r="G87" s="105">
        <v>2</v>
      </c>
      <c r="H87" s="105"/>
      <c r="I87" s="105"/>
      <c r="J87" s="105"/>
      <c r="K87" s="105">
        <f>G87</f>
        <v>2</v>
      </c>
      <c r="L87" s="105"/>
      <c r="M87" s="105"/>
      <c r="N87" s="105"/>
      <c r="O87" s="104">
        <f>VLOOKUP($D87,'Land Price Phase Sc1&amp;2'!$B$4:$F$50,3,0)</f>
        <v>2036</v>
      </c>
      <c r="P87" s="104">
        <f>VLOOKUP($D87,'Land Price Phase Sc1&amp;2'!$B$4:$F$50,4,0)</f>
        <v>2040</v>
      </c>
      <c r="Q87" s="104">
        <f>VLOOKUP($D87,'Land Price Phase Sc1&amp;2'!$B$4:$F$50,5,0)</f>
        <v>2044</v>
      </c>
      <c r="R87" s="106">
        <f t="shared" si="188"/>
        <v>1</v>
      </c>
      <c r="S87" s="107">
        <f>'Park spec inputs'!C$21</f>
        <v>0.15</v>
      </c>
      <c r="T87" s="107">
        <f>'Park spec inputs'!D$21</f>
        <v>0.5</v>
      </c>
      <c r="U87" s="107">
        <f>'Park spec inputs'!E$21</f>
        <v>0.25</v>
      </c>
      <c r="V87" s="107">
        <f>'Park spec inputs'!F$21</f>
        <v>0.1</v>
      </c>
      <c r="W87" s="107">
        <f t="shared" si="138"/>
        <v>0.711860292938581</v>
      </c>
      <c r="X87" s="107">
        <f t="shared" si="117"/>
        <v>53.481741858551679</v>
      </c>
      <c r="Y87" s="107">
        <f t="shared" si="118"/>
        <v>39.827095742386597</v>
      </c>
      <c r="Z87" s="104">
        <v>33</v>
      </c>
      <c r="AA87" s="108">
        <f t="shared" si="155"/>
        <v>1.0219343204573286</v>
      </c>
      <c r="AB87" s="104"/>
      <c r="AC87" s="104"/>
      <c r="AD87" s="104"/>
      <c r="AE87" s="104"/>
      <c r="AF87" s="104"/>
      <c r="AG87" s="104"/>
      <c r="AH87" s="104"/>
      <c r="AI87" s="104"/>
      <c r="AJ87" s="104">
        <f>$S87/3</f>
        <v>4.9999999999999996E-2</v>
      </c>
      <c r="AK87" s="104">
        <f>AJ87</f>
        <v>4.9999999999999996E-2</v>
      </c>
      <c r="AL87" s="104">
        <f>AK87</f>
        <v>4.9999999999999996E-2</v>
      </c>
      <c r="AM87" s="111">
        <f>$T87/4</f>
        <v>0.125</v>
      </c>
      <c r="AN87" s="111">
        <f>AM87</f>
        <v>0.125</v>
      </c>
      <c r="AO87" s="111">
        <f t="shared" ref="AO87" si="193">AN87</f>
        <v>0.125</v>
      </c>
      <c r="AP87" s="111">
        <f t="shared" ref="AP87" si="194">AO87</f>
        <v>0.125</v>
      </c>
      <c r="AQ87" s="111">
        <f>$U87/4</f>
        <v>6.25E-2</v>
      </c>
      <c r="AR87" s="111">
        <f t="shared" si="191"/>
        <v>6.25E-2</v>
      </c>
      <c r="AS87" s="111">
        <f t="shared" si="191"/>
        <v>6.25E-2</v>
      </c>
      <c r="AT87" s="111">
        <f t="shared" si="191"/>
        <v>6.25E-2</v>
      </c>
      <c r="AU87" s="111">
        <f>$V87/3</f>
        <v>3.3333333333333333E-2</v>
      </c>
      <c r="AV87" s="111">
        <f t="shared" si="192"/>
        <v>3.3333333333333333E-2</v>
      </c>
      <c r="AW87" s="111">
        <f t="shared" si="192"/>
        <v>3.3333333333333333E-2</v>
      </c>
      <c r="AX87" s="104"/>
      <c r="AY87" s="104"/>
      <c r="AZ87" s="104"/>
      <c r="BA87" s="104"/>
      <c r="BB87" s="104"/>
      <c r="BC87" s="104"/>
      <c r="BD87" s="104"/>
      <c r="BE87" s="104"/>
      <c r="BF87" s="104"/>
      <c r="BG87" s="104"/>
      <c r="BH87" s="109">
        <f t="shared" si="170"/>
        <v>9.9999999999999992E-2</v>
      </c>
      <c r="BI87" s="109">
        <f t="shared" si="171"/>
        <v>0.9</v>
      </c>
      <c r="BJ87" s="109"/>
      <c r="BK87" s="104">
        <f t="shared" si="185"/>
        <v>60000</v>
      </c>
      <c r="BL87" s="108">
        <f>AB87*$BK87*VLOOKUP($D87,'Land Price Phase Sc1&amp;2'!$B$119:$AU$165,9+BL$7-$BL$7,0)/1000000</f>
        <v>0</v>
      </c>
      <c r="BM87" s="108">
        <f>AC87*$BK87*VLOOKUP($D87,'Land Price Phase Sc1&amp;2'!$B$119:$AU$165,9+BM$7-$BL$7,0)/1000000</f>
        <v>0</v>
      </c>
      <c r="BN87" s="108">
        <f>AD87*$BK87*VLOOKUP($D87,'Land Price Phase Sc1&amp;2'!$B$119:$AU$165,9+BN$7-$BL$7,0)/1000000</f>
        <v>0</v>
      </c>
      <c r="BO87" s="108">
        <f>AE87*$BK87*VLOOKUP($D87,'Land Price Phase Sc1&amp;2'!$B$119:$AU$165,9+BO$7-$BL$7,0)/1000000</f>
        <v>0</v>
      </c>
      <c r="BP87" s="108">
        <f>AF87*$BK87*VLOOKUP($D87,'Land Price Phase Sc1&amp;2'!$B$119:$AU$165,9+BP$7-$BL$7,0)/1000000</f>
        <v>0</v>
      </c>
      <c r="BQ87" s="108">
        <f>AG87*$BK87*VLOOKUP($D87,'Land Price Phase Sc1&amp;2'!$B$119:$AU$165,9+BQ$7-$BL$7,0)/1000000</f>
        <v>0</v>
      </c>
      <c r="BR87" s="108">
        <f>AH87*$BK87*VLOOKUP($D87,'Land Price Phase Sc1&amp;2'!$B$119:$AU$165,9+BR$7-$BL$7,0)/1000000</f>
        <v>0</v>
      </c>
      <c r="BS87" s="108">
        <f>AI87*$BK87*VLOOKUP($D87,'Land Price Phase Sc1&amp;2'!$B$119:$AU$165,9+BS$7-$BL$7,0)/1000000</f>
        <v>0</v>
      </c>
      <c r="BT87" s="108">
        <f>AJ87*$BK87*VLOOKUP($D87,'Land Price Phase Sc1&amp;2'!$B$119:$AU$165,9+BT$7-$BL$7,0)/1000000</f>
        <v>0.49344969601995592</v>
      </c>
      <c r="BU87" s="108">
        <f>AK87*$BK87*VLOOKUP($D87,'Land Price Phase Sc1&amp;2'!$B$119:$AU$165,9+BU$7-$BL$7,0)/1000000</f>
        <v>0.52848462443737276</v>
      </c>
      <c r="BV87" s="108">
        <f>AL87*$BK87*VLOOKUP($D87,'Land Price Phase Sc1&amp;2'!$B$119:$AU$165,9+BV$7-$BL$7,0)/1000000</f>
        <v>0.56600703277242626</v>
      </c>
      <c r="BW87" s="108">
        <f>AM87*$BK87*VLOOKUP($D87,'Land Price Phase Sc1&amp;2'!$B$119:$AU$165,9+BW$7-$BL$7,0)/1000000</f>
        <v>2.0738199782343396</v>
      </c>
      <c r="BX87" s="108">
        <f>AN87*$BK87*VLOOKUP($D87,'Land Price Phase Sc1&amp;2'!$B$119:$AU$165,9+BX$7-$BL$7,0)/1000000</f>
        <v>2.2210611966889777</v>
      </c>
      <c r="BY87" s="108">
        <f>AO87*$BK87*VLOOKUP($D87,'Land Price Phase Sc1&amp;2'!$B$119:$AU$165,9+BY$7-$BL$7,0)/1000000</f>
        <v>2.3787565416538947</v>
      </c>
      <c r="BZ87" s="108">
        <f>AP87*$BK87*VLOOKUP($D87,'Land Price Phase Sc1&amp;2'!$B$119:$AU$165,9+BZ$7-$BL$7,0)/1000000</f>
        <v>2.5476482561113212</v>
      </c>
      <c r="CA87" s="108">
        <f>AQ87*$BK87*VLOOKUP($D87,'Land Price Phase Sc1&amp;2'!$B$119:$AU$165,9+CA$7-$BL$7,0)/1000000</f>
        <v>2.2562854834364359</v>
      </c>
      <c r="CB87" s="108">
        <f>AR87*$BK87*VLOOKUP($D87,'Land Price Phase Sc1&amp;2'!$B$119:$AU$165,9+CB$7-$BL$7,0)/1000000</f>
        <v>2.416481752760423</v>
      </c>
      <c r="CC87" s="108">
        <f>AS87*$BK87*VLOOKUP($D87,'Land Price Phase Sc1&amp;2'!$B$119:$AU$165,9+CC$7-$BL$7,0)/1000000</f>
        <v>2.5880519572064129</v>
      </c>
      <c r="CD87" s="108">
        <f>AT87*$BK87*VLOOKUP($D87,'Land Price Phase Sc1&amp;2'!$B$119:$AU$165,9+CD$7-$BL$7,0)/1000000</f>
        <v>2.7718036461680682</v>
      </c>
      <c r="CE87" s="108">
        <f>AU87*$BK87*VLOOKUP($D87,'Land Price Phase Sc1&amp;2'!$B$119:$AU$165,9+CE$7-$BL$7,0)/1000000</f>
        <v>6.6275758996375824</v>
      </c>
      <c r="CF87" s="108">
        <f>AV87*$BK87*VLOOKUP($D87,'Land Price Phase Sc1&amp;2'!$B$119:$AU$165,9+CF$7-$BL$7,0)/1000000</f>
        <v>7.0981337885118503</v>
      </c>
      <c r="CG87" s="108">
        <f>AW87*$BK87*VLOOKUP($D87,'Land Price Phase Sc1&amp;2'!$B$119:$AU$165,9+CG$7-$BL$7,0)/1000000</f>
        <v>7.6021012874961906</v>
      </c>
      <c r="CH87" s="108">
        <f>AX87*$BK87*VLOOKUP($D87,'Land Price Phase Sc1&amp;2'!$B$119:$AU$165,9+CH$7-$BL$7,0)/1000000</f>
        <v>0</v>
      </c>
      <c r="CI87" s="108">
        <f>AY87*$BK87*VLOOKUP($D87,'Land Price Phase Sc1&amp;2'!$B$119:$AU$165,9+CI$7-$BL$7,0)/1000000</f>
        <v>0</v>
      </c>
      <c r="CJ87" s="108">
        <f>AZ87*$BK87*VLOOKUP($D87,'Land Price Phase Sc1&amp;2'!$B$119:$AU$165,9+CJ$7-$BL$7,0)/1000000</f>
        <v>0</v>
      </c>
      <c r="CK87" s="108">
        <f>BA87*$BK87*VLOOKUP($D87,'Land Price Phase Sc1&amp;2'!$B$119:$AU$165,9+CK$7-$BL$7,0)/1000000</f>
        <v>0</v>
      </c>
      <c r="CL87" s="108">
        <f>BB87*$BK87*VLOOKUP($D87,'Land Price Phase Sc1&amp;2'!$B$119:$AU$165,9+CL$7-$BL$7,0)/1000000</f>
        <v>0</v>
      </c>
      <c r="CM87" s="108">
        <f>BC87*$BK87*VLOOKUP($D87,'Land Price Phase Sc1&amp;2'!$B$119:$AU$165,9+CM$7-$BL$7,0)/1000000</f>
        <v>0</v>
      </c>
      <c r="CN87" s="108">
        <f>BD87*$BK87*VLOOKUP($D87,'Land Price Phase Sc1&amp;2'!$B$119:$AU$165,9+CN$7-$BL$7,0)/1000000</f>
        <v>0</v>
      </c>
      <c r="CO87" s="108">
        <f>BE87*$BK87*VLOOKUP($D87,'Land Price Phase Sc1&amp;2'!$B$119:$AU$165,9+CO$7-$BL$7,0)/1000000</f>
        <v>0</v>
      </c>
      <c r="CP87" s="108">
        <f>BF87*$BK87*VLOOKUP($D87,'Land Price Phase Sc1&amp;2'!$B$119:$AU$165,9+CP$7-$BL$7,0)/1000000</f>
        <v>0</v>
      </c>
      <c r="CQ87" s="108">
        <f>BG87*$BK87*VLOOKUP($D87,'Land Price Phase Sc1&amp;2'!$B$119:$AU$165,9+CQ$7-$BL$7,0)/1000000</f>
        <v>0</v>
      </c>
      <c r="CR87" s="108">
        <f t="shared" si="186"/>
        <v>42.169661141135251</v>
      </c>
      <c r="CS87" s="19"/>
      <c r="CT87" s="19"/>
      <c r="CU87" s="19"/>
      <c r="CV87" s="19"/>
      <c r="CW87" s="18"/>
      <c r="CX87" s="18"/>
      <c r="CY87" s="18"/>
      <c r="CZ87" s="18"/>
      <c r="DA87" s="20"/>
      <c r="DB87" s="20"/>
      <c r="DC87" s="20"/>
      <c r="DK87" s="10"/>
      <c r="DL87" s="10"/>
      <c r="DM87" s="10"/>
      <c r="DN87" s="10"/>
      <c r="DO87" s="10"/>
      <c r="DP87" s="10"/>
      <c r="DQ87" s="10"/>
      <c r="DR87" s="10"/>
      <c r="DS87" s="10"/>
      <c r="DT87" s="10"/>
      <c r="EB87" s="84"/>
      <c r="EC87" s="84"/>
    </row>
    <row r="88" spans="1:133" ht="18.75" customHeight="1" x14ac:dyDescent="0.3">
      <c r="A88" s="104" t="s">
        <v>40</v>
      </c>
      <c r="B88" s="104" t="s">
        <v>197</v>
      </c>
      <c r="C88" s="104"/>
      <c r="D88" s="117" t="str">
        <f>D87</f>
        <v>Paerata West, Pukekohe North-east, North-west, South-east</v>
      </c>
      <c r="E88" s="104"/>
      <c r="F88" s="105"/>
      <c r="G88" s="105"/>
      <c r="H88" s="105"/>
      <c r="I88" s="105">
        <v>0.5</v>
      </c>
      <c r="J88" s="105"/>
      <c r="K88" s="105"/>
      <c r="L88" s="105"/>
      <c r="M88" s="105">
        <f>I88</f>
        <v>0.5</v>
      </c>
      <c r="N88" s="105"/>
      <c r="O88" s="104">
        <f>VLOOKUP($D88,'Land Price Phase Sc1&amp;2'!$B$4:$F$50,3,0)</f>
        <v>2036</v>
      </c>
      <c r="P88" s="104">
        <f>VLOOKUP($D88,'Land Price Phase Sc1&amp;2'!$B$4:$F$50,4,0)</f>
        <v>2040</v>
      </c>
      <c r="Q88" s="104">
        <f>VLOOKUP($D88,'Land Price Phase Sc1&amp;2'!$B$4:$F$50,5,0)</f>
        <v>2044</v>
      </c>
      <c r="R88" s="106">
        <f t="shared" si="188"/>
        <v>0.99999999999999989</v>
      </c>
      <c r="S88" s="104"/>
      <c r="T88" s="104"/>
      <c r="U88" s="104">
        <v>0.5</v>
      </c>
      <c r="V88" s="104">
        <v>0.5</v>
      </c>
      <c r="W88" s="107">
        <f t="shared" si="138"/>
        <v>0.711860292938581</v>
      </c>
      <c r="X88" s="107">
        <f t="shared" si="117"/>
        <v>53.481741858551679</v>
      </c>
      <c r="Y88" s="107">
        <f t="shared" si="118"/>
        <v>39.827095742386597</v>
      </c>
      <c r="Z88" s="104" t="s">
        <v>370</v>
      </c>
      <c r="AA88" s="108">
        <f t="shared" si="155"/>
        <v>0</v>
      </c>
      <c r="AB88" s="104"/>
      <c r="AC88" s="104"/>
      <c r="AD88" s="104"/>
      <c r="AE88" s="104"/>
      <c r="AF88" s="104"/>
      <c r="AG88" s="104"/>
      <c r="AH88" s="104"/>
      <c r="AI88" s="104"/>
      <c r="AJ88" s="104"/>
      <c r="AK88" s="104"/>
      <c r="AL88" s="104"/>
      <c r="AM88" s="111"/>
      <c r="AN88" s="111"/>
      <c r="AO88" s="111"/>
      <c r="AP88" s="111"/>
      <c r="AQ88" s="111">
        <f>$U88/4</f>
        <v>0.125</v>
      </c>
      <c r="AR88" s="111">
        <f t="shared" si="191"/>
        <v>0.125</v>
      </c>
      <c r="AS88" s="111">
        <f t="shared" si="191"/>
        <v>0.125</v>
      </c>
      <c r="AT88" s="111">
        <f t="shared" si="191"/>
        <v>0.125</v>
      </c>
      <c r="AU88" s="111">
        <f>$V88/3</f>
        <v>0.16666666666666666</v>
      </c>
      <c r="AV88" s="111">
        <f t="shared" si="192"/>
        <v>0.16666666666666666</v>
      </c>
      <c r="AW88" s="111">
        <f t="shared" si="192"/>
        <v>0.16666666666666666</v>
      </c>
      <c r="AX88" s="104"/>
      <c r="AY88" s="104"/>
      <c r="AZ88" s="104"/>
      <c r="BA88" s="104"/>
      <c r="BB88" s="104"/>
      <c r="BC88" s="104"/>
      <c r="BD88" s="104"/>
      <c r="BE88" s="104"/>
      <c r="BF88" s="104"/>
      <c r="BG88" s="104"/>
      <c r="BH88" s="109">
        <f t="shared" si="170"/>
        <v>0</v>
      </c>
      <c r="BI88" s="109">
        <f t="shared" si="171"/>
        <v>0.99999999999999989</v>
      </c>
      <c r="BJ88" s="109"/>
      <c r="BK88" s="104">
        <f>SUMPRODUCT(F88:I88,$F$5:$I$5)</f>
        <v>1000</v>
      </c>
      <c r="BL88" s="108">
        <f>AB88*$BK88*VLOOKUP($D88,'Land Price Phase Sc1&amp;2'!$B$119:$AU$165,9+BL$7-$BL$7,0)/1000000</f>
        <v>0</v>
      </c>
      <c r="BM88" s="108">
        <f>AC88*$BK88*VLOOKUP($D88,'Land Price Phase Sc1&amp;2'!$B$119:$AU$165,9+BM$7-$BL$7,0)/1000000</f>
        <v>0</v>
      </c>
      <c r="BN88" s="108">
        <f>AD88*$BK88*VLOOKUP($D88,'Land Price Phase Sc1&amp;2'!$B$119:$AU$165,9+BN$7-$BL$7,0)/1000000</f>
        <v>0</v>
      </c>
      <c r="BO88" s="108">
        <f>AE88*$BK88*VLOOKUP($D88,'Land Price Phase Sc1&amp;2'!$B$119:$AU$165,9+BO$7-$BL$7,0)/1000000</f>
        <v>0</v>
      </c>
      <c r="BP88" s="108">
        <f>AF88*$BK88*VLOOKUP($D88,'Land Price Phase Sc1&amp;2'!$B$119:$AU$165,9+BP$7-$BL$7,0)/1000000</f>
        <v>0</v>
      </c>
      <c r="BQ88" s="108">
        <f>AG88*$BK88*VLOOKUP($D88,'Land Price Phase Sc1&amp;2'!$B$119:$AU$165,9+BQ$7-$BL$7,0)/1000000</f>
        <v>0</v>
      </c>
      <c r="BR88" s="108">
        <f>AH88*$BK88*VLOOKUP($D88,'Land Price Phase Sc1&amp;2'!$B$119:$AU$165,9+BR$7-$BL$7,0)/1000000</f>
        <v>0</v>
      </c>
      <c r="BS88" s="108">
        <f>AI88*$BK88*VLOOKUP($D88,'Land Price Phase Sc1&amp;2'!$B$119:$AU$165,9+BS$7-$BL$7,0)/1000000</f>
        <v>0</v>
      </c>
      <c r="BT88" s="108">
        <f>AJ88*$BK88*VLOOKUP($D88,'Land Price Phase Sc1&amp;2'!$B$119:$AU$165,9+BT$7-$BL$7,0)/1000000</f>
        <v>0</v>
      </c>
      <c r="BU88" s="108">
        <f>AK88*$BK88*VLOOKUP($D88,'Land Price Phase Sc1&amp;2'!$B$119:$AU$165,9+BU$7-$BL$7,0)/1000000</f>
        <v>0</v>
      </c>
      <c r="BV88" s="108">
        <f>AL88*$BK88*VLOOKUP($D88,'Land Price Phase Sc1&amp;2'!$B$119:$AU$165,9+BV$7-$BL$7,0)/1000000</f>
        <v>0</v>
      </c>
      <c r="BW88" s="108">
        <f>AM88*$BK88*VLOOKUP($D88,'Land Price Phase Sc1&amp;2'!$B$119:$AU$165,9+BW$7-$BL$7,0)/1000000</f>
        <v>0</v>
      </c>
      <c r="BX88" s="108">
        <f>AN88*$BK88*VLOOKUP($D88,'Land Price Phase Sc1&amp;2'!$B$119:$AU$165,9+BX$7-$BL$7,0)/1000000</f>
        <v>0</v>
      </c>
      <c r="BY88" s="108">
        <f>AO88*$BK88*VLOOKUP($D88,'Land Price Phase Sc1&amp;2'!$B$119:$AU$165,9+BY$7-$BL$7,0)/1000000</f>
        <v>0</v>
      </c>
      <c r="BZ88" s="108">
        <f>AP88*$BK88*VLOOKUP($D88,'Land Price Phase Sc1&amp;2'!$B$119:$AU$165,9+BZ$7-$BL$7,0)/1000000</f>
        <v>0</v>
      </c>
      <c r="CA88" s="108">
        <f>AQ88*$BK88*VLOOKUP($D88,'Land Price Phase Sc1&amp;2'!$B$119:$AU$165,9+CA$7-$BL$7,0)/1000000</f>
        <v>7.5209516114547861E-2</v>
      </c>
      <c r="CB88" s="108">
        <f>AR88*$BK88*VLOOKUP($D88,'Land Price Phase Sc1&amp;2'!$B$119:$AU$165,9+CB$7-$BL$7,0)/1000000</f>
        <v>8.0549391758680755E-2</v>
      </c>
      <c r="CC88" s="108">
        <f>AS88*$BK88*VLOOKUP($D88,'Land Price Phase Sc1&amp;2'!$B$119:$AU$165,9+CC$7-$BL$7,0)/1000000</f>
        <v>8.6268398573547095E-2</v>
      </c>
      <c r="CD88" s="108">
        <f>AT88*$BK88*VLOOKUP($D88,'Land Price Phase Sc1&amp;2'!$B$119:$AU$165,9+CD$7-$BL$7,0)/1000000</f>
        <v>9.2393454872268937E-2</v>
      </c>
      <c r="CE88" s="108">
        <f>AU88*$BK88*VLOOKUP($D88,'Land Price Phase Sc1&amp;2'!$B$119:$AU$165,9+CE$7-$BL$7,0)/1000000</f>
        <v>0.5522979916364652</v>
      </c>
      <c r="CF88" s="108">
        <f>AV88*$BK88*VLOOKUP($D88,'Land Price Phase Sc1&amp;2'!$B$119:$AU$165,9+CF$7-$BL$7,0)/1000000</f>
        <v>0.59151114904265412</v>
      </c>
      <c r="CG88" s="108">
        <f>AW88*$BK88*VLOOKUP($D88,'Land Price Phase Sc1&amp;2'!$B$119:$AU$165,9+CG$7-$BL$7,0)/1000000</f>
        <v>0.63350844062468248</v>
      </c>
      <c r="CH88" s="108">
        <f>AX88*$BK88*VLOOKUP($D88,'Land Price Phase Sc1&amp;2'!$B$119:$AU$165,9+CH$7-$BL$7,0)/1000000</f>
        <v>0</v>
      </c>
      <c r="CI88" s="108">
        <f>AY88*$BK88*VLOOKUP($D88,'Land Price Phase Sc1&amp;2'!$B$119:$AU$165,9+CI$7-$BL$7,0)/1000000</f>
        <v>0</v>
      </c>
      <c r="CJ88" s="108">
        <f>AZ88*$BK88*VLOOKUP($D88,'Land Price Phase Sc1&amp;2'!$B$119:$AU$165,9+CJ$7-$BL$7,0)/1000000</f>
        <v>0</v>
      </c>
      <c r="CK88" s="108">
        <f>BA88*$BK88*VLOOKUP($D88,'Land Price Phase Sc1&amp;2'!$B$119:$AU$165,9+CK$7-$BL$7,0)/1000000</f>
        <v>0</v>
      </c>
      <c r="CL88" s="108">
        <f>BB88*$BK88*VLOOKUP($D88,'Land Price Phase Sc1&amp;2'!$B$119:$AU$165,9+CL$7-$BL$7,0)/1000000</f>
        <v>0</v>
      </c>
      <c r="CM88" s="108">
        <f>BC88*$BK88*VLOOKUP($D88,'Land Price Phase Sc1&amp;2'!$B$119:$AU$165,9+CM$7-$BL$7,0)/1000000</f>
        <v>0</v>
      </c>
      <c r="CN88" s="108">
        <f>BD88*$BK88*VLOOKUP($D88,'Land Price Phase Sc1&amp;2'!$B$119:$AU$165,9+CN$7-$BL$7,0)/1000000</f>
        <v>0</v>
      </c>
      <c r="CO88" s="108">
        <f>BE88*$BK88*VLOOKUP($D88,'Land Price Phase Sc1&amp;2'!$B$119:$AU$165,9+CO$7-$BL$7,0)/1000000</f>
        <v>0</v>
      </c>
      <c r="CP88" s="108">
        <f>BF88*$BK88*VLOOKUP($D88,'Land Price Phase Sc1&amp;2'!$B$119:$AU$165,9+CP$7-$BL$7,0)/1000000</f>
        <v>0</v>
      </c>
      <c r="CQ88" s="108">
        <f>BG88*$BK88*VLOOKUP($D88,'Land Price Phase Sc1&amp;2'!$B$119:$AU$165,9+CQ$7-$BL$7,0)/1000000</f>
        <v>0</v>
      </c>
      <c r="CR88" s="108">
        <f t="shared" si="186"/>
        <v>2.1117383426228464</v>
      </c>
      <c r="CS88" s="19"/>
      <c r="CT88" s="19"/>
      <c r="CU88" s="19"/>
      <c r="CV88" s="19"/>
      <c r="CW88" s="18"/>
      <c r="CX88" s="18"/>
      <c r="CY88" s="18"/>
      <c r="CZ88" s="18"/>
      <c r="DA88" s="20"/>
      <c r="DB88" s="20"/>
      <c r="DC88" s="20"/>
      <c r="DK88" s="10"/>
      <c r="DL88" s="10"/>
      <c r="DM88" s="10"/>
      <c r="DN88" s="10"/>
      <c r="DO88" s="10"/>
      <c r="DP88" s="10"/>
      <c r="DQ88" s="10"/>
      <c r="DR88" s="10"/>
      <c r="DS88" s="10"/>
      <c r="DT88" s="10"/>
      <c r="EB88" s="84"/>
      <c r="EC88" s="84"/>
    </row>
    <row r="89" spans="1:133" x14ac:dyDescent="0.3">
      <c r="A89" s="104" t="s">
        <v>40</v>
      </c>
      <c r="B89" s="104" t="s">
        <v>197</v>
      </c>
      <c r="C89" s="104"/>
      <c r="D89" s="104" t="str">
        <f>'Land Price Phase Sc1&amp;2'!B40</f>
        <v>Paerata South</v>
      </c>
      <c r="E89" s="104"/>
      <c r="F89" s="105">
        <v>3</v>
      </c>
      <c r="G89" s="105"/>
      <c r="H89" s="105"/>
      <c r="I89" s="105"/>
      <c r="J89" s="105">
        <f>F89</f>
        <v>3</v>
      </c>
      <c r="K89" s="105"/>
      <c r="L89" s="105"/>
      <c r="M89" s="105"/>
      <c r="N89" s="105"/>
      <c r="O89" s="104">
        <f>VLOOKUP($D89,'Land Price Phase Sc1&amp;2'!$B$4:$F$50,3,0)</f>
        <v>2026</v>
      </c>
      <c r="P89" s="104">
        <f>VLOOKUP($D89,'Land Price Phase Sc1&amp;2'!$B$4:$F$50,4,0)</f>
        <v>2030</v>
      </c>
      <c r="Q89" s="104">
        <f>VLOOKUP($D89,'Land Price Phase Sc1&amp;2'!$B$4:$F$50,5,0)</f>
        <v>2034</v>
      </c>
      <c r="R89" s="106">
        <f t="shared" si="188"/>
        <v>0.99999999999999989</v>
      </c>
      <c r="S89" s="104"/>
      <c r="T89" s="107">
        <f>'Park spec inputs'!H$22</f>
        <v>0.2</v>
      </c>
      <c r="U89" s="107">
        <f>'Park spec inputs'!I$22</f>
        <v>0.3</v>
      </c>
      <c r="V89" s="107">
        <f>'Park spec inputs'!J$22</f>
        <v>0.5</v>
      </c>
      <c r="W89" s="107">
        <f t="shared" si="138"/>
        <v>0.711860292938581</v>
      </c>
      <c r="X89" s="107">
        <f t="shared" si="117"/>
        <v>53.481741858551679</v>
      </c>
      <c r="Y89" s="107">
        <f t="shared" si="118"/>
        <v>39.827095742386597</v>
      </c>
      <c r="Z89" s="104">
        <v>26</v>
      </c>
      <c r="AA89" s="108">
        <f t="shared" si="155"/>
        <v>1.6279536831748898</v>
      </c>
      <c r="AB89" s="104"/>
      <c r="AC89" s="111"/>
      <c r="AD89" s="111"/>
      <c r="AE89" s="111"/>
      <c r="AF89" s="111"/>
      <c r="AG89" s="111"/>
      <c r="AH89" s="111">
        <f>$T89/4</f>
        <v>0.05</v>
      </c>
      <c r="AI89" s="111">
        <f>AH89</f>
        <v>0.05</v>
      </c>
      <c r="AJ89" s="111">
        <f t="shared" ref="AJ89" si="195">AI89</f>
        <v>0.05</v>
      </c>
      <c r="AK89" s="111">
        <f t="shared" ref="AK89" si="196">AJ89</f>
        <v>0.05</v>
      </c>
      <c r="AL89" s="111">
        <f>$U89/4</f>
        <v>7.4999999999999997E-2</v>
      </c>
      <c r="AM89" s="111">
        <f t="shared" ref="AM89:AN89" si="197">AL89</f>
        <v>7.4999999999999997E-2</v>
      </c>
      <c r="AN89" s="111">
        <f t="shared" si="197"/>
        <v>7.4999999999999997E-2</v>
      </c>
      <c r="AO89" s="111">
        <f t="shared" ref="AO89" si="198">AN89</f>
        <v>7.4999999999999997E-2</v>
      </c>
      <c r="AP89" s="111">
        <f>$V89/3</f>
        <v>0.16666666666666666</v>
      </c>
      <c r="AQ89" s="111">
        <f>AP89</f>
        <v>0.16666666666666666</v>
      </c>
      <c r="AR89" s="111">
        <f>AQ89</f>
        <v>0.16666666666666666</v>
      </c>
      <c r="AS89" s="104"/>
      <c r="AT89" s="104"/>
      <c r="AU89" s="104"/>
      <c r="AV89" s="104"/>
      <c r="AW89" s="104"/>
      <c r="AX89" s="104"/>
      <c r="AY89" s="104"/>
      <c r="AZ89" s="104"/>
      <c r="BA89" s="104"/>
      <c r="BB89" s="104"/>
      <c r="BC89" s="104"/>
      <c r="BD89" s="104"/>
      <c r="BE89" s="104"/>
      <c r="BF89" s="104"/>
      <c r="BG89" s="104"/>
      <c r="BH89" s="109">
        <f t="shared" si="170"/>
        <v>0.2</v>
      </c>
      <c r="BI89" s="109">
        <f t="shared" si="171"/>
        <v>0.79999999999999993</v>
      </c>
      <c r="BJ89" s="109"/>
      <c r="BK89" s="104">
        <f t="shared" ref="BK89:BK92" si="199">SUMPRODUCT(F89:I89,$F$5:$I$5)</f>
        <v>12000</v>
      </c>
      <c r="BL89" s="108">
        <f>AB89*$BK89*VLOOKUP($D89,'Land Price Phase Sc1&amp;2'!$B$119:$AU$165,9+BL$7-$BL$7,0)/1000000</f>
        <v>0</v>
      </c>
      <c r="BM89" s="108">
        <f>AC89*$BK89*VLOOKUP($D89,'Land Price Phase Sc1&amp;2'!$B$119:$AU$165,9+BM$7-$BL$7,0)/1000000</f>
        <v>0</v>
      </c>
      <c r="BN89" s="108">
        <f>AD89*$BK89*VLOOKUP($D89,'Land Price Phase Sc1&amp;2'!$B$119:$AU$165,9+BN$7-$BL$7,0)/1000000</f>
        <v>0</v>
      </c>
      <c r="BO89" s="108">
        <f>AE89*$BK89*VLOOKUP($D89,'Land Price Phase Sc1&amp;2'!$B$119:$AU$165,9+BO$7-$BL$7,0)/1000000</f>
        <v>0</v>
      </c>
      <c r="BP89" s="108">
        <f>AF89*$BK89*VLOOKUP($D89,'Land Price Phase Sc1&amp;2'!$B$119:$AU$165,9+BP$7-$BL$7,0)/1000000</f>
        <v>0</v>
      </c>
      <c r="BQ89" s="108">
        <f>AG89*$BK89*VLOOKUP($D89,'Land Price Phase Sc1&amp;2'!$B$119:$AU$165,9+BQ$7-$BL$7,0)/1000000</f>
        <v>0</v>
      </c>
      <c r="BR89" s="108">
        <f>AH89*$BK89*VLOOKUP($D89,'Land Price Phase Sc1&amp;2'!$B$119:$AU$165,9+BR$7-$BL$7,0)/1000000</f>
        <v>0.19471920798002137</v>
      </c>
      <c r="BS89" s="108">
        <f>AI89*$BK89*VLOOKUP($D89,'Land Price Phase Sc1&amp;2'!$B$119:$AU$165,9+BS$7-$BL$7,0)/1000000</f>
        <v>0.20854427174660287</v>
      </c>
      <c r="BT89" s="108">
        <f>AJ89*$BK89*VLOOKUP($D89,'Land Price Phase Sc1&amp;2'!$B$119:$AU$165,9+BT$7-$BL$7,0)/1000000</f>
        <v>0.22335091504061169</v>
      </c>
      <c r="BU89" s="108">
        <f>AK89*$BK89*VLOOKUP($D89,'Land Price Phase Sc1&amp;2'!$B$119:$AU$165,9+BU$7-$BL$7,0)/1000000</f>
        <v>1.001339288407654</v>
      </c>
      <c r="BV89" s="108">
        <f>AL89*$BK89*VLOOKUP($D89,'Land Price Phase Sc1&amp;2'!$B$119:$AU$165,9+BV$7-$BL$7,0)/1000000</f>
        <v>1.6086515668268961</v>
      </c>
      <c r="BW89" s="108">
        <f>AM89*$BK89*VLOOKUP($D89,'Land Price Phase Sc1&amp;2'!$B$119:$AU$165,9+BW$7-$BL$7,0)/1000000</f>
        <v>1.7228658280716054</v>
      </c>
      <c r="BX89" s="108">
        <f>AN89*$BK89*VLOOKUP($D89,'Land Price Phase Sc1&amp;2'!$B$119:$AU$165,9+BX$7-$BL$7,0)/1000000</f>
        <v>1.8451893018646892</v>
      </c>
      <c r="BY89" s="108">
        <f>AO89*$BK89*VLOOKUP($D89,'Land Price Phase Sc1&amp;2'!$B$119:$AU$165,9+BY$7-$BL$7,0)/1000000</f>
        <v>1.9761977422970822</v>
      </c>
      <c r="BZ89" s="108">
        <f>AP89*$BK89*VLOOKUP($D89,'Land Price Phase Sc1&amp;2'!$B$119:$AU$165,9+BZ$7-$BL$7,0)/1000000</f>
        <v>4.7033506266670546</v>
      </c>
      <c r="CA89" s="108">
        <f>AQ89*$BK89*VLOOKUP($D89,'Land Price Phase Sc1&amp;2'!$B$119:$AU$165,9+CA$7-$BL$7,0)/1000000</f>
        <v>5.0372885211604155</v>
      </c>
      <c r="CB89" s="108">
        <f>AR89*$BK89*VLOOKUP($D89,'Land Price Phase Sc1&amp;2'!$B$119:$AU$165,9+CB$7-$BL$7,0)/1000000</f>
        <v>5.394936006162804</v>
      </c>
      <c r="CC89" s="108">
        <f>AS89*$BK89*VLOOKUP($D89,'Land Price Phase Sc1&amp;2'!$B$119:$AU$165,9+CC$7-$BL$7,0)/1000000</f>
        <v>0</v>
      </c>
      <c r="CD89" s="108">
        <f>AT89*$BK89*VLOOKUP($D89,'Land Price Phase Sc1&amp;2'!$B$119:$AU$165,9+CD$7-$BL$7,0)/1000000</f>
        <v>0</v>
      </c>
      <c r="CE89" s="108">
        <f>AU89*$BK89*VLOOKUP($D89,'Land Price Phase Sc1&amp;2'!$B$119:$AU$165,9+CE$7-$BL$7,0)/1000000</f>
        <v>0</v>
      </c>
      <c r="CF89" s="108">
        <f>AV89*$BK89*VLOOKUP($D89,'Land Price Phase Sc1&amp;2'!$B$119:$AU$165,9+CF$7-$BL$7,0)/1000000</f>
        <v>0</v>
      </c>
      <c r="CG89" s="108">
        <f>AW89*$BK89*VLOOKUP($D89,'Land Price Phase Sc1&amp;2'!$B$119:$AU$165,9+CG$7-$BL$7,0)/1000000</f>
        <v>0</v>
      </c>
      <c r="CH89" s="108">
        <f>AX89*$BK89*VLOOKUP($D89,'Land Price Phase Sc1&amp;2'!$B$119:$AU$165,9+CH$7-$BL$7,0)/1000000</f>
        <v>0</v>
      </c>
      <c r="CI89" s="108">
        <f>AY89*$BK89*VLOOKUP($D89,'Land Price Phase Sc1&amp;2'!$B$119:$AU$165,9+CI$7-$BL$7,0)/1000000</f>
        <v>0</v>
      </c>
      <c r="CJ89" s="108">
        <f>AZ89*$BK89*VLOOKUP($D89,'Land Price Phase Sc1&amp;2'!$B$119:$AU$165,9+CJ$7-$BL$7,0)/1000000</f>
        <v>0</v>
      </c>
      <c r="CK89" s="108">
        <f>BA89*$BK89*VLOOKUP($D89,'Land Price Phase Sc1&amp;2'!$B$119:$AU$165,9+CK$7-$BL$7,0)/1000000</f>
        <v>0</v>
      </c>
      <c r="CL89" s="108">
        <f>BB89*$BK89*VLOOKUP($D89,'Land Price Phase Sc1&amp;2'!$B$119:$AU$165,9+CL$7-$BL$7,0)/1000000</f>
        <v>0</v>
      </c>
      <c r="CM89" s="108">
        <f>BC89*$BK89*VLOOKUP($D89,'Land Price Phase Sc1&amp;2'!$B$119:$AU$165,9+CM$7-$BL$7,0)/1000000</f>
        <v>0</v>
      </c>
      <c r="CN89" s="108">
        <f>BD89*$BK89*VLOOKUP($D89,'Land Price Phase Sc1&amp;2'!$B$119:$AU$165,9+CN$7-$BL$7,0)/1000000</f>
        <v>0</v>
      </c>
      <c r="CO89" s="108">
        <f>BE89*$BK89*VLOOKUP($D89,'Land Price Phase Sc1&amp;2'!$B$119:$AU$165,9+CO$7-$BL$7,0)/1000000</f>
        <v>0</v>
      </c>
      <c r="CP89" s="108">
        <f>BF89*$BK89*VLOOKUP($D89,'Land Price Phase Sc1&amp;2'!$B$119:$AU$165,9+CP$7-$BL$7,0)/1000000</f>
        <v>0</v>
      </c>
      <c r="CQ89" s="108">
        <f>BG89*$BK89*VLOOKUP($D89,'Land Price Phase Sc1&amp;2'!$B$119:$AU$165,9+CQ$7-$BL$7,0)/1000000</f>
        <v>0</v>
      </c>
      <c r="CR89" s="108">
        <f t="shared" si="186"/>
        <v>23.916433276225437</v>
      </c>
      <c r="CS89" s="19"/>
      <c r="CT89" s="19"/>
      <c r="CU89" s="19"/>
      <c r="CV89" s="19"/>
      <c r="CW89" s="18"/>
      <c r="CX89" s="18"/>
      <c r="CY89" s="18"/>
      <c r="CZ89" s="18"/>
      <c r="DA89" s="20"/>
      <c r="DB89" s="20"/>
      <c r="DC89" s="20"/>
      <c r="DK89" s="10"/>
      <c r="DL89" s="10"/>
      <c r="DM89" s="10"/>
      <c r="DN89" s="10"/>
      <c r="DO89" s="10"/>
      <c r="DP89" s="10"/>
      <c r="DQ89" s="10"/>
      <c r="DR89" s="10"/>
      <c r="DS89" s="10"/>
      <c r="DT89" s="10"/>
      <c r="EB89" s="84"/>
      <c r="EC89" s="84"/>
    </row>
    <row r="90" spans="1:133" x14ac:dyDescent="0.3">
      <c r="A90" s="104" t="s">
        <v>40</v>
      </c>
      <c r="B90" s="104" t="s">
        <v>197</v>
      </c>
      <c r="C90" s="104"/>
      <c r="D90" s="104" t="str">
        <f>D89</f>
        <v>Paerata South</v>
      </c>
      <c r="E90" s="104"/>
      <c r="F90" s="105"/>
      <c r="G90" s="105">
        <v>1</v>
      </c>
      <c r="H90" s="105"/>
      <c r="I90" s="105"/>
      <c r="J90" s="105"/>
      <c r="K90" s="105">
        <f>G90</f>
        <v>1</v>
      </c>
      <c r="L90" s="105"/>
      <c r="M90" s="105"/>
      <c r="N90" s="105"/>
      <c r="O90" s="104">
        <f>VLOOKUP($D90,'Land Price Phase Sc1&amp;2'!$B$4:$F$50,3,0)</f>
        <v>2026</v>
      </c>
      <c r="P90" s="104">
        <f>VLOOKUP($D90,'Land Price Phase Sc1&amp;2'!$B$4:$F$50,4,0)</f>
        <v>2030</v>
      </c>
      <c r="Q90" s="104">
        <f>VLOOKUP($D90,'Land Price Phase Sc1&amp;2'!$B$4:$F$50,5,0)</f>
        <v>2034</v>
      </c>
      <c r="R90" s="106">
        <f t="shared" si="188"/>
        <v>1</v>
      </c>
      <c r="S90" s="107"/>
      <c r="T90" s="107">
        <f>'Park spec inputs'!H$21</f>
        <v>0.58823529411764708</v>
      </c>
      <c r="U90" s="107">
        <f>'Park spec inputs'!I$21</f>
        <v>0.29411764705882354</v>
      </c>
      <c r="V90" s="107">
        <f>'Park spec inputs'!J$21</f>
        <v>0.11764705882352942</v>
      </c>
      <c r="W90" s="107">
        <f t="shared" si="138"/>
        <v>0.711860292938581</v>
      </c>
      <c r="X90" s="107">
        <f t="shared" si="117"/>
        <v>53.481741858551679</v>
      </c>
      <c r="Y90" s="107">
        <f t="shared" si="118"/>
        <v>39.827095742386597</v>
      </c>
      <c r="Z90" s="104">
        <v>26</v>
      </c>
      <c r="AA90" s="108">
        <f t="shared" si="155"/>
        <v>3.9307901353269692</v>
      </c>
      <c r="AB90" s="110">
        <f>AB83</f>
        <v>7.2277777590649045E-2</v>
      </c>
      <c r="AC90" s="110">
        <f t="shared" ref="AC90:BG90" si="200">AC83</f>
        <v>3.7144039148275132E-2</v>
      </c>
      <c r="AD90" s="110">
        <f t="shared" si="200"/>
        <v>4.693886925000864E-2</v>
      </c>
      <c r="AE90" s="110">
        <f t="shared" si="200"/>
        <v>1.9207251627271639E-2</v>
      </c>
      <c r="AF90" s="110">
        <f t="shared" si="200"/>
        <v>3.0671470308457977E-2</v>
      </c>
      <c r="AG90" s="110">
        <f t="shared" si="200"/>
        <v>7.0574517253221988E-2</v>
      </c>
      <c r="AH90" s="110">
        <f t="shared" si="200"/>
        <v>5.784797696261839E-2</v>
      </c>
      <c r="AI90" s="110">
        <f t="shared" si="200"/>
        <v>6.2267232328672428E-2</v>
      </c>
      <c r="AJ90" s="110">
        <f t="shared" si="200"/>
        <v>4.8241630734504208E-2</v>
      </c>
      <c r="AK90" s="110">
        <f t="shared" si="200"/>
        <v>1.4129803340614668E-2</v>
      </c>
      <c r="AL90" s="110">
        <f t="shared" si="200"/>
        <v>0.10472734996525389</v>
      </c>
      <c r="AM90" s="110">
        <f t="shared" si="200"/>
        <v>0.10601471966704468</v>
      </c>
      <c r="AN90" s="110">
        <f t="shared" si="200"/>
        <v>0.10750477164694536</v>
      </c>
      <c r="AO90" s="110">
        <f t="shared" si="200"/>
        <v>0.10314837920794254</v>
      </c>
      <c r="AP90" s="110">
        <f t="shared" si="200"/>
        <v>4.8886873976350477E-2</v>
      </c>
      <c r="AQ90" s="110">
        <f t="shared" si="200"/>
        <v>5.2554477979523215E-2</v>
      </c>
      <c r="AR90" s="110">
        <f t="shared" si="200"/>
        <v>1.7862859012645727E-2</v>
      </c>
      <c r="AS90" s="110">
        <f t="shared" si="200"/>
        <v>0</v>
      </c>
      <c r="AT90" s="110">
        <f t="shared" si="200"/>
        <v>0</v>
      </c>
      <c r="AU90" s="110">
        <f t="shared" si="200"/>
        <v>0</v>
      </c>
      <c r="AV90" s="110">
        <f t="shared" si="200"/>
        <v>0</v>
      </c>
      <c r="AW90" s="110">
        <f t="shared" si="200"/>
        <v>0</v>
      </c>
      <c r="AX90" s="110">
        <f t="shared" si="200"/>
        <v>0</v>
      </c>
      <c r="AY90" s="110">
        <f t="shared" si="200"/>
        <v>0</v>
      </c>
      <c r="AZ90" s="110">
        <f t="shared" si="200"/>
        <v>0</v>
      </c>
      <c r="BA90" s="110">
        <f t="shared" si="200"/>
        <v>0</v>
      </c>
      <c r="BB90" s="110">
        <f>BB83</f>
        <v>0</v>
      </c>
      <c r="BC90" s="110">
        <f t="shared" si="200"/>
        <v>0</v>
      </c>
      <c r="BD90" s="110">
        <f t="shared" si="200"/>
        <v>0</v>
      </c>
      <c r="BE90" s="110">
        <f t="shared" si="200"/>
        <v>0</v>
      </c>
      <c r="BF90" s="110">
        <f t="shared" si="200"/>
        <v>0</v>
      </c>
      <c r="BG90" s="110">
        <f t="shared" si="200"/>
        <v>0</v>
      </c>
      <c r="BH90" s="109">
        <f t="shared" si="170"/>
        <v>0.45930056854429413</v>
      </c>
      <c r="BI90" s="109">
        <f t="shared" si="171"/>
        <v>0.54069943145570587</v>
      </c>
      <c r="BJ90" s="109"/>
      <c r="BK90" s="104">
        <f t="shared" si="199"/>
        <v>30000</v>
      </c>
      <c r="BL90" s="108">
        <f>AB90*$BK90*VLOOKUP($D90,'Land Price Phase Sc1&amp;2'!$B$119:$AU$165,9+BL$7-$BL$7,0)/1000000</f>
        <v>0.21175943278508358</v>
      </c>
      <c r="BM90" s="108">
        <f>AC90*$BK90*VLOOKUP($D90,'Land Price Phase Sc1&amp;2'!$B$119:$AU$165,9+BM$7-$BL$7,0)/1000000</f>
        <v>0.15934213347599319</v>
      </c>
      <c r="BN90" s="108">
        <f>AD90*$BK90*VLOOKUP($D90,'Land Price Phase Sc1&amp;2'!$B$119:$AU$165,9+BN$7-$BL$7,0)/1000000</f>
        <v>0.21001892496354824</v>
      </c>
      <c r="BO90" s="108">
        <f>AE90*$BK90*VLOOKUP($D90,'Land Price Phase Sc1&amp;2'!$B$119:$AU$165,9+BO$7-$BL$7,0)/1000000</f>
        <v>9.2040825382258176E-2</v>
      </c>
      <c r="BP90" s="108">
        <f>AF90*$BK90*VLOOKUP($D90,'Land Price Phase Sc1&amp;2'!$B$119:$AU$165,9+BP$7-$BL$7,0)/1000000</f>
        <v>0.15741254657326037</v>
      </c>
      <c r="BQ90" s="108">
        <f>AG90*$BK90*VLOOKUP($D90,'Land Price Phase Sc1&amp;2'!$B$119:$AU$165,9+BQ$7-$BL$7,0)/1000000</f>
        <v>0.64155994879177103</v>
      </c>
      <c r="BR90" s="108">
        <f>AH90*$BK90*VLOOKUP($D90,'Land Price Phase Sc1&amp;2'!$B$119:$AU$165,9+BR$7-$BL$7,0)/1000000</f>
        <v>0.56320561287037862</v>
      </c>
      <c r="BS90" s="108">
        <f>AI90*$BK90*VLOOKUP($D90,'Land Price Phase Sc1&amp;2'!$B$119:$AU$165,9+BS$7-$BL$7,0)/1000000</f>
        <v>0.64927373098297592</v>
      </c>
      <c r="BT90" s="108">
        <f>AJ90*$BK90*VLOOKUP($D90,'Land Price Phase Sc1&amp;2'!$B$119:$AU$165,9+BT$7-$BL$7,0)/1000000</f>
        <v>0.53874061838014053</v>
      </c>
      <c r="BU90" s="108">
        <f>AK90*$BK90*VLOOKUP($D90,'Land Price Phase Sc1&amp;2'!$B$119:$AU$165,9+BU$7-$BL$7,0)/1000000</f>
        <v>0.70743636112155905</v>
      </c>
      <c r="BV90" s="108">
        <f>AL90*$BK90*VLOOKUP($D90,'Land Price Phase Sc1&amp;2'!$B$119:$AU$165,9+BV$7-$BL$7,0)/1000000</f>
        <v>5.6156605203744778</v>
      </c>
      <c r="BW90" s="108">
        <f>AM90*$BK90*VLOOKUP($D90,'Land Price Phase Sc1&amp;2'!$B$119:$AU$165,9+BW$7-$BL$7,0)/1000000</f>
        <v>6.0883045928980684</v>
      </c>
      <c r="BX90" s="108">
        <f>AN90*$BK90*VLOOKUP($D90,'Land Price Phase Sc1&amp;2'!$B$119:$AU$165,9+BX$7-$BL$7,0)/1000000</f>
        <v>6.6122218180783303</v>
      </c>
      <c r="BY90" s="108">
        <f>AO90*$BK90*VLOOKUP($D90,'Land Price Phase Sc1&amp;2'!$B$119:$AU$165,9+BY$7-$BL$7,0)/1000000</f>
        <v>6.7947198037446448</v>
      </c>
      <c r="BZ90" s="108">
        <f>AP90*$BK90*VLOOKUP($D90,'Land Price Phase Sc1&amp;2'!$B$119:$AU$165,9+BZ$7-$BL$7,0)/1000000</f>
        <v>3.4489816402869202</v>
      </c>
      <c r="CA90" s="108">
        <f>AQ90*$BK90*VLOOKUP($D90,'Land Price Phase Sc1&amp;2'!$B$119:$AU$165,9+CA$7-$BL$7,0)/1000000</f>
        <v>3.9709810299274517</v>
      </c>
      <c r="CB90" s="108">
        <f>AR90*$BK90*VLOOKUP($D90,'Land Price Phase Sc1&amp;2'!$B$119:$AU$165,9+CB$7-$BL$7,0)/1000000</f>
        <v>1.4455347189049828</v>
      </c>
      <c r="CC90" s="108">
        <f>AS90*$BK90*VLOOKUP($D90,'Land Price Phase Sc1&amp;2'!$B$119:$AU$165,9+CC$7-$BL$7,0)/1000000</f>
        <v>0</v>
      </c>
      <c r="CD90" s="108">
        <f>AT90*$BK90*VLOOKUP($D90,'Land Price Phase Sc1&amp;2'!$B$119:$AU$165,9+CD$7-$BL$7,0)/1000000</f>
        <v>0</v>
      </c>
      <c r="CE90" s="108">
        <f>AU90*$BK90*VLOOKUP($D90,'Land Price Phase Sc1&amp;2'!$B$119:$AU$165,9+CE$7-$BL$7,0)/1000000</f>
        <v>0</v>
      </c>
      <c r="CF90" s="108">
        <f>AV90*$BK90*VLOOKUP($D90,'Land Price Phase Sc1&amp;2'!$B$119:$AU$165,9+CF$7-$BL$7,0)/1000000</f>
        <v>0</v>
      </c>
      <c r="CG90" s="108">
        <f>AW90*$BK90*VLOOKUP($D90,'Land Price Phase Sc1&amp;2'!$B$119:$AU$165,9+CG$7-$BL$7,0)/1000000</f>
        <v>0</v>
      </c>
      <c r="CH90" s="108">
        <f>AX90*$BK90*VLOOKUP($D90,'Land Price Phase Sc1&amp;2'!$B$119:$AU$165,9+CH$7-$BL$7,0)/1000000</f>
        <v>0</v>
      </c>
      <c r="CI90" s="108">
        <f>AY90*$BK90*VLOOKUP($D90,'Land Price Phase Sc1&amp;2'!$B$119:$AU$165,9+CI$7-$BL$7,0)/1000000</f>
        <v>0</v>
      </c>
      <c r="CJ90" s="108">
        <f>AZ90*$BK90*VLOOKUP($D90,'Land Price Phase Sc1&amp;2'!$B$119:$AU$165,9+CJ$7-$BL$7,0)/1000000</f>
        <v>0</v>
      </c>
      <c r="CK90" s="108">
        <f>BA90*$BK90*VLOOKUP($D90,'Land Price Phase Sc1&amp;2'!$B$119:$AU$165,9+CK$7-$BL$7,0)/1000000</f>
        <v>0</v>
      </c>
      <c r="CL90" s="108">
        <f>BB90*$BK90*VLOOKUP($D90,'Land Price Phase Sc1&amp;2'!$B$119:$AU$165,9+CL$7-$BL$7,0)/1000000</f>
        <v>0</v>
      </c>
      <c r="CM90" s="108">
        <f>BC90*$BK90*VLOOKUP($D90,'Land Price Phase Sc1&amp;2'!$B$119:$AU$165,9+CM$7-$BL$7,0)/1000000</f>
        <v>0</v>
      </c>
      <c r="CN90" s="108">
        <f>BD90*$BK90*VLOOKUP($D90,'Land Price Phase Sc1&amp;2'!$B$119:$AU$165,9+CN$7-$BL$7,0)/1000000</f>
        <v>0</v>
      </c>
      <c r="CO90" s="108">
        <f>BE90*$BK90*VLOOKUP($D90,'Land Price Phase Sc1&amp;2'!$B$119:$AU$165,9+CO$7-$BL$7,0)/1000000</f>
        <v>0</v>
      </c>
      <c r="CP90" s="108">
        <f>BF90*$BK90*VLOOKUP($D90,'Land Price Phase Sc1&amp;2'!$B$119:$AU$165,9+CP$7-$BL$7,0)/1000000</f>
        <v>0</v>
      </c>
      <c r="CQ90" s="108">
        <f>BG90*$BK90*VLOOKUP($D90,'Land Price Phase Sc1&amp;2'!$B$119:$AU$165,9+CQ$7-$BL$7,0)/1000000</f>
        <v>0</v>
      </c>
      <c r="CR90" s="108">
        <f t="shared" si="186"/>
        <v>37.907194259541839</v>
      </c>
      <c r="CS90" s="19"/>
      <c r="CT90" s="19"/>
      <c r="CU90" s="19"/>
      <c r="CV90" s="19"/>
      <c r="CW90" s="18"/>
      <c r="CX90" s="18"/>
      <c r="CY90" s="18"/>
      <c r="CZ90" s="18"/>
      <c r="DA90" s="20"/>
      <c r="DB90" s="20"/>
      <c r="DC90" s="20"/>
      <c r="DK90" s="10"/>
      <c r="DL90" s="10"/>
      <c r="DM90" s="10"/>
      <c r="DN90" s="10"/>
      <c r="DO90" s="10"/>
      <c r="DP90" s="10"/>
      <c r="DQ90" s="10"/>
      <c r="DR90" s="10"/>
      <c r="DS90" s="10"/>
      <c r="DT90" s="10"/>
      <c r="EB90" s="84"/>
      <c r="EC90" s="84"/>
    </row>
    <row r="91" spans="1:133" x14ac:dyDescent="0.3">
      <c r="A91" s="104" t="s">
        <v>40</v>
      </c>
      <c r="B91" s="104" t="s">
        <v>197</v>
      </c>
      <c r="C91" s="104"/>
      <c r="D91" s="104" t="str">
        <f>'Land Price Phase Sc1&amp;2'!B42</f>
        <v>Pukekohe East, South-west</v>
      </c>
      <c r="E91" s="104" t="s">
        <v>275</v>
      </c>
      <c r="F91" s="105">
        <v>11</v>
      </c>
      <c r="G91" s="105"/>
      <c r="H91" s="105"/>
      <c r="I91" s="105"/>
      <c r="J91" s="105">
        <f>F91</f>
        <v>11</v>
      </c>
      <c r="K91" s="105"/>
      <c r="L91" s="105"/>
      <c r="M91" s="105"/>
      <c r="N91" s="105"/>
      <c r="O91" s="104">
        <f>VLOOKUP($D91,'Land Price Phase Sc1&amp;2'!$B$4:$F$50,3,0)</f>
        <v>2031</v>
      </c>
      <c r="P91" s="104">
        <f>VLOOKUP($D91,'Land Price Phase Sc1&amp;2'!$B$4:$F$50,4,0)</f>
        <v>2035</v>
      </c>
      <c r="Q91" s="104">
        <f>VLOOKUP($D91,'Land Price Phase Sc1&amp;2'!$B$4:$F$50,5,0)</f>
        <v>2039</v>
      </c>
      <c r="R91" s="106">
        <f t="shared" si="188"/>
        <v>0.99999999999999989</v>
      </c>
      <c r="S91" s="104"/>
      <c r="T91" s="107">
        <f>'Park spec inputs'!H$22</f>
        <v>0.2</v>
      </c>
      <c r="U91" s="107">
        <f>'Park spec inputs'!I$22</f>
        <v>0.3</v>
      </c>
      <c r="V91" s="107">
        <f>'Park spec inputs'!J$22</f>
        <v>0.5</v>
      </c>
      <c r="W91" s="107">
        <f t="shared" si="138"/>
        <v>0.711860292938581</v>
      </c>
      <c r="X91" s="107">
        <f t="shared" si="117"/>
        <v>53.481741858551679</v>
      </c>
      <c r="Y91" s="107">
        <f t="shared" si="118"/>
        <v>39.827095742386597</v>
      </c>
      <c r="Z91" s="104">
        <v>31</v>
      </c>
      <c r="AA91" s="108">
        <f t="shared" si="155"/>
        <v>1.4878740217331237</v>
      </c>
      <c r="AB91" s="104"/>
      <c r="AC91" s="104"/>
      <c r="AD91" s="104"/>
      <c r="AE91" s="104"/>
      <c r="AF91" s="104"/>
      <c r="AG91" s="104"/>
      <c r="AH91" s="111"/>
      <c r="AI91" s="111">
        <f>$T91/4</f>
        <v>0.05</v>
      </c>
      <c r="AJ91" s="111">
        <f>AI91</f>
        <v>0.05</v>
      </c>
      <c r="AK91" s="111">
        <f t="shared" ref="AK91" si="201">AJ91</f>
        <v>0.05</v>
      </c>
      <c r="AL91" s="111">
        <f t="shared" ref="AL91" si="202">AK91</f>
        <v>0.05</v>
      </c>
      <c r="AM91" s="111">
        <f>$U91/4</f>
        <v>7.4999999999999997E-2</v>
      </c>
      <c r="AN91" s="111">
        <f t="shared" ref="AN91" si="203">AM91</f>
        <v>7.4999999999999997E-2</v>
      </c>
      <c r="AO91" s="111">
        <f t="shared" ref="AO91" si="204">AN91</f>
        <v>7.4999999999999997E-2</v>
      </c>
      <c r="AP91" s="111">
        <f t="shared" ref="AP91:AP92" si="205">AO91</f>
        <v>7.4999999999999997E-2</v>
      </c>
      <c r="AQ91" s="111">
        <f>$V91/3</f>
        <v>0.16666666666666666</v>
      </c>
      <c r="AR91" s="111">
        <f>AQ91</f>
        <v>0.16666666666666666</v>
      </c>
      <c r="AS91" s="111">
        <f>AR91</f>
        <v>0.16666666666666666</v>
      </c>
      <c r="AT91" s="111"/>
      <c r="AU91" s="104"/>
      <c r="AV91" s="104"/>
      <c r="AW91" s="104"/>
      <c r="AX91" s="104"/>
      <c r="AY91" s="104"/>
      <c r="AZ91" s="104"/>
      <c r="BA91" s="104"/>
      <c r="BB91" s="104"/>
      <c r="BC91" s="104"/>
      <c r="BD91" s="104"/>
      <c r="BE91" s="104"/>
      <c r="BF91" s="104"/>
      <c r="BG91" s="104"/>
      <c r="BH91" s="109">
        <f t="shared" si="170"/>
        <v>0.15000000000000002</v>
      </c>
      <c r="BI91" s="109">
        <f t="shared" si="171"/>
        <v>0.85</v>
      </c>
      <c r="BJ91" s="109"/>
      <c r="BK91" s="104">
        <f t="shared" si="199"/>
        <v>44000</v>
      </c>
      <c r="BL91" s="108">
        <f>AB91*$BK91*VLOOKUP($D91,'Land Price Phase Sc1&amp;2'!$B$119:$AU$165,9+BL$7-$BL$7,0)/1000000</f>
        <v>0</v>
      </c>
      <c r="BM91" s="108">
        <f>AC91*$BK91*VLOOKUP($D91,'Land Price Phase Sc1&amp;2'!$B$119:$AU$165,9+BM$7-$BL$7,0)/1000000</f>
        <v>0</v>
      </c>
      <c r="BN91" s="108">
        <f>AD91*$BK91*VLOOKUP($D91,'Land Price Phase Sc1&amp;2'!$B$119:$AU$165,9+BN$7-$BL$7,0)/1000000</f>
        <v>0</v>
      </c>
      <c r="BO91" s="108">
        <f>AE91*$BK91*VLOOKUP($D91,'Land Price Phase Sc1&amp;2'!$B$119:$AU$165,9+BO$7-$BL$7,0)/1000000</f>
        <v>0</v>
      </c>
      <c r="BP91" s="108">
        <f>AF91*$BK91*VLOOKUP($D91,'Land Price Phase Sc1&amp;2'!$B$119:$AU$165,9+BP$7-$BL$7,0)/1000000</f>
        <v>0</v>
      </c>
      <c r="BQ91" s="108">
        <f>AG91*$BK91*VLOOKUP($D91,'Land Price Phase Sc1&amp;2'!$B$119:$AU$165,9+BQ$7-$BL$7,0)/1000000</f>
        <v>0</v>
      </c>
      <c r="BR91" s="108">
        <f>AH91*$BK91*VLOOKUP($D91,'Land Price Phase Sc1&amp;2'!$B$119:$AU$165,9+BR$7-$BL$7,0)/1000000</f>
        <v>0</v>
      </c>
      <c r="BS91" s="108">
        <f>AI91*$BK91*VLOOKUP($D91,'Land Price Phase Sc1&amp;2'!$B$119:$AU$165,9+BS$7-$BL$7,0)/1000000</f>
        <v>0.4623539668180498</v>
      </c>
      <c r="BT91" s="108">
        <f>AJ91*$BK91*VLOOKUP($D91,'Land Price Phase Sc1&amp;2'!$B$119:$AU$165,9+BT$7-$BL$7,0)/1000000</f>
        <v>0.49518109846213126</v>
      </c>
      <c r="BU91" s="108">
        <f>AK91*$BK91*VLOOKUP($D91,'Land Price Phase Sc1&amp;2'!$B$119:$AU$165,9+BU$7-$BL$7,0)/1000000</f>
        <v>0.5303389564529426</v>
      </c>
      <c r="BV91" s="108">
        <f>AL91*$BK91*VLOOKUP($D91,'Land Price Phase Sc1&amp;2'!$B$119:$AU$165,9+BV$7-$BL$7,0)/1000000</f>
        <v>0.93937307544336024</v>
      </c>
      <c r="BW91" s="108">
        <f>AM91*$BK91*VLOOKUP($D91,'Land Price Phase Sc1&amp;2'!$B$119:$AU$165,9+BW$7-$BL$7,0)/1000000</f>
        <v>1.5091028456997579</v>
      </c>
      <c r="BX91" s="108">
        <f>AN91*$BK91*VLOOKUP($D91,'Land Price Phase Sc1&amp;2'!$B$119:$AU$165,9+BX$7-$BL$7,0)/1000000</f>
        <v>1.6162491477444405</v>
      </c>
      <c r="BY91" s="108">
        <f>AO91*$BK91*VLOOKUP($D91,'Land Price Phase Sc1&amp;2'!$B$119:$AU$165,9+BY$7-$BL$7,0)/1000000</f>
        <v>1.7310028372342956</v>
      </c>
      <c r="BZ91" s="108">
        <f>AP91*$BK91*VLOOKUP($D91,'Land Price Phase Sc1&amp;2'!$B$119:$AU$165,9+BZ$7-$BL$7,0)/1000000</f>
        <v>7.7605285340006409</v>
      </c>
      <c r="CA91" s="108">
        <f>AQ91*$BK91*VLOOKUP($D91,'Land Price Phase Sc1&amp;2'!$B$119:$AU$165,9+CA$7-$BL$7,0)/1000000</f>
        <v>18.470057910921522</v>
      </c>
      <c r="CB91" s="108">
        <f>AR91*$BK91*VLOOKUP($D91,'Land Price Phase Sc1&amp;2'!$B$119:$AU$165,9+CB$7-$BL$7,0)/1000000</f>
        <v>19.781432022596949</v>
      </c>
      <c r="CC91" s="108">
        <f>AS91*$BK91*VLOOKUP($D91,'Land Price Phase Sc1&amp;2'!$B$119:$AU$165,9+CC$7-$BL$7,0)/1000000</f>
        <v>21.185913696201332</v>
      </c>
      <c r="CD91" s="108">
        <f>AT91*$BK91*VLOOKUP($D91,'Land Price Phase Sc1&amp;2'!$B$119:$AU$165,9+CD$7-$BL$7,0)/1000000</f>
        <v>0</v>
      </c>
      <c r="CE91" s="108">
        <f>AU91*$BK91*VLOOKUP($D91,'Land Price Phase Sc1&amp;2'!$B$119:$AU$165,9+CE$7-$BL$7,0)/1000000</f>
        <v>0</v>
      </c>
      <c r="CF91" s="108">
        <f>AV91*$BK91*VLOOKUP($D91,'Land Price Phase Sc1&amp;2'!$B$119:$AU$165,9+CF$7-$BL$7,0)/1000000</f>
        <v>0</v>
      </c>
      <c r="CG91" s="108">
        <f>AW91*$BK91*VLOOKUP($D91,'Land Price Phase Sc1&amp;2'!$B$119:$AU$165,9+CG$7-$BL$7,0)/1000000</f>
        <v>0</v>
      </c>
      <c r="CH91" s="108">
        <f>AX91*$BK91*VLOOKUP($D91,'Land Price Phase Sc1&amp;2'!$B$119:$AU$165,9+CH$7-$BL$7,0)/1000000</f>
        <v>0</v>
      </c>
      <c r="CI91" s="108">
        <f>AY91*$BK91*VLOOKUP($D91,'Land Price Phase Sc1&amp;2'!$B$119:$AU$165,9+CI$7-$BL$7,0)/1000000</f>
        <v>0</v>
      </c>
      <c r="CJ91" s="108">
        <f>AZ91*$BK91*VLOOKUP($D91,'Land Price Phase Sc1&amp;2'!$B$119:$AU$165,9+CJ$7-$BL$7,0)/1000000</f>
        <v>0</v>
      </c>
      <c r="CK91" s="108">
        <f>BA91*$BK91*VLOOKUP($D91,'Land Price Phase Sc1&amp;2'!$B$119:$AU$165,9+CK$7-$BL$7,0)/1000000</f>
        <v>0</v>
      </c>
      <c r="CL91" s="108">
        <f>BB91*$BK91*VLOOKUP($D91,'Land Price Phase Sc1&amp;2'!$B$119:$AU$165,9+CL$7-$BL$7,0)/1000000</f>
        <v>0</v>
      </c>
      <c r="CM91" s="108">
        <f>BC91*$BK91*VLOOKUP($D91,'Land Price Phase Sc1&amp;2'!$B$119:$AU$165,9+CM$7-$BL$7,0)/1000000</f>
        <v>0</v>
      </c>
      <c r="CN91" s="108">
        <f>BD91*$BK91*VLOOKUP($D91,'Land Price Phase Sc1&amp;2'!$B$119:$AU$165,9+CN$7-$BL$7,0)/1000000</f>
        <v>0</v>
      </c>
      <c r="CO91" s="108">
        <f>BE91*$BK91*VLOOKUP($D91,'Land Price Phase Sc1&amp;2'!$B$119:$AU$165,9+CO$7-$BL$7,0)/1000000</f>
        <v>0</v>
      </c>
      <c r="CP91" s="108">
        <f>BF91*$BK91*VLOOKUP($D91,'Land Price Phase Sc1&amp;2'!$B$119:$AU$165,9+CP$7-$BL$7,0)/1000000</f>
        <v>0</v>
      </c>
      <c r="CQ91" s="108">
        <f>BG91*$BK91*VLOOKUP($D91,'Land Price Phase Sc1&amp;2'!$B$119:$AU$165,9+CQ$7-$BL$7,0)/1000000</f>
        <v>0</v>
      </c>
      <c r="CR91" s="108">
        <f t="shared" si="186"/>
        <v>74.481534091575412</v>
      </c>
      <c r="CS91" s="19"/>
      <c r="CT91" s="19"/>
      <c r="CU91" s="19"/>
      <c r="CV91" s="19"/>
      <c r="CW91" s="18"/>
      <c r="CX91" s="18"/>
      <c r="CY91" s="18"/>
      <c r="CZ91" s="18"/>
      <c r="DA91" s="20"/>
      <c r="DB91" s="20"/>
      <c r="DC91" s="20"/>
      <c r="DK91" s="10"/>
      <c r="DL91" s="10"/>
      <c r="DM91" s="10"/>
      <c r="DN91" s="10"/>
      <c r="DO91" s="10"/>
      <c r="DP91" s="10"/>
      <c r="DQ91" s="10"/>
      <c r="DR91" s="10"/>
      <c r="DS91" s="10"/>
      <c r="DT91" s="10"/>
      <c r="EB91" s="84"/>
      <c r="EC91" s="84"/>
    </row>
    <row r="92" spans="1:133" x14ac:dyDescent="0.3">
      <c r="A92" s="104" t="s">
        <v>40</v>
      </c>
      <c r="B92" s="104" t="s">
        <v>197</v>
      </c>
      <c r="C92" s="104"/>
      <c r="D92" s="104" t="str">
        <f>D91</f>
        <v>Pukekohe East, South-west</v>
      </c>
      <c r="E92" s="104"/>
      <c r="F92" s="105"/>
      <c r="G92" s="105">
        <v>1</v>
      </c>
      <c r="H92" s="105"/>
      <c r="I92" s="105"/>
      <c r="J92" s="105"/>
      <c r="K92" s="105">
        <f>G92</f>
        <v>1</v>
      </c>
      <c r="L92" s="105"/>
      <c r="M92" s="105"/>
      <c r="N92" s="105"/>
      <c r="O92" s="104">
        <f>VLOOKUP($D92,'Land Price Phase Sc1&amp;2'!$B$4:$F$50,3,0)</f>
        <v>2031</v>
      </c>
      <c r="P92" s="104">
        <f>VLOOKUP($D92,'Land Price Phase Sc1&amp;2'!$B$4:$F$50,4,0)</f>
        <v>2035</v>
      </c>
      <c r="Q92" s="104">
        <f>VLOOKUP($D92,'Land Price Phase Sc1&amp;2'!$B$4:$F$50,5,0)</f>
        <v>2039</v>
      </c>
      <c r="R92" s="106">
        <f t="shared" si="188"/>
        <v>1</v>
      </c>
      <c r="S92" s="107">
        <f>'Park spec inputs'!C$21</f>
        <v>0.15</v>
      </c>
      <c r="T92" s="107">
        <f>'Park spec inputs'!D$21</f>
        <v>0.5</v>
      </c>
      <c r="U92" s="107">
        <f>'Park spec inputs'!E$21</f>
        <v>0.25</v>
      </c>
      <c r="V92" s="107">
        <f>'Park spec inputs'!F$21</f>
        <v>0.1</v>
      </c>
      <c r="W92" s="107">
        <f t="shared" si="138"/>
        <v>0.711860292938581</v>
      </c>
      <c r="X92" s="107">
        <f t="shared" si="117"/>
        <v>53.481741858551679</v>
      </c>
      <c r="Y92" s="107">
        <f t="shared" si="118"/>
        <v>39.827095742386597</v>
      </c>
      <c r="Z92" s="104">
        <v>28</v>
      </c>
      <c r="AA92" s="108">
        <f t="shared" si="155"/>
        <v>1.8511946636337389</v>
      </c>
      <c r="AB92" s="104"/>
      <c r="AC92" s="104"/>
      <c r="AD92" s="104"/>
      <c r="AE92" s="104"/>
      <c r="AF92" s="104"/>
      <c r="AG92" s="104"/>
      <c r="AH92" s="104">
        <f>$S92/3</f>
        <v>4.9999999999999996E-2</v>
      </c>
      <c r="AI92" s="104">
        <f>AH92</f>
        <v>4.9999999999999996E-2</v>
      </c>
      <c r="AJ92" s="104">
        <f>AI92</f>
        <v>4.9999999999999996E-2</v>
      </c>
      <c r="AK92" s="111">
        <f>$T92/4</f>
        <v>0.125</v>
      </c>
      <c r="AL92" s="111">
        <f>AK92</f>
        <v>0.125</v>
      </c>
      <c r="AM92" s="111">
        <f t="shared" ref="AM92" si="206">AL92</f>
        <v>0.125</v>
      </c>
      <c r="AN92" s="111">
        <f t="shared" ref="AN92" si="207">AM92</f>
        <v>0.125</v>
      </c>
      <c r="AO92" s="111">
        <f>$U92/4</f>
        <v>6.25E-2</v>
      </c>
      <c r="AP92" s="111">
        <f t="shared" si="205"/>
        <v>6.25E-2</v>
      </c>
      <c r="AQ92" s="111">
        <f t="shared" ref="AQ92" si="208">AP92</f>
        <v>6.25E-2</v>
      </c>
      <c r="AR92" s="111">
        <f t="shared" ref="AR92" si="209">AQ92</f>
        <v>6.25E-2</v>
      </c>
      <c r="AS92" s="111">
        <f>$V92/3</f>
        <v>3.3333333333333333E-2</v>
      </c>
      <c r="AT92" s="111">
        <f>AS92</f>
        <v>3.3333333333333333E-2</v>
      </c>
      <c r="AU92" s="111">
        <f>AT92</f>
        <v>3.3333333333333333E-2</v>
      </c>
      <c r="AV92" s="104"/>
      <c r="AW92" s="104"/>
      <c r="AX92" s="104"/>
      <c r="AY92" s="104"/>
      <c r="AZ92" s="104"/>
      <c r="BA92" s="104"/>
      <c r="BB92" s="104"/>
      <c r="BC92" s="104"/>
      <c r="BD92" s="104"/>
      <c r="BE92" s="104"/>
      <c r="BF92" s="104"/>
      <c r="BG92" s="104"/>
      <c r="BH92" s="109">
        <f t="shared" si="170"/>
        <v>0.27500000000000002</v>
      </c>
      <c r="BI92" s="109">
        <f t="shared" si="171"/>
        <v>0.72499999999999998</v>
      </c>
      <c r="BJ92" s="109"/>
      <c r="BK92" s="104">
        <f t="shared" si="199"/>
        <v>30000</v>
      </c>
      <c r="BL92" s="108">
        <f>AB92*$BK92*VLOOKUP($D92,'Land Price Phase Sc1&amp;2'!$B$119:$AU$165,9+BL$7-$BL$7,0)/1000000</f>
        <v>0</v>
      </c>
      <c r="BM92" s="108">
        <f>AC92*$BK92*VLOOKUP($D92,'Land Price Phase Sc1&amp;2'!$B$119:$AU$165,9+BM$7-$BL$7,0)/1000000</f>
        <v>0</v>
      </c>
      <c r="BN92" s="108">
        <f>AD92*$BK92*VLOOKUP($D92,'Land Price Phase Sc1&amp;2'!$B$119:$AU$165,9+BN$7-$BL$7,0)/1000000</f>
        <v>0</v>
      </c>
      <c r="BO92" s="108">
        <f>AE92*$BK92*VLOOKUP($D92,'Land Price Phase Sc1&amp;2'!$B$119:$AU$165,9+BO$7-$BL$7,0)/1000000</f>
        <v>0</v>
      </c>
      <c r="BP92" s="108">
        <f>AF92*$BK92*VLOOKUP($D92,'Land Price Phase Sc1&amp;2'!$B$119:$AU$165,9+BP$7-$BL$7,0)/1000000</f>
        <v>0</v>
      </c>
      <c r="BQ92" s="108">
        <f>AG92*$BK92*VLOOKUP($D92,'Land Price Phase Sc1&amp;2'!$B$119:$AU$165,9+BQ$7-$BL$7,0)/1000000</f>
        <v>0</v>
      </c>
      <c r="BR92" s="108">
        <f>AH92*$BK92*VLOOKUP($D92,'Land Price Phase Sc1&amp;2'!$B$119:$AU$165,9+BR$7-$BL$7,0)/1000000</f>
        <v>0.29434298880700893</v>
      </c>
      <c r="BS92" s="108">
        <f>AI92*$BK92*VLOOKUP($D92,'Land Price Phase Sc1&amp;2'!$B$119:$AU$165,9+BS$7-$BL$7,0)/1000000</f>
        <v>0.31524134101230661</v>
      </c>
      <c r="BT92" s="108">
        <f>AJ92*$BK92*VLOOKUP($D92,'Land Price Phase Sc1&amp;2'!$B$119:$AU$165,9+BT$7-$BL$7,0)/1000000</f>
        <v>0.33762347622418037</v>
      </c>
      <c r="BU92" s="108">
        <f>AK92*$BK92*VLOOKUP($D92,'Land Price Phase Sc1&amp;2'!$B$119:$AU$165,9+BU$7-$BL$7,0)/1000000</f>
        <v>0.903986857590243</v>
      </c>
      <c r="BV92" s="108">
        <f>AL92*$BK92*VLOOKUP($D92,'Land Price Phase Sc1&amp;2'!$B$119:$AU$165,9+BV$7-$BL$7,0)/1000000</f>
        <v>1.601204105869364</v>
      </c>
      <c r="BW92" s="108">
        <f>AM92*$BK92*VLOOKUP($D92,'Land Price Phase Sc1&amp;2'!$B$119:$AU$165,9+BW$7-$BL$7,0)/1000000</f>
        <v>1.7148895973860887</v>
      </c>
      <c r="BX92" s="108">
        <f>AN92*$BK92*VLOOKUP($D92,'Land Price Phase Sc1&amp;2'!$B$119:$AU$165,9+BX$7-$BL$7,0)/1000000</f>
        <v>1.8366467588005004</v>
      </c>
      <c r="BY92" s="108">
        <f>AO92*$BK92*VLOOKUP($D92,'Land Price Phase Sc1&amp;2'!$B$119:$AU$165,9+BY$7-$BL$7,0)/1000000</f>
        <v>0.98352433933766803</v>
      </c>
      <c r="BZ92" s="108">
        <f>AP92*$BK92*VLOOKUP($D92,'Land Price Phase Sc1&amp;2'!$B$119:$AU$165,9+BZ$7-$BL$7,0)/1000000</f>
        <v>4.4093912125003634</v>
      </c>
      <c r="CA92" s="108">
        <f>AQ92*$BK92*VLOOKUP($D92,'Land Price Phase Sc1&amp;2'!$B$119:$AU$165,9+CA$7-$BL$7,0)/1000000</f>
        <v>4.7224579885878892</v>
      </c>
      <c r="CB92" s="108">
        <f>AR92*$BK92*VLOOKUP($D92,'Land Price Phase Sc1&amp;2'!$B$119:$AU$165,9+CB$7-$BL$7,0)/1000000</f>
        <v>5.0577525057776294</v>
      </c>
      <c r="CC92" s="108">
        <f>AS92*$BK92*VLOOKUP($D92,'Land Price Phase Sc1&amp;2'!$B$119:$AU$165,9+CC$7-$BL$7,0)/1000000</f>
        <v>2.8889882313001816</v>
      </c>
      <c r="CD92" s="108">
        <f>AT92*$BK92*VLOOKUP($D92,'Land Price Phase Sc1&amp;2'!$B$119:$AU$165,9+CD$7-$BL$7,0)/1000000</f>
        <v>3.0941063957224939</v>
      </c>
      <c r="CE92" s="108">
        <f>AU92*$BK92*VLOOKUP($D92,'Land Price Phase Sc1&amp;2'!$B$119:$AU$165,9+CE$7-$BL$7,0)/1000000</f>
        <v>3.3137879498187912</v>
      </c>
      <c r="CF92" s="108">
        <f>AV92*$BK92*VLOOKUP($D92,'Land Price Phase Sc1&amp;2'!$B$119:$AU$165,9+CF$7-$BL$7,0)/1000000</f>
        <v>0</v>
      </c>
      <c r="CG92" s="108">
        <f>AW92*$BK92*VLOOKUP($D92,'Land Price Phase Sc1&amp;2'!$B$119:$AU$165,9+CG$7-$BL$7,0)/1000000</f>
        <v>0</v>
      </c>
      <c r="CH92" s="108">
        <f>AX92*$BK92*VLOOKUP($D92,'Land Price Phase Sc1&amp;2'!$B$119:$AU$165,9+CH$7-$BL$7,0)/1000000</f>
        <v>0</v>
      </c>
      <c r="CI92" s="108">
        <f>AY92*$BK92*VLOOKUP($D92,'Land Price Phase Sc1&amp;2'!$B$119:$AU$165,9+CI$7-$BL$7,0)/1000000</f>
        <v>0</v>
      </c>
      <c r="CJ92" s="108">
        <f>AZ92*$BK92*VLOOKUP($D92,'Land Price Phase Sc1&amp;2'!$B$119:$AU$165,9+CJ$7-$BL$7,0)/1000000</f>
        <v>0</v>
      </c>
      <c r="CK92" s="108">
        <f>BA92*$BK92*VLOOKUP($D92,'Land Price Phase Sc1&amp;2'!$B$119:$AU$165,9+CK$7-$BL$7,0)/1000000</f>
        <v>0</v>
      </c>
      <c r="CL92" s="108">
        <f>BB92*$BK92*VLOOKUP($D92,'Land Price Phase Sc1&amp;2'!$B$119:$AU$165,9+CL$7-$BL$7,0)/1000000</f>
        <v>0</v>
      </c>
      <c r="CM92" s="108">
        <f>BC92*$BK92*VLOOKUP($D92,'Land Price Phase Sc1&amp;2'!$B$119:$AU$165,9+CM$7-$BL$7,0)/1000000</f>
        <v>0</v>
      </c>
      <c r="CN92" s="108">
        <f>BD92*$BK92*VLOOKUP($D92,'Land Price Phase Sc1&amp;2'!$B$119:$AU$165,9+CN$7-$BL$7,0)/1000000</f>
        <v>0</v>
      </c>
      <c r="CO92" s="108">
        <f>BE92*$BK92*VLOOKUP($D92,'Land Price Phase Sc1&amp;2'!$B$119:$AU$165,9+CO$7-$BL$7,0)/1000000</f>
        <v>0</v>
      </c>
      <c r="CP92" s="108">
        <f>BF92*$BK92*VLOOKUP($D92,'Land Price Phase Sc1&amp;2'!$B$119:$AU$165,9+CP$7-$BL$7,0)/1000000</f>
        <v>0</v>
      </c>
      <c r="CQ92" s="108">
        <f>BG92*$BK92*VLOOKUP($D92,'Land Price Phase Sc1&amp;2'!$B$119:$AU$165,9+CQ$7-$BL$7,0)/1000000</f>
        <v>0</v>
      </c>
      <c r="CR92" s="108">
        <f t="shared" si="186"/>
        <v>31.473943748734712</v>
      </c>
      <c r="CS92" s="19"/>
      <c r="CT92" s="19"/>
      <c r="CU92" s="19"/>
      <c r="CV92" s="19"/>
      <c r="CW92" s="18"/>
      <c r="CX92" s="18"/>
      <c r="CY92" s="18"/>
      <c r="CZ92" s="18"/>
      <c r="DA92" s="20"/>
      <c r="DB92" s="20"/>
      <c r="DC92" s="20"/>
      <c r="DK92" s="10"/>
      <c r="DL92" s="10"/>
      <c r="DM92" s="10"/>
      <c r="DN92" s="10"/>
      <c r="DO92" s="10"/>
      <c r="DP92" s="10"/>
      <c r="DQ92" s="10"/>
      <c r="DR92" s="10"/>
      <c r="DS92" s="10"/>
      <c r="DT92" s="10"/>
      <c r="EB92" s="84"/>
      <c r="EC92" s="84"/>
    </row>
    <row r="93" spans="1:133" x14ac:dyDescent="0.3">
      <c r="A93" s="104" t="s">
        <v>40</v>
      </c>
      <c r="B93" s="104" t="s">
        <v>199</v>
      </c>
      <c r="C93" s="104"/>
      <c r="D93" s="104" t="s">
        <v>290</v>
      </c>
      <c r="E93" s="104" t="s">
        <v>289</v>
      </c>
      <c r="F93" s="105">
        <v>1</v>
      </c>
      <c r="G93" s="105"/>
      <c r="H93" s="105"/>
      <c r="I93" s="105"/>
      <c r="J93" s="105">
        <f>F93</f>
        <v>1</v>
      </c>
      <c r="K93" s="105"/>
      <c r="L93" s="105"/>
      <c r="M93" s="105"/>
      <c r="N93" s="105"/>
      <c r="O93" s="104"/>
      <c r="P93" s="104">
        <v>2022</v>
      </c>
      <c r="Q93" s="104">
        <f>P93+4</f>
        <v>2026</v>
      </c>
      <c r="R93" s="106">
        <f>SUM(AI93:BG93)</f>
        <v>1</v>
      </c>
      <c r="S93" s="104"/>
      <c r="T93" s="104"/>
      <c r="U93" s="104"/>
      <c r="V93" s="104"/>
      <c r="W93" s="107">
        <f t="shared" si="138"/>
        <v>0.21355808788157429</v>
      </c>
      <c r="X93" s="107">
        <f t="shared" si="117"/>
        <v>5.5996294908697308</v>
      </c>
      <c r="Y93" s="107">
        <f t="shared" si="118"/>
        <v>5.0676186528429916</v>
      </c>
      <c r="Z93" s="104">
        <v>25</v>
      </c>
      <c r="AA93" s="108">
        <f t="shared" si="155"/>
        <v>0</v>
      </c>
      <c r="AB93" s="104"/>
      <c r="AC93" s="104"/>
      <c r="AD93" s="104"/>
      <c r="AE93" s="104"/>
      <c r="AF93" s="104"/>
      <c r="AG93" s="104"/>
      <c r="AH93" s="104"/>
      <c r="AI93" s="108"/>
      <c r="AJ93" s="108"/>
      <c r="AK93" s="108"/>
      <c r="AL93" s="108">
        <v>0.25</v>
      </c>
      <c r="AM93" s="108">
        <f>AL93</f>
        <v>0.25</v>
      </c>
      <c r="AN93" s="108">
        <v>0.25</v>
      </c>
      <c r="AO93" s="104">
        <v>0.25</v>
      </c>
      <c r="AP93" s="104"/>
      <c r="AQ93" s="104"/>
      <c r="AR93" s="104"/>
      <c r="AS93" s="104"/>
      <c r="AT93" s="104"/>
      <c r="AU93" s="104"/>
      <c r="AV93" s="104"/>
      <c r="AW93" s="104"/>
      <c r="AX93" s="104"/>
      <c r="AY93" s="104"/>
      <c r="AZ93" s="104"/>
      <c r="BA93" s="104"/>
      <c r="BB93" s="104"/>
      <c r="BC93" s="104"/>
      <c r="BD93" s="104"/>
      <c r="BE93" s="104"/>
      <c r="BF93" s="104"/>
      <c r="BG93" s="104"/>
      <c r="BH93" s="109">
        <f t="shared" si="170"/>
        <v>0</v>
      </c>
      <c r="BI93" s="109">
        <f t="shared" si="171"/>
        <v>1</v>
      </c>
      <c r="BJ93" s="109"/>
      <c r="BK93" s="104">
        <f t="shared" ref="BK93:BK94" si="210">SUMPRODUCT(F93:I93,$F$5:$I$5)</f>
        <v>4000</v>
      </c>
      <c r="BL93" s="108">
        <f>AB93*$BK93*'Cost inputs'!$E$38*'Land Price Phase Sc1&amp;2'!J$114/1000000</f>
        <v>0</v>
      </c>
      <c r="BM93" s="108">
        <f>AC93*$BK93*'Cost inputs'!$E$38*'Land Price Phase Sc1&amp;2'!K$114/1000000</f>
        <v>0</v>
      </c>
      <c r="BN93" s="108">
        <f>AD93*$BK93*'Cost inputs'!$E$38*'Land Price Phase Sc1&amp;2'!L$114/1000000</f>
        <v>0</v>
      </c>
      <c r="BO93" s="108">
        <f>AE93*$BK93*'Cost inputs'!$E$38*'Land Price Phase Sc1&amp;2'!M$114/1000000</f>
        <v>0</v>
      </c>
      <c r="BP93" s="108">
        <f>AF93*$BK93*'Cost inputs'!$E$38*'Land Price Phase Sc1&amp;2'!N$114/1000000</f>
        <v>0</v>
      </c>
      <c r="BQ93" s="108">
        <f>AG93*$BK93*'Cost inputs'!$E$38*'Land Price Phase Sc1&amp;2'!O$114/1000000</f>
        <v>0</v>
      </c>
      <c r="BR93" s="108">
        <f>AH93*$BK93*'Cost inputs'!$E$38*'Land Price Phase Sc1&amp;2'!P$114/1000000</f>
        <v>0</v>
      </c>
      <c r="BS93" s="108">
        <f>AI93*$BK93*'Cost inputs'!$E$38*'Land Price Phase Sc1&amp;2'!Q$114/1000000</f>
        <v>0</v>
      </c>
      <c r="BT93" s="108">
        <f>AJ93*$BK93*'Cost inputs'!$E$38*'Land Price Phase Sc1&amp;2'!R$114/1000000</f>
        <v>0</v>
      </c>
      <c r="BU93" s="108">
        <f>AK93*$BK93*'Cost inputs'!$E$38*'Land Price Phase Sc1&amp;2'!S$114/1000000</f>
        <v>0</v>
      </c>
      <c r="BV93" s="108">
        <f>AL93*$BK93*'Cost inputs'!$E$38*'Land Price Phase Sc1&amp;2'!T$114/1000000</f>
        <v>1.7873906298076623</v>
      </c>
      <c r="BW93" s="108">
        <f>AM93*$BK93*'Cost inputs'!$E$38*'Land Price Phase Sc1&amp;2'!U$114/1000000</f>
        <v>1.9142953645240059</v>
      </c>
      <c r="BX93" s="108">
        <f>AN93*$BK93*'Cost inputs'!$E$38*'Land Price Phase Sc1&amp;2'!V$114/1000000</f>
        <v>2.0502103354052101</v>
      </c>
      <c r="BY93" s="108">
        <f>AO93*$BK93*'Cost inputs'!$E$38*'Land Price Phase Sc1&amp;2'!W$114/1000000</f>
        <v>2.1957752692189798</v>
      </c>
      <c r="BZ93" s="108">
        <f>AP93*$BK93*'Cost inputs'!$E$38*'Land Price Phase Sc1&amp;2'!X$114/1000000</f>
        <v>0</v>
      </c>
      <c r="CA93" s="108">
        <f>AQ93*$BK93*'Cost inputs'!$E$38*'Land Price Phase Sc1&amp;2'!Y$114/1000000</f>
        <v>0</v>
      </c>
      <c r="CB93" s="108">
        <f>AR93*$BK93*'Cost inputs'!$E$38*'Land Price Phase Sc1&amp;2'!Z$114/1000000</f>
        <v>0</v>
      </c>
      <c r="CC93" s="108">
        <f>AS93*$BK93*'Cost inputs'!$E$38*'Land Price Phase Sc1&amp;2'!AA$114/1000000</f>
        <v>0</v>
      </c>
      <c r="CD93" s="108">
        <f>AT93*$BK93*'Cost inputs'!$E$38*'Land Price Phase Sc1&amp;2'!AB$114/1000000</f>
        <v>0</v>
      </c>
      <c r="CE93" s="108">
        <f>AU93*$BK93*'Cost inputs'!$E$38*'Land Price Phase Sc1&amp;2'!AC$114/1000000</f>
        <v>0</v>
      </c>
      <c r="CF93" s="108">
        <f>AV93*$BK93*'Cost inputs'!$E$38*'Land Price Phase Sc1&amp;2'!AD$114/1000000</f>
        <v>0</v>
      </c>
      <c r="CG93" s="108">
        <f>AW93*$BK93*'Cost inputs'!$E$38*'Land Price Phase Sc1&amp;2'!AE$114/1000000</f>
        <v>0</v>
      </c>
      <c r="CH93" s="108">
        <f>AX93*$BK93*'Cost inputs'!$E$38*'Land Price Phase Sc1&amp;2'!AF$114/1000000</f>
        <v>0</v>
      </c>
      <c r="CI93" s="108">
        <f>AY93*$BK93*'Cost inputs'!$E$38*'Land Price Phase Sc1&amp;2'!AG$114/1000000</f>
        <v>0</v>
      </c>
      <c r="CJ93" s="108">
        <f>AZ93*$BK93*'Cost inputs'!$E$38*'Land Price Phase Sc1&amp;2'!AH$114/1000000</f>
        <v>0</v>
      </c>
      <c r="CK93" s="108">
        <f>BA93*$BK93*'Cost inputs'!$E$38*'Land Price Phase Sc1&amp;2'!AI$114/1000000</f>
        <v>0</v>
      </c>
      <c r="CL93" s="108">
        <f>BB93*$BK93*'Cost inputs'!$E$38*'Land Price Phase Sc1&amp;2'!AJ$114/1000000</f>
        <v>0</v>
      </c>
      <c r="CM93" s="108">
        <f>BC93*$BK93*'Cost inputs'!$E$38*'Land Price Phase Sc1&amp;2'!AK$114/1000000</f>
        <v>0</v>
      </c>
      <c r="CN93" s="108">
        <f>BD93*$BK93*'Cost inputs'!$E$38*'Land Price Phase Sc1&amp;2'!AL$114/1000000</f>
        <v>0</v>
      </c>
      <c r="CO93" s="108">
        <f>BE93*$BK93*'Cost inputs'!$E$38*'Land Price Phase Sc1&amp;2'!AM$114/1000000</f>
        <v>0</v>
      </c>
      <c r="CP93" s="108">
        <f>BF93*$BK93*'Cost inputs'!$E$38*'Land Price Phase Sc1&amp;2'!AN$114/1000000</f>
        <v>0</v>
      </c>
      <c r="CQ93" s="108">
        <f>BG93*$BK93*'Cost inputs'!$E$38*'Land Price Phase Sc1&amp;2'!AO$114/1000000</f>
        <v>0</v>
      </c>
      <c r="CR93" s="108">
        <f t="shared" si="186"/>
        <v>7.947671598955858</v>
      </c>
      <c r="CS93" s="19"/>
      <c r="CT93" s="19"/>
      <c r="CU93" s="19"/>
      <c r="CV93" s="19"/>
      <c r="CW93" s="18"/>
      <c r="CX93" s="18"/>
      <c r="CY93" s="18"/>
      <c r="CZ93" s="18"/>
      <c r="DA93" s="20"/>
      <c r="DB93" s="20"/>
      <c r="DC93" s="20"/>
      <c r="DK93" s="10"/>
      <c r="DL93" s="10"/>
      <c r="DM93" s="10"/>
      <c r="DN93" s="10"/>
      <c r="DO93" s="10"/>
      <c r="DP93" s="10"/>
      <c r="DQ93" s="10"/>
      <c r="DR93" s="10"/>
      <c r="DS93" s="10"/>
      <c r="DT93" s="10"/>
      <c r="EB93" s="84"/>
      <c r="EC93" s="84"/>
    </row>
    <row r="94" spans="1:133" x14ac:dyDescent="0.3">
      <c r="A94" s="104" t="s">
        <v>40</v>
      </c>
      <c r="B94" s="104" t="s">
        <v>199</v>
      </c>
      <c r="C94" s="104"/>
      <c r="D94" s="104" t="s">
        <v>290</v>
      </c>
      <c r="E94" s="142" t="s">
        <v>278</v>
      </c>
      <c r="F94" s="143">
        <f>5/4</f>
        <v>1.25</v>
      </c>
      <c r="G94" s="144"/>
      <c r="H94" s="144"/>
      <c r="I94" s="144"/>
      <c r="J94" s="143">
        <f t="shared" ref="J94" si="211">F94</f>
        <v>1.25</v>
      </c>
      <c r="K94" s="105"/>
      <c r="L94" s="105"/>
      <c r="M94" s="105"/>
      <c r="N94" s="105"/>
      <c r="O94" s="104"/>
      <c r="P94" s="142"/>
      <c r="Q94" s="142" t="s">
        <v>277</v>
      </c>
      <c r="R94" s="106">
        <f t="shared" ref="R94" si="212">SUM(AB94:BG94)</f>
        <v>1</v>
      </c>
      <c r="S94" s="104"/>
      <c r="T94" s="104"/>
      <c r="U94" s="104"/>
      <c r="V94" s="104"/>
      <c r="W94" s="147">
        <f t="shared" si="138"/>
        <v>0.21355808788157429</v>
      </c>
      <c r="X94" s="147">
        <f t="shared" si="117"/>
        <v>5.5996294908697308</v>
      </c>
      <c r="Y94" s="147">
        <f t="shared" si="118"/>
        <v>5.0676186528429916</v>
      </c>
      <c r="Z94" s="142">
        <v>25</v>
      </c>
      <c r="AA94" s="148">
        <f t="shared" si="155"/>
        <v>1.6514820000000001</v>
      </c>
      <c r="AB94" s="142">
        <v>0.25</v>
      </c>
      <c r="AC94" s="142">
        <v>0.1</v>
      </c>
      <c r="AD94" s="142"/>
      <c r="AE94" s="142"/>
      <c r="AF94" s="142"/>
      <c r="AG94" s="142"/>
      <c r="AH94" s="142"/>
      <c r="AI94" s="142"/>
      <c r="AJ94" s="142"/>
      <c r="AK94" s="142"/>
      <c r="AL94" s="142">
        <v>0.65</v>
      </c>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09">
        <f t="shared" si="170"/>
        <v>0.35</v>
      </c>
      <c r="BI94" s="109">
        <f t="shared" si="171"/>
        <v>0.65</v>
      </c>
      <c r="BJ94" s="109"/>
      <c r="BK94" s="142">
        <f t="shared" si="210"/>
        <v>5000</v>
      </c>
      <c r="BL94" s="148">
        <f>AB94*$BK94*'Cost inputs'!$E$38*'Land Price Phase Sc1&amp;2'!J$114/1000000</f>
        <v>1.1565000000000001</v>
      </c>
      <c r="BM94" s="148">
        <f>AC94*$BK94*'Cost inputs'!$E$38*'Land Price Phase Sc1&amp;2'!K$114/1000000</f>
        <v>0.49498199999999998</v>
      </c>
      <c r="BN94" s="148">
        <f>AD94*$BK94*'Cost inputs'!$E$38*'Land Price Phase Sc1&amp;2'!L$114/1000000</f>
        <v>0</v>
      </c>
      <c r="BO94" s="148">
        <f>AE94*$BK94*'Cost inputs'!$E$38*'Land Price Phase Sc1&amp;2'!M$114/1000000</f>
        <v>0</v>
      </c>
      <c r="BP94" s="148">
        <f>AF94*$BK94*'Cost inputs'!$E$38*'Land Price Phase Sc1&amp;2'!N$114/1000000</f>
        <v>0</v>
      </c>
      <c r="BQ94" s="148">
        <f>AG94*$BK94*'Cost inputs'!$E$38*'Land Price Phase Sc1&amp;2'!O$114/1000000</f>
        <v>0</v>
      </c>
      <c r="BR94" s="148">
        <f>AH94*$BK94*'Cost inputs'!$E$38*'Land Price Phase Sc1&amp;2'!P$114/1000000</f>
        <v>0</v>
      </c>
      <c r="BS94" s="148">
        <f>AI94*$BK94*'Cost inputs'!$E$38*'Land Price Phase Sc1&amp;2'!Q$114/1000000</f>
        <v>0</v>
      </c>
      <c r="BT94" s="148">
        <f>AJ94*$BK94*'Cost inputs'!$E$38*'Land Price Phase Sc1&amp;2'!R$114/1000000</f>
        <v>0</v>
      </c>
      <c r="BU94" s="148">
        <f>AK94*$BK94*'Cost inputs'!$E$38*'Land Price Phase Sc1&amp;2'!S$114/1000000</f>
        <v>0</v>
      </c>
      <c r="BV94" s="148">
        <f>AL94*$BK94*'Cost inputs'!$E$38*'Land Price Phase Sc1&amp;2'!T$114/1000000</f>
        <v>5.809019546874902</v>
      </c>
      <c r="BW94" s="148">
        <f>AM94*$BK94*'Cost inputs'!$E$38*'Land Price Phase Sc1&amp;2'!U$114/1000000</f>
        <v>0</v>
      </c>
      <c r="BX94" s="148">
        <f>AN94*$BK94*'Cost inputs'!$E$38*'Land Price Phase Sc1&amp;2'!V$114/1000000</f>
        <v>0</v>
      </c>
      <c r="BY94" s="148">
        <f>AO94*$BK94*'Cost inputs'!$E$38*'Land Price Phase Sc1&amp;2'!W$114/1000000</f>
        <v>0</v>
      </c>
      <c r="BZ94" s="148">
        <f>AP94*$BK94*'Cost inputs'!$E$38*'Land Price Phase Sc1&amp;2'!X$114/1000000</f>
        <v>0</v>
      </c>
      <c r="CA94" s="148">
        <f>AQ94*$BK94*'Cost inputs'!$E$38*'Land Price Phase Sc1&amp;2'!Y$114/1000000</f>
        <v>0</v>
      </c>
      <c r="CB94" s="148">
        <f>AR94*$BK94*'Cost inputs'!$E$38*'Land Price Phase Sc1&amp;2'!Z$114/1000000</f>
        <v>0</v>
      </c>
      <c r="CC94" s="148">
        <f>AS94*$BK94*'Cost inputs'!$E$38*'Land Price Phase Sc1&amp;2'!AA$114/1000000</f>
        <v>0</v>
      </c>
      <c r="CD94" s="148">
        <f>AT94*$BK94*'Cost inputs'!$E$38*'Land Price Phase Sc1&amp;2'!AB$114/1000000</f>
        <v>0</v>
      </c>
      <c r="CE94" s="148">
        <f>AU94*$BK94*'Cost inputs'!$E$38*'Land Price Phase Sc1&amp;2'!AC$114/1000000</f>
        <v>0</v>
      </c>
      <c r="CF94" s="148">
        <f>AV94*$BK94*'Cost inputs'!$E$38*'Land Price Phase Sc1&amp;2'!AD$114/1000000</f>
        <v>0</v>
      </c>
      <c r="CG94" s="148">
        <f>AW94*$BK94*'Cost inputs'!$E$38*'Land Price Phase Sc1&amp;2'!AE$114/1000000</f>
        <v>0</v>
      </c>
      <c r="CH94" s="148">
        <f>AX94*$BK94*'Cost inputs'!$E$38*'Land Price Phase Sc1&amp;2'!AF$114/1000000</f>
        <v>0</v>
      </c>
      <c r="CI94" s="148">
        <f>AY94*$BK94*'Cost inputs'!$E$38*'Land Price Phase Sc1&amp;2'!AG$114/1000000</f>
        <v>0</v>
      </c>
      <c r="CJ94" s="148">
        <f>AZ94*$BK94*'Cost inputs'!$E$38*'Land Price Phase Sc1&amp;2'!AH$114/1000000</f>
        <v>0</v>
      </c>
      <c r="CK94" s="148">
        <f>BA94*$BK94*'Cost inputs'!$E$38*'Land Price Phase Sc1&amp;2'!AI$114/1000000</f>
        <v>0</v>
      </c>
      <c r="CL94" s="148">
        <f>BB94*$BK94*'Cost inputs'!$E$38*'Land Price Phase Sc1&amp;2'!AJ$114/1000000</f>
        <v>0</v>
      </c>
      <c r="CM94" s="148">
        <f>BC94*$BK94*'Cost inputs'!$E$38*'Land Price Phase Sc1&amp;2'!AK$114/1000000</f>
        <v>0</v>
      </c>
      <c r="CN94" s="148">
        <f>BD94*$BK94*'Cost inputs'!$E$38*'Land Price Phase Sc1&amp;2'!AL$114/1000000</f>
        <v>0</v>
      </c>
      <c r="CO94" s="148">
        <f>BE94*$BK94*'Cost inputs'!$E$38*'Land Price Phase Sc1&amp;2'!AM$114/1000000</f>
        <v>0</v>
      </c>
      <c r="CP94" s="148">
        <f>BF94*$BK94*'Cost inputs'!$E$38*'Land Price Phase Sc1&amp;2'!AN$114/1000000</f>
        <v>0</v>
      </c>
      <c r="CQ94" s="148">
        <f>BG94*$BK94*'Cost inputs'!$E$38*'Land Price Phase Sc1&amp;2'!AO$114/1000000</f>
        <v>0</v>
      </c>
      <c r="CR94" s="148">
        <f t="shared" si="186"/>
        <v>7.4605015468749016</v>
      </c>
      <c r="CS94" s="19"/>
      <c r="CT94" s="19"/>
      <c r="CU94" s="19"/>
      <c r="CV94" s="19"/>
      <c r="CW94" s="18"/>
      <c r="CX94" s="18"/>
      <c r="CY94" s="18"/>
      <c r="CZ94" s="18"/>
      <c r="DA94" s="20"/>
      <c r="DB94" s="20"/>
      <c r="DC94" s="20"/>
      <c r="DK94" s="10"/>
      <c r="DL94" s="10"/>
      <c r="DM94" s="10"/>
      <c r="DN94" s="10"/>
      <c r="DO94" s="10"/>
      <c r="DP94" s="10"/>
      <c r="DQ94" s="10"/>
      <c r="DR94" s="10"/>
      <c r="DS94" s="10"/>
      <c r="DT94" s="10"/>
      <c r="EB94" s="84"/>
      <c r="EC94" s="84"/>
    </row>
    <row r="95" spans="1:133" x14ac:dyDescent="0.3">
      <c r="A95" s="104" t="str">
        <f>'Cost inputs'!A39</f>
        <v>Glenbrook, Clarks Beach</v>
      </c>
      <c r="B95" s="104" t="s">
        <v>199</v>
      </c>
      <c r="C95" s="104"/>
      <c r="D95" s="104" t="s">
        <v>279</v>
      </c>
      <c r="E95" s="142" t="s">
        <v>291</v>
      </c>
      <c r="F95" s="143">
        <f>3400/4000</f>
        <v>0.85</v>
      </c>
      <c r="G95" s="144"/>
      <c r="H95" s="144"/>
      <c r="I95" s="144"/>
      <c r="J95" s="143">
        <f t="shared" ref="J95:J98" si="213">F95</f>
        <v>0.85</v>
      </c>
      <c r="K95" s="105"/>
      <c r="L95" s="105"/>
      <c r="M95" s="105"/>
      <c r="N95" s="105"/>
      <c r="O95" s="104">
        <v>2022</v>
      </c>
      <c r="P95" s="104">
        <v>2026</v>
      </c>
      <c r="Q95" s="104">
        <f>P95+4</f>
        <v>2030</v>
      </c>
      <c r="R95" s="106">
        <f>SUM(AB95:BG95)</f>
        <v>1</v>
      </c>
      <c r="S95" s="104"/>
      <c r="T95" s="104"/>
      <c r="U95" s="116">
        <f>'Park spec inputs'!L$22</f>
        <v>0.37499999999999994</v>
      </c>
      <c r="V95" s="116">
        <f>'Park spec inputs'!M$22</f>
        <v>0.625</v>
      </c>
      <c r="W95" s="107">
        <f t="shared" si="138"/>
        <v>0.21355808788157429</v>
      </c>
      <c r="X95" s="107">
        <f t="shared" si="117"/>
        <v>5.5996294908697308</v>
      </c>
      <c r="Y95" s="107">
        <f t="shared" si="118"/>
        <v>5.0676186528429916</v>
      </c>
      <c r="Z95" s="104">
        <v>26</v>
      </c>
      <c r="AA95" s="108">
        <f t="shared" si="155"/>
        <v>0.85721464380466728</v>
      </c>
      <c r="AB95" s="104"/>
      <c r="AC95" s="104"/>
      <c r="AD95" s="104"/>
      <c r="AE95" s="104"/>
      <c r="AF95" s="104"/>
      <c r="AG95" s="104"/>
      <c r="AH95" s="104"/>
      <c r="AI95" s="104"/>
      <c r="AJ95" s="104">
        <f>$U95/4</f>
        <v>9.3749999999999986E-2</v>
      </c>
      <c r="AK95" s="104">
        <f>AJ95</f>
        <v>9.3749999999999986E-2</v>
      </c>
      <c r="AL95" s="104">
        <f>AK95</f>
        <v>9.3749999999999986E-2</v>
      </c>
      <c r="AM95" s="104">
        <f>AL95</f>
        <v>9.3749999999999986E-2</v>
      </c>
      <c r="AN95" s="104">
        <f>$V$95/3</f>
        <v>0.20833333333333334</v>
      </c>
      <c r="AO95" s="104">
        <f>AN95</f>
        <v>0.20833333333333334</v>
      </c>
      <c r="AP95" s="104">
        <f>AO95</f>
        <v>0.20833333333333334</v>
      </c>
      <c r="AQ95" s="104"/>
      <c r="AR95" s="104"/>
      <c r="AS95" s="104"/>
      <c r="AT95" s="104"/>
      <c r="AU95" s="104"/>
      <c r="AV95" s="104"/>
      <c r="AW95" s="104"/>
      <c r="AX95" s="104"/>
      <c r="AY95" s="104"/>
      <c r="AZ95" s="104"/>
      <c r="BA95" s="104"/>
      <c r="BB95" s="104"/>
      <c r="BC95" s="104"/>
      <c r="BD95" s="104"/>
      <c r="BE95" s="104"/>
      <c r="BF95" s="104"/>
      <c r="BG95" s="104"/>
      <c r="BH95" s="109">
        <f t="shared" si="170"/>
        <v>0.18749999999999997</v>
      </c>
      <c r="BI95" s="109">
        <f t="shared" si="171"/>
        <v>0.8125</v>
      </c>
      <c r="BJ95" s="109"/>
      <c r="BK95" s="104">
        <f t="shared" ref="BK95:BK96" si="214">SUMPRODUCT(F95:I95,$F$5:$I$5)</f>
        <v>3400</v>
      </c>
      <c r="BL95" s="108">
        <f>AB95*$BK95*'Cost inputs'!$D$39*'Land Price Phase Sc1&amp;2'!J$114/1000000</f>
        <v>0</v>
      </c>
      <c r="BM95" s="108">
        <f>AC95*$BK95*'Cost inputs'!$D$39*'Land Price Phase Sc1&amp;2'!K$114/1000000</f>
        <v>0</v>
      </c>
      <c r="BN95" s="108">
        <f>AD95*$BK95*'Cost inputs'!$D$39*'Land Price Phase Sc1&amp;2'!L$114/1000000</f>
        <v>0</v>
      </c>
      <c r="BO95" s="108">
        <f>AE95*$BK95*'Cost inputs'!$D$39*'Land Price Phase Sc1&amp;2'!M$114/1000000</f>
        <v>0</v>
      </c>
      <c r="BP95" s="108">
        <f>AF95*$BK95*'Cost inputs'!$D$39*'Land Price Phase Sc1&amp;2'!N$114/1000000</f>
        <v>0</v>
      </c>
      <c r="BQ95" s="108">
        <f>AG95*$BK95*'Cost inputs'!$E$39*'Land Price Phase Sc1&amp;2'!O$114/1000000</f>
        <v>0</v>
      </c>
      <c r="BR95" s="108">
        <f>AH95*$BK95*'Cost inputs'!$E$39*'Land Price Phase Sc1&amp;2'!P$114/1000000</f>
        <v>0</v>
      </c>
      <c r="BS95" s="108">
        <f>AI95*$BK95*'Cost inputs'!$E$39*'Land Price Phase Sc1&amp;2'!Q$114/1000000</f>
        <v>0</v>
      </c>
      <c r="BT95" s="108">
        <f>AJ95*$BK95*'Cost inputs'!$E$39*'Land Price Phase Sc1&amp;2'!R$114/1000000</f>
        <v>0.41391339633252883</v>
      </c>
      <c r="BU95" s="108">
        <f>AK95*$BK95*'Cost inputs'!$E$39*'Land Price Phase Sc1&amp;2'!S$114/1000000</f>
        <v>0.44330124747213839</v>
      </c>
      <c r="BV95" s="108">
        <f>AL95*$BK95*'Cost inputs'!$E$39*'Land Price Phase Sc1&amp;2'!T$114/1000000</f>
        <v>0.47477563604266021</v>
      </c>
      <c r="BW95" s="108">
        <f>AM95*$BK95*'Cost inputs'!$E$39*'Land Price Phase Sc1&amp;2'!U$114/1000000</f>
        <v>0.50848470620168906</v>
      </c>
      <c r="BX95" s="108">
        <f>AN95*$BK95*'Cost inputs'!$E$39*'Land Price Phase Sc1&amp;2'!V$114/1000000</f>
        <v>1.2101936007600198</v>
      </c>
      <c r="BY95" s="108">
        <f>AO95*$BK95*'Cost inputs'!$E$39*'Land Price Phase Sc1&amp;2'!W$114/1000000</f>
        <v>1.2961173464139812</v>
      </c>
      <c r="BZ95" s="108">
        <f>AP95*$BK95*'Cost inputs'!$E$39*'Land Price Phase Sc1&amp;2'!X$114/1000000</f>
        <v>1.3881416780093738</v>
      </c>
      <c r="CA95" s="108">
        <f>AQ95*$BK95*'Cost inputs'!$E$39*'Land Price Phase Sc1&amp;2'!Y$114/1000000</f>
        <v>0</v>
      </c>
      <c r="CB95" s="108">
        <f>AR95*$BK95*'Cost inputs'!$E$39*'Land Price Phase Sc1&amp;2'!Z$114/1000000</f>
        <v>0</v>
      </c>
      <c r="CC95" s="108">
        <f>AS95*$BK95*'Cost inputs'!$E$39*'Land Price Phase Sc1&amp;2'!AA$114/1000000</f>
        <v>0</v>
      </c>
      <c r="CD95" s="108">
        <f>AT95*$BK95*'Cost inputs'!$E$39*'Land Price Phase Sc1&amp;2'!AB$114/1000000</f>
        <v>0</v>
      </c>
      <c r="CE95" s="108">
        <f>AU95*$BK95*'Cost inputs'!$E$39*'Land Price Phase Sc1&amp;2'!AC$114/1000000</f>
        <v>0</v>
      </c>
      <c r="CF95" s="108">
        <f>AV95*$BK95*'Cost inputs'!$E$39*'Land Price Phase Sc1&amp;2'!AD$114/1000000</f>
        <v>0</v>
      </c>
      <c r="CG95" s="108">
        <f>AW95*$BK95*'Cost inputs'!$E$39*'Land Price Phase Sc1&amp;2'!AE$114/1000000</f>
        <v>0</v>
      </c>
      <c r="CH95" s="108">
        <f>AX95*$BK95*'Cost inputs'!$E$39*'Land Price Phase Sc1&amp;2'!AF$114/1000000</f>
        <v>0</v>
      </c>
      <c r="CI95" s="108">
        <f>AY95*$BK95*'Cost inputs'!$E$39*'Land Price Phase Sc1&amp;2'!AG$114/1000000</f>
        <v>0</v>
      </c>
      <c r="CJ95" s="108">
        <f>AZ95*$BK95*'Cost inputs'!$E$39*'Land Price Phase Sc1&amp;2'!AH$114/1000000</f>
        <v>0</v>
      </c>
      <c r="CK95" s="108">
        <f>BA95*$BK95*'Cost inputs'!$E$39*'Land Price Phase Sc1&amp;2'!AI$114/1000000</f>
        <v>0</v>
      </c>
      <c r="CL95" s="108">
        <f>BB95*$BK95*'Cost inputs'!$E$39*'Land Price Phase Sc1&amp;2'!AJ$114/1000000</f>
        <v>0</v>
      </c>
      <c r="CM95" s="108">
        <f>BC95*$BK95*'Cost inputs'!$E$39*'Land Price Phase Sc1&amp;2'!AK$114/1000000</f>
        <v>0</v>
      </c>
      <c r="CN95" s="108">
        <f>BD95*$BK95*'Cost inputs'!$E$39*'Land Price Phase Sc1&amp;2'!AL$114/1000000</f>
        <v>0</v>
      </c>
      <c r="CO95" s="108">
        <f>BE95*$BK95*'Cost inputs'!$E$39*'Land Price Phase Sc1&amp;2'!AM$114/1000000</f>
        <v>0</v>
      </c>
      <c r="CP95" s="108">
        <f>BF95*$BK95*'Cost inputs'!$E$39*'Land Price Phase Sc1&amp;2'!AN$114/1000000</f>
        <v>0</v>
      </c>
      <c r="CQ95" s="108">
        <f>BG95*$BK95*'Cost inputs'!$E$39*'Land Price Phase Sc1&amp;2'!AO$114/1000000</f>
        <v>0</v>
      </c>
      <c r="CR95" s="108">
        <f t="shared" si="186"/>
        <v>5.7349276112323917</v>
      </c>
      <c r="CS95" s="19"/>
      <c r="CT95" s="19"/>
      <c r="CU95" s="19"/>
      <c r="CV95" s="19"/>
      <c r="CW95" s="18"/>
      <c r="CX95" s="18"/>
      <c r="CY95" s="18"/>
      <c r="CZ95" s="18"/>
      <c r="DA95" s="20"/>
      <c r="DB95" s="20"/>
      <c r="DC95" s="20"/>
      <c r="DK95" s="10"/>
      <c r="DL95" s="10"/>
      <c r="DM95" s="10"/>
      <c r="DN95" s="10"/>
      <c r="DO95" s="10"/>
      <c r="DP95" s="10"/>
      <c r="DQ95" s="10"/>
      <c r="DR95" s="10"/>
      <c r="DS95" s="10"/>
      <c r="DT95" s="10"/>
      <c r="EB95" s="84"/>
      <c r="EC95" s="84"/>
    </row>
    <row r="96" spans="1:133" x14ac:dyDescent="0.3">
      <c r="A96" s="104" t="str">
        <f>A95</f>
        <v>Glenbrook, Clarks Beach</v>
      </c>
      <c r="B96" s="104" t="s">
        <v>199</v>
      </c>
      <c r="C96" s="104"/>
      <c r="D96" s="104" t="s">
        <v>279</v>
      </c>
      <c r="E96" s="104" t="s">
        <v>292</v>
      </c>
      <c r="F96" s="105">
        <v>2</v>
      </c>
      <c r="G96" s="105"/>
      <c r="H96" s="105"/>
      <c r="I96" s="105"/>
      <c r="J96" s="105">
        <f t="shared" si="213"/>
        <v>2</v>
      </c>
      <c r="K96" s="105"/>
      <c r="L96" s="105"/>
      <c r="M96" s="105"/>
      <c r="N96" s="105"/>
      <c r="O96" s="104">
        <v>2022</v>
      </c>
      <c r="P96" s="104">
        <f>P95</f>
        <v>2026</v>
      </c>
      <c r="Q96" s="104">
        <f>P96+4</f>
        <v>2030</v>
      </c>
      <c r="R96" s="106">
        <f>SUM(AB96:BG96)</f>
        <v>1</v>
      </c>
      <c r="S96" s="104"/>
      <c r="T96" s="104"/>
      <c r="U96" s="116">
        <f>'Park spec inputs'!L$22</f>
        <v>0.37499999999999994</v>
      </c>
      <c r="V96" s="116">
        <f>'Park spec inputs'!M$22</f>
        <v>0.625</v>
      </c>
      <c r="W96" s="107">
        <f t="shared" si="138"/>
        <v>0.21355808788157429</v>
      </c>
      <c r="X96" s="107">
        <f t="shared" si="117"/>
        <v>5.5996294908697308</v>
      </c>
      <c r="Y96" s="107">
        <f t="shared" si="118"/>
        <v>5.0676186528429916</v>
      </c>
      <c r="Z96" s="104">
        <v>26</v>
      </c>
      <c r="AA96" s="108">
        <f t="shared" si="155"/>
        <v>1.0430617587579725</v>
      </c>
      <c r="AB96" s="104"/>
      <c r="AC96" s="104"/>
      <c r="AD96" s="104"/>
      <c r="AE96" s="104"/>
      <c r="AF96" s="104"/>
      <c r="AG96" s="104"/>
      <c r="AH96" s="104"/>
      <c r="AI96" s="104"/>
      <c r="AJ96" s="104"/>
      <c r="AK96" s="104">
        <f>$U$96/4</f>
        <v>9.3749999999999986E-2</v>
      </c>
      <c r="AL96" s="104">
        <f t="shared" ref="AL96:AN97" si="215">AK96</f>
        <v>9.3749999999999986E-2</v>
      </c>
      <c r="AM96" s="104">
        <f t="shared" si="215"/>
        <v>9.3749999999999986E-2</v>
      </c>
      <c r="AN96" s="104">
        <f t="shared" si="215"/>
        <v>9.3749999999999986E-2</v>
      </c>
      <c r="AO96" s="104">
        <f>$V$96/3</f>
        <v>0.20833333333333334</v>
      </c>
      <c r="AP96" s="104">
        <f t="shared" ref="AP96:AQ100" si="216">AO96</f>
        <v>0.20833333333333334</v>
      </c>
      <c r="AQ96" s="104">
        <f t="shared" si="216"/>
        <v>0.20833333333333334</v>
      </c>
      <c r="AR96" s="104"/>
      <c r="AS96" s="104"/>
      <c r="AT96" s="104"/>
      <c r="AU96" s="104"/>
      <c r="AV96" s="104"/>
      <c r="AW96" s="104"/>
      <c r="AX96" s="104"/>
      <c r="AY96" s="104"/>
      <c r="AZ96" s="104"/>
      <c r="BA96" s="104"/>
      <c r="BB96" s="104"/>
      <c r="BC96" s="104"/>
      <c r="BD96" s="104"/>
      <c r="BE96" s="104"/>
      <c r="BF96" s="104"/>
      <c r="BG96" s="104"/>
      <c r="BH96" s="109">
        <f t="shared" si="170"/>
        <v>9.3749999999999986E-2</v>
      </c>
      <c r="BI96" s="109">
        <f t="shared" si="171"/>
        <v>0.90625</v>
      </c>
      <c r="BJ96" s="109"/>
      <c r="BK96" s="104">
        <f t="shared" si="214"/>
        <v>8000</v>
      </c>
      <c r="BL96" s="108">
        <f>AB96*$BK96*'Cost inputs'!$D$39*'Land Price Phase Sc1&amp;2'!J$114/1000000</f>
        <v>0</v>
      </c>
      <c r="BM96" s="108">
        <f>AC96*$BK96*'Cost inputs'!$D$39*'Land Price Phase Sc1&amp;2'!K$114/1000000</f>
        <v>0</v>
      </c>
      <c r="BN96" s="108">
        <f>AD96*$BK96*'Cost inputs'!$D$39*'Land Price Phase Sc1&amp;2'!L$114/1000000</f>
        <v>0</v>
      </c>
      <c r="BO96" s="108">
        <f>AE96*$BK96*'Cost inputs'!$D$39*'Land Price Phase Sc1&amp;2'!M$114/1000000</f>
        <v>0</v>
      </c>
      <c r="BP96" s="108">
        <f>AF96*$BK96*'Cost inputs'!$D$39*'Land Price Phase Sc1&amp;2'!N$114/1000000</f>
        <v>0</v>
      </c>
      <c r="BQ96" s="108">
        <f>AG96*$BK96*'Cost inputs'!$E$39*'Land Price Phase Sc1&amp;2'!O$114/1000000</f>
        <v>0</v>
      </c>
      <c r="BR96" s="108">
        <f>AH96*$BK96*'Cost inputs'!$E$39*'Land Price Phase Sc1&amp;2'!P$114/1000000</f>
        <v>0</v>
      </c>
      <c r="BS96" s="108">
        <f>AI96*$BK96*'Cost inputs'!$E$39*'Land Price Phase Sc1&amp;2'!Q$114/1000000</f>
        <v>0</v>
      </c>
      <c r="BT96" s="108">
        <f>AJ96*$BK96*'Cost inputs'!$E$39*'Land Price Phase Sc1&amp;2'!R$114/1000000</f>
        <v>0</v>
      </c>
      <c r="BU96" s="108">
        <f>AK96*$BK96*'Cost inputs'!$E$39*'Land Price Phase Sc1&amp;2'!S$114/1000000</f>
        <v>1.0430617587579725</v>
      </c>
      <c r="BV96" s="108">
        <f>AL96*$BK96*'Cost inputs'!$E$39*'Land Price Phase Sc1&amp;2'!T$114/1000000</f>
        <v>1.1171191436297887</v>
      </c>
      <c r="BW96" s="108">
        <f>AM96*$BK96*'Cost inputs'!$E$39*'Land Price Phase Sc1&amp;2'!U$114/1000000</f>
        <v>1.1964346028275035</v>
      </c>
      <c r="BX96" s="108">
        <f>AN96*$BK96*'Cost inputs'!$E$39*'Land Price Phase Sc1&amp;2'!V$114/1000000</f>
        <v>1.281381459628256</v>
      </c>
      <c r="BY96" s="108">
        <f>AO96*$BK96*'Cost inputs'!$E$39*'Land Price Phase Sc1&amp;2'!W$114/1000000</f>
        <v>3.04968787391525</v>
      </c>
      <c r="BZ96" s="108">
        <f>AP96*$BK96*'Cost inputs'!$E$39*'Land Price Phase Sc1&amp;2'!X$114/1000000</f>
        <v>3.2662157129632323</v>
      </c>
      <c r="CA96" s="108">
        <f>AQ96*$BK96*'Cost inputs'!$E$39*'Land Price Phase Sc1&amp;2'!Y$114/1000000</f>
        <v>3.4981170285836214</v>
      </c>
      <c r="CB96" s="108">
        <f>AR96*$BK96*'Cost inputs'!$E$39*'Land Price Phase Sc1&amp;2'!Z$114/1000000</f>
        <v>0</v>
      </c>
      <c r="CC96" s="108">
        <f>AS96*$BK96*'Cost inputs'!$E$39*'Land Price Phase Sc1&amp;2'!AA$114/1000000</f>
        <v>0</v>
      </c>
      <c r="CD96" s="108">
        <f>AT96*$BK96*'Cost inputs'!$E$39*'Land Price Phase Sc1&amp;2'!AB$114/1000000</f>
        <v>0</v>
      </c>
      <c r="CE96" s="108">
        <f>AU96*$BK96*'Cost inputs'!$E$39*'Land Price Phase Sc1&amp;2'!AC$114/1000000</f>
        <v>0</v>
      </c>
      <c r="CF96" s="108">
        <f>AV96*$BK96*'Cost inputs'!$E$39*'Land Price Phase Sc1&amp;2'!AD$114/1000000</f>
        <v>0</v>
      </c>
      <c r="CG96" s="108">
        <f>AW96*$BK96*'Cost inputs'!$E$39*'Land Price Phase Sc1&amp;2'!AE$114/1000000</f>
        <v>0</v>
      </c>
      <c r="CH96" s="108">
        <f>AX96*$BK96*'Cost inputs'!$E$39*'Land Price Phase Sc1&amp;2'!AF$114/1000000</f>
        <v>0</v>
      </c>
      <c r="CI96" s="108">
        <f>AY96*$BK96*'Cost inputs'!$E$39*'Land Price Phase Sc1&amp;2'!AG$114/1000000</f>
        <v>0</v>
      </c>
      <c r="CJ96" s="108">
        <f>AZ96*$BK96*'Cost inputs'!$E$39*'Land Price Phase Sc1&amp;2'!AH$114/1000000</f>
        <v>0</v>
      </c>
      <c r="CK96" s="108">
        <f>BA96*$BK96*'Cost inputs'!$E$39*'Land Price Phase Sc1&amp;2'!AI$114/1000000</f>
        <v>0</v>
      </c>
      <c r="CL96" s="108">
        <f>BB96*$BK96*'Cost inputs'!$E$39*'Land Price Phase Sc1&amp;2'!AJ$114/1000000</f>
        <v>0</v>
      </c>
      <c r="CM96" s="108">
        <f>BC96*$BK96*'Cost inputs'!$E$39*'Land Price Phase Sc1&amp;2'!AK$114/1000000</f>
        <v>0</v>
      </c>
      <c r="CN96" s="108">
        <f>BD96*$BK96*'Cost inputs'!$E$39*'Land Price Phase Sc1&amp;2'!AL$114/1000000</f>
        <v>0</v>
      </c>
      <c r="CO96" s="108">
        <f>BE96*$BK96*'Cost inputs'!$E$39*'Land Price Phase Sc1&amp;2'!AM$114/1000000</f>
        <v>0</v>
      </c>
      <c r="CP96" s="108">
        <f>BF96*$BK96*'Cost inputs'!$E$39*'Land Price Phase Sc1&amp;2'!AN$114/1000000</f>
        <v>0</v>
      </c>
      <c r="CQ96" s="108">
        <f>BG96*$BK96*'Cost inputs'!$E$39*'Land Price Phase Sc1&amp;2'!AO$114/1000000</f>
        <v>0</v>
      </c>
      <c r="CR96" s="108">
        <f t="shared" si="186"/>
        <v>14.452017580305625</v>
      </c>
      <c r="CS96" s="19"/>
      <c r="CT96" s="19"/>
      <c r="CU96" s="19"/>
      <c r="CV96" s="19"/>
      <c r="CW96" s="18"/>
      <c r="CX96" s="18"/>
      <c r="CY96" s="18"/>
      <c r="CZ96" s="18"/>
      <c r="DA96" s="20"/>
      <c r="DB96" s="20"/>
      <c r="DC96" s="20"/>
      <c r="DK96" s="10"/>
      <c r="DL96" s="10"/>
      <c r="DM96" s="10"/>
      <c r="DN96" s="10"/>
      <c r="DO96" s="10"/>
      <c r="DP96" s="10"/>
      <c r="DQ96" s="10"/>
      <c r="DR96" s="10"/>
      <c r="DS96" s="10"/>
      <c r="DT96" s="10"/>
      <c r="EB96" s="84"/>
      <c r="EC96" s="84"/>
    </row>
    <row r="97" spans="1:133" x14ac:dyDescent="0.3">
      <c r="A97" s="104" t="str">
        <f>'Cost inputs'!A39</f>
        <v>Glenbrook, Clarks Beach</v>
      </c>
      <c r="B97" s="104" t="s">
        <v>199</v>
      </c>
      <c r="C97" s="104"/>
      <c r="D97" s="104" t="s">
        <v>123</v>
      </c>
      <c r="E97" s="104" t="s">
        <v>280</v>
      </c>
      <c r="F97" s="105">
        <v>2</v>
      </c>
      <c r="G97" s="105"/>
      <c r="H97" s="105"/>
      <c r="I97" s="105"/>
      <c r="J97" s="105">
        <f t="shared" si="213"/>
        <v>2</v>
      </c>
      <c r="K97" s="105"/>
      <c r="L97" s="105"/>
      <c r="M97" s="105"/>
      <c r="N97" s="105"/>
      <c r="O97" s="104">
        <f>VLOOKUP($D97,'Land Price Phase Sc1&amp;2'!$B$4:$F$50,3,0)</f>
        <v>2021</v>
      </c>
      <c r="P97" s="104">
        <f>VLOOKUP($D97,'Land Price Phase Sc1&amp;2'!$B$4:$F$50,4,0)</f>
        <v>2025</v>
      </c>
      <c r="Q97" s="104">
        <f>VLOOKUP($D97,'Land Price Phase Sc1&amp;2'!$B$4:$F$50,5,0)</f>
        <v>2029</v>
      </c>
      <c r="R97" s="106">
        <f>SUM(AB97:BG97)</f>
        <v>1</v>
      </c>
      <c r="S97" s="104"/>
      <c r="T97" s="104"/>
      <c r="U97" s="116">
        <f>'Park spec inputs'!L$22</f>
        <v>0.37499999999999994</v>
      </c>
      <c r="V97" s="116">
        <f>'Park spec inputs'!M$22</f>
        <v>0.625</v>
      </c>
      <c r="W97" s="107">
        <f t="shared" si="138"/>
        <v>0.21355808788157429</v>
      </c>
      <c r="X97" s="107">
        <f t="shared" si="117"/>
        <v>5.5996294908697308</v>
      </c>
      <c r="Y97" s="107">
        <f t="shared" si="118"/>
        <v>5.0676186528429916</v>
      </c>
      <c r="Z97" s="104">
        <v>25</v>
      </c>
      <c r="AA97" s="108">
        <f t="shared" si="155"/>
        <v>1.0430617587579725</v>
      </c>
      <c r="AB97" s="104"/>
      <c r="AC97" s="104"/>
      <c r="AD97" s="104"/>
      <c r="AE97" s="104"/>
      <c r="AF97" s="104"/>
      <c r="AG97" s="104"/>
      <c r="AH97" s="104"/>
      <c r="AI97" s="104"/>
      <c r="AJ97" s="104"/>
      <c r="AK97" s="104">
        <f>$U$97/4</f>
        <v>9.3749999999999986E-2</v>
      </c>
      <c r="AL97" s="104">
        <f t="shared" si="215"/>
        <v>9.3749999999999986E-2</v>
      </c>
      <c r="AM97" s="104">
        <f t="shared" si="215"/>
        <v>9.3749999999999986E-2</v>
      </c>
      <c r="AN97" s="104">
        <f t="shared" si="215"/>
        <v>9.3749999999999986E-2</v>
      </c>
      <c r="AO97" s="104">
        <f>$V$97/3</f>
        <v>0.20833333333333334</v>
      </c>
      <c r="AP97" s="104">
        <f t="shared" si="216"/>
        <v>0.20833333333333334</v>
      </c>
      <c r="AQ97" s="104">
        <f t="shared" si="216"/>
        <v>0.20833333333333334</v>
      </c>
      <c r="AR97" s="104"/>
      <c r="AS97" s="104"/>
      <c r="AT97" s="104"/>
      <c r="AU97" s="104"/>
      <c r="AV97" s="104"/>
      <c r="AW97" s="104"/>
      <c r="AX97" s="104"/>
      <c r="AY97" s="104"/>
      <c r="AZ97" s="104"/>
      <c r="BA97" s="104"/>
      <c r="BB97" s="104"/>
      <c r="BC97" s="104"/>
      <c r="BD97" s="104"/>
      <c r="BE97" s="104"/>
      <c r="BF97" s="104"/>
      <c r="BG97" s="104"/>
      <c r="BH97" s="109">
        <f t="shared" si="170"/>
        <v>9.3749999999999986E-2</v>
      </c>
      <c r="BI97" s="109">
        <f t="shared" si="171"/>
        <v>0.90625</v>
      </c>
      <c r="BJ97" s="109"/>
      <c r="BK97" s="104">
        <f t="shared" ref="BK97:BK98" si="217">SUMPRODUCT(F97:I97,$F$5:$I$5)</f>
        <v>8000</v>
      </c>
      <c r="BL97" s="108">
        <f>AB97*$BK97*VLOOKUP($D97,'Land Price Phase Sc1&amp;2'!$B$119:$AU$165,9+BL$7-$BL$7,0)/1000000</f>
        <v>0</v>
      </c>
      <c r="BM97" s="108">
        <f>AC97*$BK97*VLOOKUP($D97,'Land Price Phase Sc1&amp;2'!$B$119:$AU$165,9+BM$7-$BL$7,0)/1000000</f>
        <v>0</v>
      </c>
      <c r="BN97" s="108">
        <f>AD97*$BK97*VLOOKUP($D97,'Land Price Phase Sc1&amp;2'!$B$119:$AU$165,9+BN$7-$BL$7,0)/1000000</f>
        <v>0</v>
      </c>
      <c r="BO97" s="108">
        <f>AE97*$BK97*VLOOKUP($D97,'Land Price Phase Sc1&amp;2'!$B$119:$AU$165,9+BO$7-$BL$7,0)/1000000</f>
        <v>0</v>
      </c>
      <c r="BP97" s="108">
        <f>AF97*$BK97*VLOOKUP($D97,'Land Price Phase Sc1&amp;2'!$B$119:$AU$165,9+BP$7-$BL$7,0)/1000000</f>
        <v>0</v>
      </c>
      <c r="BQ97" s="108">
        <f>AG97*$BK97*VLOOKUP($D97,'Land Price Phase Sc1&amp;2'!$B$119:$AU$165,9+BQ$7-$BL$7,0)/1000000</f>
        <v>0</v>
      </c>
      <c r="BR97" s="108">
        <f>AH97*$BK97*VLOOKUP($D97,'Land Price Phase Sc1&amp;2'!$B$119:$AU$165,9+BR$7-$BL$7,0)/1000000</f>
        <v>0</v>
      </c>
      <c r="BS97" s="108">
        <f>AI97*$BK97*VLOOKUP($D97,'Land Price Phase Sc1&amp;2'!$B$119:$AU$165,9+BS$7-$BL$7,0)/1000000</f>
        <v>0</v>
      </c>
      <c r="BT97" s="108">
        <f>AJ97*$BK97*VLOOKUP($D97,'Land Price Phase Sc1&amp;2'!$B$119:$AU$165,9+BT$7-$BL$7,0)/1000000</f>
        <v>0</v>
      </c>
      <c r="BU97" s="108">
        <f>AK97*$BK97*VLOOKUP($D97,'Land Price Phase Sc1&amp;2'!$B$119:$AU$165,9+BU$7-$BL$7,0)/1000000</f>
        <v>1.0430617587579725</v>
      </c>
      <c r="BV97" s="108">
        <f>AL97*$BK97*VLOOKUP($D97,'Land Price Phase Sc1&amp;2'!$B$119:$AU$165,9+BV$7-$BL$7,0)/1000000</f>
        <v>1.1171191436297887</v>
      </c>
      <c r="BW97" s="108">
        <f>AM97*$BK97*VLOOKUP($D97,'Land Price Phase Sc1&amp;2'!$B$119:$AU$165,9+BW$7-$BL$7,0)/1000000</f>
        <v>1.1964346028275035</v>
      </c>
      <c r="BX97" s="108">
        <f>AN97*$BK97*VLOOKUP($D97,'Land Price Phase Sc1&amp;2'!$B$119:$AU$165,9+BX$7-$BL$7,0)/1000000</f>
        <v>1.2813814596282562</v>
      </c>
      <c r="BY97" s="108">
        <f>AO97*$BK97*VLOOKUP($D97,'Land Price Phase Sc1&amp;2'!$B$119:$AU$165,9+BY$7-$BL$7,0)/1000000</f>
        <v>3.04968787391525</v>
      </c>
      <c r="BZ97" s="108">
        <f>AP97*$BK97*VLOOKUP($D97,'Land Price Phase Sc1&amp;2'!$B$119:$AU$165,9+BZ$7-$BL$7,0)/1000000</f>
        <v>3.2662157129632328</v>
      </c>
      <c r="CA97" s="108">
        <f>AQ97*$BK97*VLOOKUP($D97,'Land Price Phase Sc1&amp;2'!$B$119:$AU$165,9+CA$7-$BL$7,0)/1000000</f>
        <v>3.4981170285836223</v>
      </c>
      <c r="CB97" s="108">
        <f>AR97*$BK97*VLOOKUP($D97,'Land Price Phase Sc1&amp;2'!$B$119:$AU$165,9+CB$7-$BL$7,0)/1000000</f>
        <v>0</v>
      </c>
      <c r="CC97" s="108">
        <f>AS97*$BK97*VLOOKUP($D97,'Land Price Phase Sc1&amp;2'!$B$119:$AU$165,9+CC$7-$BL$7,0)/1000000</f>
        <v>0</v>
      </c>
      <c r="CD97" s="108">
        <f>AT97*$BK97*VLOOKUP($D97,'Land Price Phase Sc1&amp;2'!$B$119:$AU$165,9+CD$7-$BL$7,0)/1000000</f>
        <v>0</v>
      </c>
      <c r="CE97" s="108">
        <f>AU97*$BK97*VLOOKUP($D97,'Land Price Phase Sc1&amp;2'!$B$119:$AU$165,9+CE$7-$BL$7,0)/1000000</f>
        <v>0</v>
      </c>
      <c r="CF97" s="108">
        <f>AV97*$BK97*VLOOKUP($D97,'Land Price Phase Sc1&amp;2'!$B$119:$AU$165,9+CF$7-$BL$7,0)/1000000</f>
        <v>0</v>
      </c>
      <c r="CG97" s="108">
        <f>AW97*$BK97*VLOOKUP($D97,'Land Price Phase Sc1&amp;2'!$B$119:$AU$165,9+CG$7-$BL$7,0)/1000000</f>
        <v>0</v>
      </c>
      <c r="CH97" s="108">
        <f>AX97*$BK97*VLOOKUP($D97,'Land Price Phase Sc1&amp;2'!$B$119:$AU$165,9+CH$7-$BL$7,0)/1000000</f>
        <v>0</v>
      </c>
      <c r="CI97" s="108">
        <f>AY97*$BK97*VLOOKUP($D97,'Land Price Phase Sc1&amp;2'!$B$119:$AU$165,9+CI$7-$BL$7,0)/1000000</f>
        <v>0</v>
      </c>
      <c r="CJ97" s="108">
        <f>AZ97*$BK97*VLOOKUP($D97,'Land Price Phase Sc1&amp;2'!$B$119:$AU$165,9+CJ$7-$BL$7,0)/1000000</f>
        <v>0</v>
      </c>
      <c r="CK97" s="108">
        <f>BA97*$BK97*VLOOKUP($D97,'Land Price Phase Sc1&amp;2'!$B$119:$AU$165,9+CK$7-$BL$7,0)/1000000</f>
        <v>0</v>
      </c>
      <c r="CL97" s="108">
        <f>BB97*$BK97*VLOOKUP($D97,'Land Price Phase Sc1&amp;2'!$B$119:$AU$165,9+CL$7-$BL$7,0)/1000000</f>
        <v>0</v>
      </c>
      <c r="CM97" s="108">
        <f>BC97*$BK97*VLOOKUP($D97,'Land Price Phase Sc1&amp;2'!$B$119:$AU$165,9+CM$7-$BL$7,0)/1000000</f>
        <v>0</v>
      </c>
      <c r="CN97" s="108">
        <f>BD97*$BK97*VLOOKUP($D97,'Land Price Phase Sc1&amp;2'!$B$119:$AU$165,9+CN$7-$BL$7,0)/1000000</f>
        <v>0</v>
      </c>
      <c r="CO97" s="108">
        <f>BE97*$BK97*VLOOKUP($D97,'Land Price Phase Sc1&amp;2'!$B$119:$AU$165,9+CO$7-$BL$7,0)/1000000</f>
        <v>0</v>
      </c>
      <c r="CP97" s="108">
        <f>BF97*$BK97*VLOOKUP($D97,'Land Price Phase Sc1&amp;2'!$B$119:$AU$165,9+CP$7-$BL$7,0)/1000000</f>
        <v>0</v>
      </c>
      <c r="CQ97" s="108">
        <f>BG97*$BK97*VLOOKUP($D97,'Land Price Phase Sc1&amp;2'!$B$119:$AU$165,9+CQ$7-$BL$7,0)/1000000</f>
        <v>0</v>
      </c>
      <c r="CR97" s="108">
        <f t="shared" si="186"/>
        <v>14.452017580305625</v>
      </c>
      <c r="CS97" s="19"/>
      <c r="CT97" s="19"/>
      <c r="CU97" s="19"/>
      <c r="CV97" s="19"/>
      <c r="CW97" s="18"/>
      <c r="CX97" s="18"/>
      <c r="CY97" s="18"/>
      <c r="CZ97" s="18"/>
      <c r="DA97" s="20"/>
      <c r="DB97" s="20"/>
      <c r="DC97" s="20"/>
      <c r="DK97" s="10"/>
      <c r="DL97" s="10"/>
      <c r="DM97" s="10"/>
      <c r="DN97" s="10"/>
      <c r="DO97" s="10"/>
      <c r="DP97" s="10"/>
      <c r="DQ97" s="10"/>
      <c r="DR97" s="10"/>
      <c r="DS97" s="10"/>
      <c r="DT97" s="10"/>
      <c r="EB97" s="84"/>
      <c r="EC97" s="84"/>
    </row>
    <row r="98" spans="1:133" x14ac:dyDescent="0.3">
      <c r="A98" s="104" t="str">
        <f>'Cost inputs'!A39</f>
        <v>Glenbrook, Clarks Beach</v>
      </c>
      <c r="B98" s="104" t="s">
        <v>199</v>
      </c>
      <c r="C98" s="104"/>
      <c r="D98" s="104" t="s">
        <v>124</v>
      </c>
      <c r="E98" s="142" t="s">
        <v>281</v>
      </c>
      <c r="F98" s="143">
        <f>5/4</f>
        <v>1.25</v>
      </c>
      <c r="G98" s="144"/>
      <c r="H98" s="144"/>
      <c r="I98" s="144"/>
      <c r="J98" s="143">
        <f t="shared" si="213"/>
        <v>1.25</v>
      </c>
      <c r="K98" s="105"/>
      <c r="L98" s="105"/>
      <c r="M98" s="105"/>
      <c r="N98" s="105"/>
      <c r="O98" s="104">
        <f>VLOOKUP($D98,'Land Price Phase Sc1&amp;2'!$B$4:$F$50,3,0)</f>
        <v>2026</v>
      </c>
      <c r="P98" s="104">
        <f>VLOOKUP($D98,'Land Price Phase Sc1&amp;2'!$B$4:$F$50,4,0)</f>
        <v>2030</v>
      </c>
      <c r="Q98" s="104">
        <f>VLOOKUP($D98,'Land Price Phase Sc1&amp;2'!$B$4:$F$50,5,0)</f>
        <v>2034</v>
      </c>
      <c r="R98" s="106">
        <f>SUM(AB98:BG98)</f>
        <v>0.99999999999999989</v>
      </c>
      <c r="S98" s="104"/>
      <c r="T98" s="107">
        <f>'Park spec inputs'!H$22</f>
        <v>0.2</v>
      </c>
      <c r="U98" s="107">
        <f>'Park spec inputs'!I$22</f>
        <v>0.3</v>
      </c>
      <c r="V98" s="107">
        <f>'Park spec inputs'!J$22</f>
        <v>0.5</v>
      </c>
      <c r="W98" s="107">
        <f t="shared" si="138"/>
        <v>0.21355808788157429</v>
      </c>
      <c r="X98" s="107">
        <f t="shared" si="117"/>
        <v>5.5996294908697308</v>
      </c>
      <c r="Y98" s="107">
        <f t="shared" si="118"/>
        <v>5.0676186528429916</v>
      </c>
      <c r="Z98" s="104">
        <v>26</v>
      </c>
      <c r="AA98" s="108">
        <f t="shared" si="155"/>
        <v>0.43340306461254141</v>
      </c>
      <c r="AB98" s="104"/>
      <c r="AC98" s="111"/>
      <c r="AD98" s="111"/>
      <c r="AE98" s="111"/>
      <c r="AF98" s="104"/>
      <c r="AG98" s="111"/>
      <c r="AH98" s="111"/>
      <c r="AI98" s="104"/>
      <c r="AJ98" s="111">
        <f>$T98/4</f>
        <v>0.05</v>
      </c>
      <c r="AK98" s="111">
        <f>AJ98</f>
        <v>0.05</v>
      </c>
      <c r="AL98" s="111">
        <f>AK98</f>
        <v>0.05</v>
      </c>
      <c r="AM98" s="111">
        <f>AL98</f>
        <v>0.05</v>
      </c>
      <c r="AN98" s="111">
        <f>$U98/4</f>
        <v>7.4999999999999997E-2</v>
      </c>
      <c r="AO98" s="111">
        <f>AN98</f>
        <v>7.4999999999999997E-2</v>
      </c>
      <c r="AP98" s="111">
        <f t="shared" si="216"/>
        <v>7.4999999999999997E-2</v>
      </c>
      <c r="AQ98" s="111">
        <f t="shared" si="216"/>
        <v>7.4999999999999997E-2</v>
      </c>
      <c r="AR98" s="111">
        <f>$V98/3</f>
        <v>0.16666666666666666</v>
      </c>
      <c r="AS98" s="111">
        <f>AR98</f>
        <v>0.16666666666666666</v>
      </c>
      <c r="AT98" s="111">
        <f>AS98</f>
        <v>0.16666666666666666</v>
      </c>
      <c r="AU98" s="104"/>
      <c r="AV98" s="104"/>
      <c r="AW98" s="104"/>
      <c r="AX98" s="104"/>
      <c r="AY98" s="104"/>
      <c r="AZ98" s="104"/>
      <c r="BA98" s="104"/>
      <c r="BB98" s="104"/>
      <c r="BC98" s="104"/>
      <c r="BD98" s="104"/>
      <c r="BE98" s="104"/>
      <c r="BF98" s="104"/>
      <c r="BG98" s="104"/>
      <c r="BH98" s="109">
        <f t="shared" si="170"/>
        <v>0.1</v>
      </c>
      <c r="BI98" s="109">
        <f t="shared" si="171"/>
        <v>0.89999999999999991</v>
      </c>
      <c r="BJ98" s="109"/>
      <c r="BK98" s="104">
        <f t="shared" si="217"/>
        <v>5000</v>
      </c>
      <c r="BL98" s="108">
        <f>AB98*$BK98*VLOOKUP($D98,'Land Price Phase Sc1&amp;2'!$B$119:$AU$165,9+BL$7-$BL$7,0)/1000000</f>
        <v>0</v>
      </c>
      <c r="BM98" s="108">
        <f>AC98*$BK98*VLOOKUP($D98,'Land Price Phase Sc1&amp;2'!$B$119:$AU$165,9+BM$7-$BL$7,0)/1000000</f>
        <v>0</v>
      </c>
      <c r="BN98" s="108">
        <f>AD98*$BK98*VLOOKUP($D98,'Land Price Phase Sc1&amp;2'!$B$119:$AU$165,9+BN$7-$BL$7,0)/1000000</f>
        <v>0</v>
      </c>
      <c r="BO98" s="108">
        <f>AE98*$BK98*VLOOKUP($D98,'Land Price Phase Sc1&amp;2'!$B$119:$AU$165,9+BO$7-$BL$7,0)/1000000</f>
        <v>0</v>
      </c>
      <c r="BP98" s="108">
        <f>AF98*$BK98*VLOOKUP($D98,'Land Price Phase Sc1&amp;2'!$B$119:$AU$165,9+BP$7-$BL$7,0)/1000000</f>
        <v>0</v>
      </c>
      <c r="BQ98" s="108">
        <f>AG98*$BK98*VLOOKUP($D98,'Land Price Phase Sc1&amp;2'!$B$119:$AU$165,9+BQ$7-$BL$7,0)/1000000</f>
        <v>0</v>
      </c>
      <c r="BR98" s="108">
        <f>AH98*$BK98*VLOOKUP($D98,'Land Price Phase Sc1&amp;2'!$B$119:$AU$165,9+BR$7-$BL$7,0)/1000000</f>
        <v>0</v>
      </c>
      <c r="BS98" s="108">
        <f>AI98*$BK98*VLOOKUP($D98,'Land Price Phase Sc1&amp;2'!$B$119:$AU$165,9+BS$7-$BL$7,0)/1000000</f>
        <v>0</v>
      </c>
      <c r="BT98" s="108">
        <f>AJ98*$BK98*VLOOKUP($D98,'Land Price Phase Sc1&amp;2'!$B$119:$AU$165,9+BT$7-$BL$7,0)/1000000</f>
        <v>8.5715811693217195E-2</v>
      </c>
      <c r="BU98" s="108">
        <f>AK98*$BK98*VLOOKUP($D98,'Land Price Phase Sc1&amp;2'!$B$119:$AU$165,9+BU$7-$BL$7,0)/1000000</f>
        <v>0.34768725291932423</v>
      </c>
      <c r="BV98" s="108">
        <f>AL98*$BK98*VLOOKUP($D98,'Land Price Phase Sc1&amp;2'!$B$119:$AU$165,9+BV$7-$BL$7,0)/1000000</f>
        <v>0.37237304787659625</v>
      </c>
      <c r="BW98" s="108">
        <f>AM98*$BK98*VLOOKUP($D98,'Land Price Phase Sc1&amp;2'!$B$119:$AU$165,9+BW$7-$BL$7,0)/1000000</f>
        <v>0.39881153427583454</v>
      </c>
      <c r="BX98" s="108">
        <f>AN98*$BK98*VLOOKUP($D98,'Land Price Phase Sc1&amp;2'!$B$119:$AU$165,9+BX$7-$BL$7,0)/1000000</f>
        <v>0.64069072981412811</v>
      </c>
      <c r="BY98" s="108">
        <f>AO98*$BK98*VLOOKUP($D98,'Land Price Phase Sc1&amp;2'!$B$119:$AU$165,9+BY$7-$BL$7,0)/1000000</f>
        <v>0.68617977163093113</v>
      </c>
      <c r="BZ98" s="108">
        <f>AP98*$BK98*VLOOKUP($D98,'Land Price Phase Sc1&amp;2'!$B$119:$AU$165,9+BZ$7-$BL$7,0)/1000000</f>
        <v>0.73489853541672734</v>
      </c>
      <c r="CA98" s="108">
        <f>AQ98*$BK98*VLOOKUP($D98,'Land Price Phase Sc1&amp;2'!$B$119:$AU$165,9+CA$7-$BL$7,0)/1000000</f>
        <v>0.78707633143131495</v>
      </c>
      <c r="CB98" s="108">
        <f>AR98*$BK98*VLOOKUP($D98,'Land Price Phase Sc1&amp;2'!$B$119:$AU$165,9+CB$7-$BL$7,0)/1000000</f>
        <v>1.873241668806529</v>
      </c>
      <c r="CC98" s="108">
        <f>AS98*$BK98*VLOOKUP($D98,'Land Price Phase Sc1&amp;2'!$B$119:$AU$165,9+CC$7-$BL$7,0)/1000000</f>
        <v>2.0062418272917926</v>
      </c>
      <c r="CD98" s="108">
        <f>AT98*$BK98*VLOOKUP($D98,'Land Price Phase Sc1&amp;2'!$B$119:$AU$165,9+CD$7-$BL$7,0)/1000000</f>
        <v>2.1486849970295099</v>
      </c>
      <c r="CE98" s="108">
        <f>AU98*$BK98*VLOOKUP($D98,'Land Price Phase Sc1&amp;2'!$B$119:$AU$165,9+CE$7-$BL$7,0)/1000000</f>
        <v>0</v>
      </c>
      <c r="CF98" s="108">
        <f>AV98*$BK98*VLOOKUP($D98,'Land Price Phase Sc1&amp;2'!$B$119:$AU$165,9+CF$7-$BL$7,0)/1000000</f>
        <v>0</v>
      </c>
      <c r="CG98" s="108">
        <f>AW98*$BK98*VLOOKUP($D98,'Land Price Phase Sc1&amp;2'!$B$119:$AU$165,9+CG$7-$BL$7,0)/1000000</f>
        <v>0</v>
      </c>
      <c r="CH98" s="108">
        <f>AX98*$BK98*VLOOKUP($D98,'Land Price Phase Sc1&amp;2'!$B$119:$AU$165,9+CH$7-$BL$7,0)/1000000</f>
        <v>0</v>
      </c>
      <c r="CI98" s="108">
        <f>AY98*$BK98*VLOOKUP($D98,'Land Price Phase Sc1&amp;2'!$B$119:$AU$165,9+CI$7-$BL$7,0)/1000000</f>
        <v>0</v>
      </c>
      <c r="CJ98" s="108">
        <f>AZ98*$BK98*VLOOKUP($D98,'Land Price Phase Sc1&amp;2'!$B$119:$AU$165,9+CJ$7-$BL$7,0)/1000000</f>
        <v>0</v>
      </c>
      <c r="CK98" s="108">
        <f>BA98*$BK98*VLOOKUP($D98,'Land Price Phase Sc1&amp;2'!$B$119:$AU$165,9+CK$7-$BL$7,0)/1000000</f>
        <v>0</v>
      </c>
      <c r="CL98" s="108">
        <f>BB98*$BK98*VLOOKUP($D98,'Land Price Phase Sc1&amp;2'!$B$119:$AU$165,9+CL$7-$BL$7,0)/1000000</f>
        <v>0</v>
      </c>
      <c r="CM98" s="108">
        <f>BC98*$BK98*VLOOKUP($D98,'Land Price Phase Sc1&amp;2'!$B$119:$AU$165,9+CM$7-$BL$7,0)/1000000</f>
        <v>0</v>
      </c>
      <c r="CN98" s="108">
        <f>BD98*$BK98*VLOOKUP($D98,'Land Price Phase Sc1&amp;2'!$B$119:$AU$165,9+CN$7-$BL$7,0)/1000000</f>
        <v>0</v>
      </c>
      <c r="CO98" s="108">
        <f>BE98*$BK98*VLOOKUP($D98,'Land Price Phase Sc1&amp;2'!$B$119:$AU$165,9+CO$7-$BL$7,0)/1000000</f>
        <v>0</v>
      </c>
      <c r="CP98" s="108">
        <f>BF98*$BK98*VLOOKUP($D98,'Land Price Phase Sc1&amp;2'!$B$119:$AU$165,9+CP$7-$BL$7,0)/1000000</f>
        <v>0</v>
      </c>
      <c r="CQ98" s="108">
        <f>BG98*$BK98*VLOOKUP($D98,'Land Price Phase Sc1&amp;2'!$B$119:$AU$165,9+CQ$7-$BL$7,0)/1000000</f>
        <v>0</v>
      </c>
      <c r="CR98" s="108">
        <f t="shared" si="186"/>
        <v>10.081601508185905</v>
      </c>
      <c r="CS98" s="19"/>
      <c r="CT98" s="19"/>
      <c r="CU98" s="19"/>
      <c r="CV98" s="19"/>
      <c r="CW98" s="18"/>
      <c r="CX98" s="18"/>
      <c r="CY98" s="18"/>
      <c r="CZ98" s="18"/>
      <c r="DA98" s="20"/>
      <c r="DB98" s="20"/>
      <c r="DC98" s="20"/>
      <c r="DK98" s="10"/>
      <c r="DL98" s="10"/>
      <c r="DM98" s="10"/>
      <c r="DN98" s="10"/>
      <c r="DO98" s="10"/>
      <c r="DP98" s="10"/>
      <c r="DQ98" s="10"/>
      <c r="DR98" s="10"/>
      <c r="DS98" s="10"/>
      <c r="DT98" s="10"/>
      <c r="EB98" s="84"/>
      <c r="EC98" s="84"/>
    </row>
    <row r="99" spans="1:133" x14ac:dyDescent="0.3">
      <c r="A99" s="104" t="str">
        <f>'Cost inputs'!A32</f>
        <v>Maraetai/Clevedon</v>
      </c>
      <c r="B99" s="104" t="s">
        <v>198</v>
      </c>
      <c r="C99" s="104"/>
      <c r="D99" s="104" t="str">
        <f>'Land Price Phase Sc1&amp;2'!B50</f>
        <v>Maraetai/Clevedon</v>
      </c>
      <c r="E99" s="104"/>
      <c r="F99" s="105">
        <v>2</v>
      </c>
      <c r="G99" s="105"/>
      <c r="H99" s="105"/>
      <c r="I99" s="105"/>
      <c r="J99" s="105">
        <f>F99</f>
        <v>2</v>
      </c>
      <c r="K99" s="105"/>
      <c r="L99" s="105"/>
      <c r="M99" s="105"/>
      <c r="N99" s="105"/>
      <c r="O99" s="104">
        <f>VLOOKUP($D99,'Land Price Phase Sc1&amp;2'!$B$4:$F$50,3,0)</f>
        <v>2031</v>
      </c>
      <c r="P99" s="104">
        <f>VLOOKUP($D99,'Land Price Phase Sc1&amp;2'!$B$4:$F$50,4,0)</f>
        <v>2035</v>
      </c>
      <c r="Q99" s="104">
        <f>VLOOKUP($D99,'Land Price Phase Sc1&amp;2'!$B$4:$F$50,5,0)</f>
        <v>2039</v>
      </c>
      <c r="R99" s="106">
        <f t="shared" ref="R99:R100" si="218">SUM(AB99:BG99)</f>
        <v>0.99999999999999989</v>
      </c>
      <c r="S99" s="104"/>
      <c r="T99" s="107">
        <f>'Park spec inputs'!H$22</f>
        <v>0.2</v>
      </c>
      <c r="U99" s="107">
        <f>'Park spec inputs'!I$22</f>
        <v>0.3</v>
      </c>
      <c r="V99" s="107">
        <f>'Park spec inputs'!J$22</f>
        <v>0.5</v>
      </c>
      <c r="W99" s="107">
        <f t="shared" si="138"/>
        <v>0.21355808788157429</v>
      </c>
      <c r="X99" s="107">
        <f t="shared" si="117"/>
        <v>2.9660913873839014</v>
      </c>
      <c r="Y99" s="107">
        <f t="shared" si="118"/>
        <v>3.1078056670393375</v>
      </c>
      <c r="Z99" s="104">
        <v>31</v>
      </c>
      <c r="AA99" s="108">
        <f t="shared" si="155"/>
        <v>0.23849303602676136</v>
      </c>
      <c r="AB99" s="104"/>
      <c r="AC99" s="104"/>
      <c r="AD99" s="104"/>
      <c r="AE99" s="104"/>
      <c r="AF99" s="104"/>
      <c r="AG99" s="104"/>
      <c r="AH99" s="111"/>
      <c r="AI99" s="111"/>
      <c r="AJ99" s="111">
        <f>$T99/4</f>
        <v>0.05</v>
      </c>
      <c r="AK99" s="111">
        <f>AJ99</f>
        <v>0.05</v>
      </c>
      <c r="AL99" s="111">
        <f t="shared" ref="AL99" si="219">AK99</f>
        <v>0.05</v>
      </c>
      <c r="AM99" s="111">
        <f t="shared" ref="AM99" si="220">AL99</f>
        <v>0.05</v>
      </c>
      <c r="AN99" s="111">
        <f>$U99/4</f>
        <v>7.4999999999999997E-2</v>
      </c>
      <c r="AO99" s="111">
        <f>AN99</f>
        <v>7.4999999999999997E-2</v>
      </c>
      <c r="AP99" s="111">
        <f t="shared" si="216"/>
        <v>7.4999999999999997E-2</v>
      </c>
      <c r="AQ99" s="111">
        <f t="shared" si="216"/>
        <v>7.4999999999999997E-2</v>
      </c>
      <c r="AR99" s="111">
        <f>$V99/3</f>
        <v>0.16666666666666666</v>
      </c>
      <c r="AS99" s="111">
        <f>AR99</f>
        <v>0.16666666666666666</v>
      </c>
      <c r="AT99" s="111">
        <f>AS99</f>
        <v>0.16666666666666666</v>
      </c>
      <c r="AU99" s="111"/>
      <c r="AV99" s="111"/>
      <c r="AW99" s="104"/>
      <c r="AX99" s="104"/>
      <c r="AY99" s="104"/>
      <c r="AZ99" s="104"/>
      <c r="BA99" s="104"/>
      <c r="BB99" s="104"/>
      <c r="BC99" s="104"/>
      <c r="BD99" s="104"/>
      <c r="BE99" s="104"/>
      <c r="BF99" s="104"/>
      <c r="BG99" s="104"/>
      <c r="BH99" s="109">
        <f t="shared" si="170"/>
        <v>0.1</v>
      </c>
      <c r="BI99" s="109">
        <f t="shared" si="171"/>
        <v>0.89999999999999991</v>
      </c>
      <c r="BJ99" s="109"/>
      <c r="BK99" s="104">
        <f t="shared" ref="BK99:BK100" si="221">SUMPRODUCT(F99:I99,$F$5:$I$5)</f>
        <v>8000</v>
      </c>
      <c r="BL99" s="108">
        <f>AB99*$BK99*VLOOKUP($D99,'Land Price Phase Sc1&amp;2'!$B$119:$AU$165,9+BL$7-$BL$7,0)/1000000</f>
        <v>0</v>
      </c>
      <c r="BM99" s="108">
        <f>AC99*$BK99*VLOOKUP($D99,'Land Price Phase Sc1&amp;2'!$B$119:$AU$165,9+BM$7-$BL$7,0)/1000000</f>
        <v>0</v>
      </c>
      <c r="BN99" s="108">
        <f>AD99*$BK99*VLOOKUP($D99,'Land Price Phase Sc1&amp;2'!$B$119:$AU$165,9+BN$7-$BL$7,0)/1000000</f>
        <v>0</v>
      </c>
      <c r="BO99" s="108">
        <f>AE99*$BK99*VLOOKUP($D99,'Land Price Phase Sc1&amp;2'!$B$119:$AU$165,9+BO$7-$BL$7,0)/1000000</f>
        <v>0</v>
      </c>
      <c r="BP99" s="108">
        <f>AF99*$BK99*VLOOKUP($D99,'Land Price Phase Sc1&amp;2'!$B$119:$AU$165,9+BP$7-$BL$7,0)/1000000</f>
        <v>0</v>
      </c>
      <c r="BQ99" s="108">
        <f>AG99*$BK99*VLOOKUP($D99,'Land Price Phase Sc1&amp;2'!$B$119:$AU$165,9+BQ$7-$BL$7,0)/1000000</f>
        <v>0</v>
      </c>
      <c r="BR99" s="108">
        <f>AH99*$BK99*VLOOKUP($D99,'Land Price Phase Sc1&amp;2'!$B$119:$AU$165,9+BR$7-$BL$7,0)/1000000</f>
        <v>0</v>
      </c>
      <c r="BS99" s="108">
        <f>AI99*$BK99*VLOOKUP($D99,'Land Price Phase Sc1&amp;2'!$B$119:$AU$165,9+BS$7-$BL$7,0)/1000000</f>
        <v>0</v>
      </c>
      <c r="BT99" s="108">
        <f>AJ99*$BK99*VLOOKUP($D99,'Land Price Phase Sc1&amp;2'!$B$119:$AU$165,9+BT$7-$BL$7,0)/1000000</f>
        <v>0.11515839499119332</v>
      </c>
      <c r="BU99" s="108">
        <f>AK99*$BK99*VLOOKUP($D99,'Land Price Phase Sc1&amp;2'!$B$119:$AU$165,9+BU$7-$BL$7,0)/1000000</f>
        <v>0.12333464103556806</v>
      </c>
      <c r="BV99" s="108">
        <f>AL99*$BK99*VLOOKUP($D99,'Land Price Phase Sc1&amp;2'!$B$119:$AU$165,9+BV$7-$BL$7,0)/1000000</f>
        <v>0.21845885475426979</v>
      </c>
      <c r="BW99" s="108">
        <f>AM99*$BK99*VLOOKUP($D99,'Land Price Phase Sc1&amp;2'!$B$119:$AU$165,9+BW$7-$BL$7,0)/1000000</f>
        <v>0.23396943344182297</v>
      </c>
      <c r="BX99" s="108">
        <f>AN99*$BK99*VLOOKUP($D99,'Land Price Phase Sc1&amp;2'!$B$119:$AU$165,9+BX$7-$BL$7,0)/1000000</f>
        <v>0.37587189482428851</v>
      </c>
      <c r="BY99" s="108">
        <f>AO99*$BK99*VLOOKUP($D99,'Land Price Phase Sc1&amp;2'!$B$119:$AU$165,9+BY$7-$BL$7,0)/1000000</f>
        <v>0.40255879935681305</v>
      </c>
      <c r="BZ99" s="108">
        <f>AP99*$BK99*VLOOKUP($D99,'Land Price Phase Sc1&amp;2'!$B$119:$AU$165,9+BZ$7-$BL$7,0)/1000000</f>
        <v>1.5902520679873404</v>
      </c>
      <c r="CA99" s="108">
        <f>AQ99*$BK99*VLOOKUP($D99,'Land Price Phase Sc1&amp;2'!$B$119:$AU$165,9+CA$7-$BL$7,0)/1000000</f>
        <v>1.7031599648144418</v>
      </c>
      <c r="CB99" s="108">
        <f>AR99*$BK99*VLOOKUP($D99,'Land Price Phase Sc1&amp;2'!$B$119:$AU$165,9+CB$7-$BL$7,0)/1000000</f>
        <v>4.0535207162583706</v>
      </c>
      <c r="CC99" s="108">
        <f>AS99*$BK99*VLOOKUP($D99,'Land Price Phase Sc1&amp;2'!$B$119:$AU$165,9+CC$7-$BL$7,0)/1000000</f>
        <v>4.3413206871127148</v>
      </c>
      <c r="CD99" s="108">
        <f>AT99*$BK99*VLOOKUP($D99,'Land Price Phase Sc1&amp;2'!$B$119:$AU$165,9+CD$7-$BL$7,0)/1000000</f>
        <v>4.6495544558977171</v>
      </c>
      <c r="CE99" s="108">
        <f>AU99*$BK99*VLOOKUP($D99,'Land Price Phase Sc1&amp;2'!$B$119:$AU$165,9+CE$7-$BL$7,0)/1000000</f>
        <v>0</v>
      </c>
      <c r="CF99" s="108">
        <f>AV99*$BK99*VLOOKUP($D99,'Land Price Phase Sc1&amp;2'!$B$119:$AU$165,9+CF$7-$BL$7,0)/1000000</f>
        <v>0</v>
      </c>
      <c r="CG99" s="108">
        <f>AW99*$BK99*VLOOKUP($D99,'Land Price Phase Sc1&amp;2'!$B$119:$AU$165,9+CG$7-$BL$7,0)/1000000</f>
        <v>0</v>
      </c>
      <c r="CH99" s="108">
        <f>AX99*$BK99*VLOOKUP($D99,'Land Price Phase Sc1&amp;2'!$B$119:$AU$165,9+CH$7-$BL$7,0)/1000000</f>
        <v>0</v>
      </c>
      <c r="CI99" s="108">
        <f>AY99*$BK99*VLOOKUP($D99,'Land Price Phase Sc1&amp;2'!$B$119:$AU$165,9+CI$7-$BL$7,0)/1000000</f>
        <v>0</v>
      </c>
      <c r="CJ99" s="108">
        <f>AZ99*$BK99*VLOOKUP($D99,'Land Price Phase Sc1&amp;2'!$B$119:$AU$165,9+CJ$7-$BL$7,0)/1000000</f>
        <v>0</v>
      </c>
      <c r="CK99" s="108">
        <f>BA99*$BK99*VLOOKUP($D99,'Land Price Phase Sc1&amp;2'!$B$119:$AU$165,9+CK$7-$BL$7,0)/1000000</f>
        <v>0</v>
      </c>
      <c r="CL99" s="108">
        <f>BB99*$BK99*VLOOKUP($D99,'Land Price Phase Sc1&amp;2'!$B$119:$AU$165,9+CL$7-$BL$7,0)/1000000</f>
        <v>0</v>
      </c>
      <c r="CM99" s="108">
        <f>BC99*$BK99*VLOOKUP($D99,'Land Price Phase Sc1&amp;2'!$B$119:$AU$165,9+CM$7-$BL$7,0)/1000000</f>
        <v>0</v>
      </c>
      <c r="CN99" s="108">
        <f>BD99*$BK99*VLOOKUP($D99,'Land Price Phase Sc1&amp;2'!$B$119:$AU$165,9+CN$7-$BL$7,0)/1000000</f>
        <v>0</v>
      </c>
      <c r="CO99" s="108">
        <f>BE99*$BK99*VLOOKUP($D99,'Land Price Phase Sc1&amp;2'!$B$119:$AU$165,9+CO$7-$BL$7,0)/1000000</f>
        <v>0</v>
      </c>
      <c r="CP99" s="108">
        <f>BF99*$BK99*VLOOKUP($D99,'Land Price Phase Sc1&amp;2'!$B$119:$AU$165,9+CP$7-$BL$7,0)/1000000</f>
        <v>0</v>
      </c>
      <c r="CQ99" s="108">
        <f>BG99*$BK99*VLOOKUP($D99,'Land Price Phase Sc1&amp;2'!$B$119:$AU$165,9+CQ$7-$BL$7,0)/1000000</f>
        <v>0</v>
      </c>
      <c r="CR99" s="108">
        <f>SUM(BL99:CQ99)</f>
        <v>17.807159910474539</v>
      </c>
      <c r="CS99" s="19"/>
      <c r="CT99" s="19"/>
      <c r="CU99" s="19"/>
      <c r="CV99" s="19"/>
      <c r="CW99" s="20"/>
      <c r="CX99" s="20"/>
      <c r="CY99" s="20"/>
      <c r="CZ99" s="20"/>
      <c r="DA99" s="20"/>
      <c r="DB99" s="20"/>
      <c r="DC99" s="20"/>
      <c r="DK99" s="10"/>
      <c r="DL99" s="10"/>
      <c r="DM99" s="10"/>
      <c r="DN99" s="10"/>
      <c r="DO99" s="10"/>
      <c r="DP99" s="10"/>
      <c r="DQ99" s="10"/>
      <c r="DR99" s="10"/>
      <c r="DS99" s="10"/>
      <c r="DT99" s="10"/>
      <c r="EB99" s="84"/>
      <c r="EC99" s="84"/>
    </row>
    <row r="100" spans="1:133" x14ac:dyDescent="0.3">
      <c r="A100" s="104" t="s">
        <v>34</v>
      </c>
      <c r="B100" s="104" t="s">
        <v>198</v>
      </c>
      <c r="C100" s="104"/>
      <c r="D100" s="104" t="s">
        <v>282</v>
      </c>
      <c r="E100" s="104" t="s">
        <v>297</v>
      </c>
      <c r="F100" s="105">
        <v>2</v>
      </c>
      <c r="G100" s="105"/>
      <c r="H100" s="105"/>
      <c r="I100" s="105"/>
      <c r="J100" s="105">
        <f t="shared" ref="J100" si="222">F100</f>
        <v>2</v>
      </c>
      <c r="K100" s="105"/>
      <c r="L100" s="105"/>
      <c r="M100" s="105"/>
      <c r="N100" s="105"/>
      <c r="O100" s="104">
        <v>2022</v>
      </c>
      <c r="P100" s="104">
        <f>O100+4</f>
        <v>2026</v>
      </c>
      <c r="Q100" s="104">
        <f>P100+4</f>
        <v>2030</v>
      </c>
      <c r="R100" s="106">
        <f t="shared" si="218"/>
        <v>1</v>
      </c>
      <c r="S100" s="104"/>
      <c r="T100" s="104"/>
      <c r="U100" s="116">
        <f>'Park spec inputs'!L$22</f>
        <v>0.37499999999999994</v>
      </c>
      <c r="V100" s="116">
        <f>'Park spec inputs'!M$22</f>
        <v>0.625</v>
      </c>
      <c r="W100" s="107">
        <f t="shared" si="138"/>
        <v>0.21355808788157429</v>
      </c>
      <c r="X100" s="107">
        <f t="shared" si="117"/>
        <v>2.9660913873839014</v>
      </c>
      <c r="Y100" s="107">
        <f t="shared" si="118"/>
        <v>3.1078056670393375</v>
      </c>
      <c r="Z100" s="104">
        <v>26</v>
      </c>
      <c r="AA100" s="108">
        <f t="shared" si="155"/>
        <v>1.4106803855946488</v>
      </c>
      <c r="AB100" s="104"/>
      <c r="AC100" s="104"/>
      <c r="AD100" s="104"/>
      <c r="AE100" s="104"/>
      <c r="AF100" s="104"/>
      <c r="AG100" s="104"/>
      <c r="AH100" s="104"/>
      <c r="AI100" s="104"/>
      <c r="AJ100" s="104"/>
      <c r="AK100" s="104">
        <f>$U$100/4</f>
        <v>9.3749999999999986E-2</v>
      </c>
      <c r="AL100" s="104">
        <f>AK100</f>
        <v>9.3749999999999986E-2</v>
      </c>
      <c r="AM100" s="104">
        <f>AL100</f>
        <v>9.3749999999999986E-2</v>
      </c>
      <c r="AN100" s="104">
        <f>AM100</f>
        <v>9.3749999999999986E-2</v>
      </c>
      <c r="AO100" s="104">
        <f>$V$100/3</f>
        <v>0.20833333333333334</v>
      </c>
      <c r="AP100" s="104">
        <f t="shared" si="216"/>
        <v>0.20833333333333334</v>
      </c>
      <c r="AQ100" s="104">
        <f t="shared" si="216"/>
        <v>0.20833333333333334</v>
      </c>
      <c r="AR100" s="104"/>
      <c r="AS100" s="104"/>
      <c r="AT100" s="104"/>
      <c r="AU100" s="104"/>
      <c r="AV100" s="104"/>
      <c r="AW100" s="104"/>
      <c r="AX100" s="104"/>
      <c r="AY100" s="104"/>
      <c r="AZ100" s="104"/>
      <c r="BA100" s="104"/>
      <c r="BB100" s="104"/>
      <c r="BC100" s="104"/>
      <c r="BD100" s="104"/>
      <c r="BE100" s="104"/>
      <c r="BF100" s="104"/>
      <c r="BG100" s="108"/>
      <c r="BH100" s="109">
        <f t="shared" ref="BH100" si="223">SUM(AB100:AK100)</f>
        <v>9.3749999999999986E-2</v>
      </c>
      <c r="BI100" s="109">
        <f>SUM(AL100:BG100)</f>
        <v>0.90625</v>
      </c>
      <c r="BJ100" s="109"/>
      <c r="BK100" s="104">
        <f t="shared" si="221"/>
        <v>8000</v>
      </c>
      <c r="BL100" s="108">
        <f>AB100*$BK100*'Cost inputs'!$D$32*'Land Price Phase Sc1&amp;2'!J$114/1000000</f>
        <v>0</v>
      </c>
      <c r="BM100" s="108">
        <f>AC100*$BK100*'Cost inputs'!$D$32*'Land Price Phase Sc1&amp;2'!K$114/1000000</f>
        <v>0</v>
      </c>
      <c r="BN100" s="108">
        <f>AD100*$BK100*'Cost inputs'!$D$32*'Land Price Phase Sc1&amp;2'!L$114/1000000</f>
        <v>0</v>
      </c>
      <c r="BO100" s="108">
        <f>AE100*$BK100*'Cost inputs'!$D$32*'Land Price Phase Sc1&amp;2'!M$114/1000000</f>
        <v>0</v>
      </c>
      <c r="BP100" s="108">
        <f>AF100*$BK100*'Cost inputs'!$D$32*'Land Price Phase Sc1&amp;2'!N$114/1000000</f>
        <v>0</v>
      </c>
      <c r="BQ100" s="108">
        <f>AG100*$BK100*'Cost inputs'!$E$32*'Land Price Phase Sc1&amp;2'!O$114/1000000</f>
        <v>0</v>
      </c>
      <c r="BR100" s="108">
        <f>AH100*$BK100*'Cost inputs'!$E$32*'Land Price Phase Sc1&amp;2'!P$114/1000000</f>
        <v>0</v>
      </c>
      <c r="BS100" s="108">
        <f>AI100*$BK100*'Cost inputs'!$E$32*'Land Price Phase Sc1&amp;2'!Q$114/1000000</f>
        <v>0</v>
      </c>
      <c r="BT100" s="108">
        <f>AJ100*$BK100*'Cost inputs'!$E$32*'Land Price Phase Sc1&amp;2'!R$114/1000000</f>
        <v>0</v>
      </c>
      <c r="BU100" s="108">
        <f>AK100*$BK100*'Cost inputs'!$E$32*'Land Price Phase Sc1&amp;2'!S$114/1000000</f>
        <v>1.4106803855946488</v>
      </c>
      <c r="BV100" s="108">
        <f>AL100*$BK100*'Cost inputs'!$E$32*'Land Price Phase Sc1&amp;2'!T$114/1000000</f>
        <v>1.5108386929718689</v>
      </c>
      <c r="BW100" s="108">
        <f>AM100*$BK100*'Cost inputs'!$E$32*'Land Price Phase Sc1&amp;2'!U$114/1000000</f>
        <v>1.6181082401728715</v>
      </c>
      <c r="BX100" s="108">
        <f>AN100*$BK100*'Cost inputs'!$E$32*'Land Price Phase Sc1&amp;2'!V$114/1000000</f>
        <v>1.7329939252251452</v>
      </c>
      <c r="BY100" s="108">
        <f>AO100*$BK100*'Cost inputs'!$E$32*'Land Price Phase Sc1&amp;2'!W$114/1000000</f>
        <v>4.1245255420358458</v>
      </c>
      <c r="BZ100" s="108">
        <f>AP100*$BK100*'Cost inputs'!$E$32*'Land Price Phase Sc1&amp;2'!X$114/1000000</f>
        <v>4.4173668555203909</v>
      </c>
      <c r="CA100" s="108">
        <f>AQ100*$BK100*'Cost inputs'!$E$32*'Land Price Phase Sc1&amp;2'!Y$114/1000000</f>
        <v>4.7309999022623384</v>
      </c>
      <c r="CB100" s="108">
        <f>AR100*$BK100*'Cost inputs'!$E$32*'Land Price Phase Sc1&amp;2'!Z$114/1000000</f>
        <v>0</v>
      </c>
      <c r="CC100" s="108">
        <f>AS100*$BK100*'Cost inputs'!$E$32*'Land Price Phase Sc1&amp;2'!AA$114/1000000</f>
        <v>0</v>
      </c>
      <c r="CD100" s="108">
        <f>AT100*$BK100*'Cost inputs'!$E$32*'Land Price Phase Sc1&amp;2'!AB$114/1000000</f>
        <v>0</v>
      </c>
      <c r="CE100" s="108">
        <f>AU100*$BK100*'Cost inputs'!$E$32*'Land Price Phase Sc1&amp;2'!AC$114/1000000</f>
        <v>0</v>
      </c>
      <c r="CF100" s="108">
        <f>AV100*$BK100*'Cost inputs'!$E$32*'Land Price Phase Sc1&amp;2'!AD$114/1000000</f>
        <v>0</v>
      </c>
      <c r="CG100" s="108">
        <f>AW100*$BK100*'Cost inputs'!$E$32*'Land Price Phase Sc1&amp;2'!AE$114/1000000</f>
        <v>0</v>
      </c>
      <c r="CH100" s="108">
        <f>AX100*$BK100*'Cost inputs'!$E$32*'Land Price Phase Sc1&amp;2'!AF$114/1000000</f>
        <v>0</v>
      </c>
      <c r="CI100" s="108">
        <f>AY100*$BK100*'Cost inputs'!$E$32*'Land Price Phase Sc1&amp;2'!AG$114/1000000</f>
        <v>0</v>
      </c>
      <c r="CJ100" s="108">
        <f>AZ100*$BK100*'Cost inputs'!$E$32*'Land Price Phase Sc1&amp;2'!AH$114/1000000</f>
        <v>0</v>
      </c>
      <c r="CK100" s="108">
        <f>BA100*$BK100*'Cost inputs'!$E$32*'Land Price Phase Sc1&amp;2'!AI$114/1000000</f>
        <v>0</v>
      </c>
      <c r="CL100" s="108">
        <f>BB100*$BK100*'Cost inputs'!$E$32*'Land Price Phase Sc1&amp;2'!AJ$114/1000000</f>
        <v>0</v>
      </c>
      <c r="CM100" s="108">
        <f>BC100*$BK100*'Cost inputs'!$E$32*'Land Price Phase Sc1&amp;2'!AK$114/1000000</f>
        <v>0</v>
      </c>
      <c r="CN100" s="108">
        <f>BD100*$BK100*'Cost inputs'!$E$32*'Land Price Phase Sc1&amp;2'!AL$114/1000000</f>
        <v>0</v>
      </c>
      <c r="CO100" s="108">
        <f>BE100*$BK100*'Cost inputs'!$E$32*'Land Price Phase Sc1&amp;2'!AM$114/1000000</f>
        <v>0</v>
      </c>
      <c r="CP100" s="108">
        <f>BF100*$BK100*'Cost inputs'!$E$32*'Land Price Phase Sc1&amp;2'!AN$114/1000000</f>
        <v>0</v>
      </c>
      <c r="CQ100" s="108">
        <f>BG100*$BK100*'Cost inputs'!$E$32*'Land Price Phase Sc1&amp;2'!AO$114/1000000</f>
        <v>0</v>
      </c>
      <c r="CR100" s="108">
        <f>SUM(BL100:CQ100)</f>
        <v>19.545513543783109</v>
      </c>
      <c r="CS100" s="19"/>
      <c r="CT100" s="19"/>
      <c r="CU100" s="19"/>
      <c r="CV100" s="19"/>
      <c r="CW100" s="20"/>
      <c r="CX100" s="20"/>
      <c r="CY100" s="20"/>
      <c r="CZ100" s="20"/>
      <c r="DA100" s="20"/>
      <c r="DB100" s="20"/>
      <c r="DC100" s="20"/>
      <c r="DK100" s="10"/>
      <c r="DL100" s="10"/>
      <c r="DM100" s="10"/>
      <c r="DN100" s="10"/>
      <c r="DO100" s="10"/>
      <c r="DP100" s="10"/>
      <c r="DQ100" s="10"/>
      <c r="DR100" s="10"/>
      <c r="DS100" s="10"/>
      <c r="DT100" s="10"/>
      <c r="EB100" s="84"/>
      <c r="EC100" s="84"/>
    </row>
    <row r="101" spans="1:133" x14ac:dyDescent="0.3">
      <c r="F101" s="10"/>
      <c r="G101" s="10"/>
      <c r="H101" s="10"/>
      <c r="I101" s="10"/>
      <c r="J101" s="10"/>
      <c r="K101" s="10"/>
      <c r="L101" s="10"/>
      <c r="M101" s="10"/>
      <c r="N101" s="10"/>
      <c r="BI101" s="15"/>
      <c r="BJ101" s="15"/>
      <c r="BL101" s="17"/>
      <c r="BM101" s="17"/>
      <c r="BN101" s="17"/>
      <c r="BO101" s="17"/>
      <c r="BP101" s="17"/>
      <c r="BQ101" s="17"/>
      <c r="BR101" s="17"/>
      <c r="BS101" s="17"/>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9"/>
      <c r="CT101" s="19"/>
      <c r="CU101" s="19"/>
      <c r="CV101" s="19"/>
      <c r="CW101" s="20"/>
      <c r="CX101" s="20"/>
      <c r="CY101" s="20"/>
      <c r="CZ101" s="20"/>
      <c r="DA101" s="20"/>
      <c r="DB101" s="20"/>
      <c r="DC101" s="20"/>
      <c r="DK101" s="10"/>
      <c r="DL101" s="10"/>
      <c r="DM101" s="10"/>
      <c r="DN101" s="10"/>
      <c r="DO101" s="10"/>
      <c r="DP101" s="10"/>
      <c r="DQ101" s="10"/>
      <c r="DR101" s="10"/>
      <c r="DS101" s="10"/>
      <c r="DT101" s="10"/>
    </row>
    <row r="102" spans="1:133" x14ac:dyDescent="0.3">
      <c r="C102" s="3"/>
      <c r="E102" s="3"/>
      <c r="F102" s="10"/>
      <c r="G102" s="10"/>
      <c r="H102" s="10"/>
      <c r="I102" s="10"/>
      <c r="J102" s="10"/>
      <c r="K102" s="10"/>
      <c r="L102" s="10"/>
      <c r="M102" s="10"/>
      <c r="N102" s="10"/>
      <c r="AL102" s="2">
        <f>AL106/AL105-1.02</f>
        <v>-3.7828796314309798E-5</v>
      </c>
      <c r="AM102" s="2">
        <f t="shared" ref="AM102:AQ102" si="224">AM106/AM105-1.02</f>
        <v>-3.5775910817159584E-5</v>
      </c>
      <c r="AN102" s="2">
        <f t="shared" si="224"/>
        <v>-3.5366626212729457E-5</v>
      </c>
      <c r="AO102" s="2">
        <f t="shared" si="224"/>
        <v>-3.5301289332378971E-5</v>
      </c>
      <c r="AP102" s="2">
        <f t="shared" si="224"/>
        <v>-1.9506807202862575E-5</v>
      </c>
      <c r="AQ102" s="2">
        <f t="shared" si="224"/>
        <v>0</v>
      </c>
      <c r="BI102" s="15"/>
      <c r="BJ102" s="15"/>
      <c r="BL102" s="17"/>
      <c r="BM102" s="17"/>
      <c r="BN102" s="17"/>
      <c r="BO102" s="17"/>
      <c r="BP102" s="17"/>
      <c r="BQ102" s="17"/>
      <c r="BR102" s="17"/>
      <c r="BS102" s="17"/>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9"/>
      <c r="CT102" s="19"/>
      <c r="CU102" s="19"/>
      <c r="CV102" s="19"/>
      <c r="CW102" s="20"/>
      <c r="CX102" s="20"/>
      <c r="CY102" s="20"/>
      <c r="CZ102" s="20"/>
      <c r="DA102" s="20"/>
      <c r="DB102" s="20"/>
      <c r="DC102" s="20"/>
      <c r="DK102" s="10"/>
      <c r="DL102" s="10"/>
      <c r="DM102" s="10"/>
      <c r="DN102" s="10"/>
      <c r="DO102" s="10"/>
      <c r="DP102" s="10"/>
      <c r="DQ102" s="10"/>
      <c r="DR102" s="10"/>
      <c r="DS102" s="10"/>
      <c r="DT102" s="10"/>
    </row>
    <row r="103" spans="1:133" x14ac:dyDescent="0.3">
      <c r="A103" s="5"/>
      <c r="H103" s="11"/>
      <c r="I103" s="11"/>
      <c r="J103" s="11"/>
      <c r="K103" s="11"/>
      <c r="L103" s="11"/>
      <c r="M103" s="11"/>
      <c r="N103" s="11"/>
      <c r="O103" s="11"/>
      <c r="P103" s="12"/>
      <c r="AB103" s="89">
        <v>2025</v>
      </c>
      <c r="AC103" s="89">
        <v>2026</v>
      </c>
      <c r="AD103" s="89">
        <v>2027</v>
      </c>
      <c r="AE103" s="89">
        <v>2028</v>
      </c>
      <c r="AF103" s="89">
        <v>2029</v>
      </c>
      <c r="AG103" s="89">
        <v>2030</v>
      </c>
      <c r="AH103" s="89">
        <v>2031</v>
      </c>
      <c r="AI103" s="89">
        <v>2032</v>
      </c>
      <c r="AJ103" s="89">
        <v>2033</v>
      </c>
      <c r="AK103" s="89">
        <v>2034</v>
      </c>
      <c r="AL103" s="2">
        <v>2035</v>
      </c>
      <c r="AM103" s="2">
        <v>2036</v>
      </c>
      <c r="AN103" s="2">
        <v>2037</v>
      </c>
      <c r="AO103" s="2">
        <v>2038</v>
      </c>
      <c r="AP103" s="2">
        <v>2039</v>
      </c>
      <c r="AQ103" s="2">
        <v>2040</v>
      </c>
      <c r="AR103" s="2">
        <v>2041</v>
      </c>
      <c r="AS103" s="2">
        <v>2042</v>
      </c>
      <c r="BI103" s="24"/>
      <c r="BJ103" s="24"/>
      <c r="BK103" s="5">
        <f>SUM(BK8:BK100)/10000</f>
        <v>210.84129999999999</v>
      </c>
      <c r="BL103" s="24">
        <f t="shared" ref="BL103:CR103" si="225">SUM(BL8:BL100)</f>
        <v>33.198016766820068</v>
      </c>
      <c r="BM103" s="24">
        <f t="shared" si="225"/>
        <v>23.842828767753694</v>
      </c>
      <c r="BN103" s="24">
        <f t="shared" si="225"/>
        <v>25.740603082567059</v>
      </c>
      <c r="BO103" s="24">
        <f t="shared" si="225"/>
        <v>30.059586773258037</v>
      </c>
      <c r="BP103" s="24">
        <f t="shared" si="225"/>
        <v>37.554150605496503</v>
      </c>
      <c r="BQ103" s="24">
        <f t="shared" si="225"/>
        <v>61.19659410134846</v>
      </c>
      <c r="BR103" s="24">
        <f t="shared" si="225"/>
        <v>51.582913698562379</v>
      </c>
      <c r="BS103" s="24">
        <f t="shared" si="225"/>
        <v>49.820060762264866</v>
      </c>
      <c r="BT103" s="24">
        <f t="shared" si="225"/>
        <v>45.016020878518972</v>
      </c>
      <c r="BU103" s="24">
        <f t="shared" si="225"/>
        <v>36.842771721536408</v>
      </c>
      <c r="BV103" s="24">
        <f t="shared" si="225"/>
        <v>153.68739263475888</v>
      </c>
      <c r="BW103" s="24">
        <f t="shared" si="225"/>
        <v>164.58764952246867</v>
      </c>
      <c r="BX103" s="24">
        <f t="shared" si="225"/>
        <v>176.32662556315466</v>
      </c>
      <c r="BY103" s="24">
        <f t="shared" si="225"/>
        <v>188.85063594074981</v>
      </c>
      <c r="BZ103" s="24">
        <f t="shared" si="225"/>
        <v>202.37143992270543</v>
      </c>
      <c r="CA103" s="24">
        <f t="shared" si="225"/>
        <v>216.7180623147004</v>
      </c>
      <c r="CB103" s="24">
        <f t="shared" si="225"/>
        <v>212.2469644350796</v>
      </c>
      <c r="CC103" s="24">
        <f t="shared" si="225"/>
        <v>162.83739158656434</v>
      </c>
      <c r="CD103" s="24">
        <f t="shared" si="225"/>
        <v>112.9941732776818</v>
      </c>
      <c r="CE103" s="24">
        <f t="shared" si="225"/>
        <v>151.10754897871993</v>
      </c>
      <c r="CF103" s="24">
        <f t="shared" si="225"/>
        <v>132.58201522838951</v>
      </c>
      <c r="CG103" s="24">
        <f t="shared" si="225"/>
        <v>145.03326342506347</v>
      </c>
      <c r="CH103" s="24">
        <f t="shared" si="225"/>
        <v>89.517333757066567</v>
      </c>
      <c r="CI103" s="24">
        <f t="shared" si="225"/>
        <v>95.873064453818259</v>
      </c>
      <c r="CJ103" s="24">
        <f t="shared" si="225"/>
        <v>117.91046375404146</v>
      </c>
      <c r="CK103" s="24">
        <f t="shared" si="225"/>
        <v>143.44620278257821</v>
      </c>
      <c r="CL103" s="24">
        <f t="shared" si="225"/>
        <v>153.63088318014127</v>
      </c>
      <c r="CM103" s="24">
        <f t="shared" si="225"/>
        <v>129.4828130404741</v>
      </c>
      <c r="CN103" s="24">
        <f t="shared" si="225"/>
        <v>138.67609276634778</v>
      </c>
      <c r="CO103" s="24">
        <f t="shared" si="225"/>
        <v>601.08622899489285</v>
      </c>
      <c r="CP103" s="24">
        <f t="shared" si="225"/>
        <v>643.76335125353012</v>
      </c>
      <c r="CQ103" s="24">
        <f t="shared" si="225"/>
        <v>689.4705491925306</v>
      </c>
      <c r="CR103" s="24">
        <f t="shared" si="225"/>
        <v>5217.0536931635843</v>
      </c>
    </row>
    <row r="104" spans="1:133" x14ac:dyDescent="0.3">
      <c r="A104" s="61"/>
      <c r="B104" s="62"/>
      <c r="C104" s="63"/>
      <c r="D104" s="62"/>
      <c r="E104" s="64"/>
      <c r="H104" s="11"/>
      <c r="I104" s="11"/>
      <c r="J104" s="11"/>
      <c r="K104" s="11"/>
      <c r="L104" s="11"/>
      <c r="M104" s="11"/>
      <c r="N104" s="11"/>
      <c r="O104" s="11"/>
      <c r="P104" s="12"/>
      <c r="AA104" s="45">
        <f t="shared" ref="AA104:AR104" si="226">AA106-AA105</f>
        <v>-4.3280632496589533E-5</v>
      </c>
      <c r="AB104" s="39">
        <f t="shared" si="226"/>
        <v>0</v>
      </c>
      <c r="AC104" s="39">
        <f t="shared" si="226"/>
        <v>0</v>
      </c>
      <c r="AD104" s="88">
        <f t="shared" si="226"/>
        <v>0</v>
      </c>
      <c r="AE104" s="39">
        <f t="shared" si="226"/>
        <v>0</v>
      </c>
      <c r="AF104" s="39">
        <f t="shared" si="226"/>
        <v>0</v>
      </c>
      <c r="AG104" s="39">
        <f t="shared" si="226"/>
        <v>0</v>
      </c>
      <c r="AH104" s="39">
        <f t="shared" si="226"/>
        <v>-1.230331987756017E-5</v>
      </c>
      <c r="AI104" s="39">
        <f t="shared" si="226"/>
        <v>-9.9228257752770332E-6</v>
      </c>
      <c r="AJ104" s="39">
        <f t="shared" si="226"/>
        <v>-2.1054486886384893E-5</v>
      </c>
      <c r="AK104" s="39">
        <f t="shared" si="226"/>
        <v>0</v>
      </c>
      <c r="AL104" s="39">
        <f t="shared" si="226"/>
        <v>3.0190368241365206</v>
      </c>
      <c r="AM104" s="39">
        <f t="shared" si="226"/>
        <v>3.2337209563991109</v>
      </c>
      <c r="AN104" s="39">
        <f t="shared" si="226"/>
        <v>3.4633861453883412</v>
      </c>
      <c r="AO104" s="39">
        <f t="shared" si="226"/>
        <v>3.7092987008375076</v>
      </c>
      <c r="AP104" s="39">
        <f t="shared" si="226"/>
        <v>3.9758017604400209</v>
      </c>
      <c r="AQ104" s="39">
        <f t="shared" si="226"/>
        <v>4.2622408209286107</v>
      </c>
      <c r="AR104" s="39">
        <f t="shared" si="226"/>
        <v>-15.334877743007183</v>
      </c>
      <c r="BI104" s="24"/>
      <c r="BJ104" s="24"/>
      <c r="BK104" s="5"/>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row>
    <row r="105" spans="1:133" x14ac:dyDescent="0.3">
      <c r="A105" s="122"/>
      <c r="B105" s="104"/>
      <c r="C105" s="116"/>
      <c r="D105" s="104"/>
      <c r="E105" s="123"/>
      <c r="F105" s="104"/>
      <c r="G105" s="104"/>
      <c r="H105" s="124"/>
      <c r="I105" s="124"/>
      <c r="J105" s="124"/>
      <c r="K105" s="124"/>
      <c r="L105" s="124"/>
      <c r="M105" s="124"/>
      <c r="N105" s="124"/>
      <c r="O105" s="124"/>
      <c r="P105" s="125"/>
      <c r="Q105" s="104"/>
      <c r="R105" s="104"/>
      <c r="S105" s="104"/>
      <c r="T105" s="104"/>
      <c r="U105" s="104"/>
      <c r="V105" s="104"/>
      <c r="W105" s="104"/>
      <c r="X105" s="107"/>
      <c r="Y105" s="104" t="s">
        <v>455</v>
      </c>
      <c r="Z105" s="104"/>
      <c r="AA105" s="108">
        <f>SUM(AB105:AK105)</f>
        <v>396.73458321999999</v>
      </c>
      <c r="AB105" s="105">
        <f t="shared" ref="AB105:AK105" si="227">AB349</f>
        <v>33.453160579999995</v>
      </c>
      <c r="AC105" s="105">
        <f t="shared" si="227"/>
        <v>24.039469839999999</v>
      </c>
      <c r="AD105" s="105">
        <f t="shared" si="227"/>
        <v>25.906675280000002</v>
      </c>
      <c r="AE105" s="105">
        <f t="shared" si="227"/>
        <v>30.168247409999999</v>
      </c>
      <c r="AF105" s="105">
        <f t="shared" si="227"/>
        <v>37.667599000000003</v>
      </c>
      <c r="AG105" s="105">
        <f t="shared" si="227"/>
        <v>61.372845659999996</v>
      </c>
      <c r="AH105" s="105">
        <f t="shared" si="227"/>
        <v>51.77722181</v>
      </c>
      <c r="AI105" s="105">
        <f t="shared" si="227"/>
        <v>50.05862192</v>
      </c>
      <c r="AJ105" s="105">
        <f t="shared" si="227"/>
        <v>45.234551759999995</v>
      </c>
      <c r="AK105" s="105">
        <f t="shared" si="227"/>
        <v>37.056189959999998</v>
      </c>
      <c r="AL105" s="126">
        <f t="shared" ref="AL105:AS105" si="228">AL4</f>
        <v>151.23789858986325</v>
      </c>
      <c r="AM105" s="126">
        <f t="shared" si="228"/>
        <v>161.97578938974351</v>
      </c>
      <c r="AN105" s="126">
        <f t="shared" si="228"/>
        <v>173.47607043641528</v>
      </c>
      <c r="AO105" s="126">
        <f t="shared" si="228"/>
        <v>185.79287143740078</v>
      </c>
      <c r="AP105" s="126">
        <f t="shared" si="228"/>
        <v>198.98416530945619</v>
      </c>
      <c r="AQ105" s="126">
        <f t="shared" si="228"/>
        <v>213.11204104642755</v>
      </c>
      <c r="AR105" s="126">
        <f t="shared" si="228"/>
        <v>228.24299596072393</v>
      </c>
      <c r="AS105" s="126">
        <f t="shared" si="228"/>
        <v>244.4482486739353</v>
      </c>
      <c r="AT105" s="104"/>
      <c r="AU105" s="104"/>
      <c r="AV105" s="104"/>
      <c r="AW105" s="104"/>
      <c r="BI105" s="24"/>
      <c r="BJ105" s="24"/>
      <c r="BK105" s="5"/>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row>
    <row r="106" spans="1:133" x14ac:dyDescent="0.3">
      <c r="A106" s="104"/>
      <c r="B106" s="104"/>
      <c r="C106" s="104"/>
      <c r="D106" s="104"/>
      <c r="E106" s="104"/>
      <c r="F106" s="104"/>
      <c r="G106" s="104"/>
      <c r="H106" s="124"/>
      <c r="I106" s="124"/>
      <c r="J106" s="124"/>
      <c r="K106" s="124"/>
      <c r="L106" s="124"/>
      <c r="M106" s="124"/>
      <c r="N106" s="124"/>
      <c r="O106" s="124"/>
      <c r="P106" s="125"/>
      <c r="Q106" s="104"/>
      <c r="R106" s="104"/>
      <c r="S106" s="104"/>
      <c r="T106" s="104"/>
      <c r="U106" s="104"/>
      <c r="V106" s="104"/>
      <c r="W106" s="104"/>
      <c r="X106" s="107"/>
      <c r="Y106" s="127" t="s">
        <v>367</v>
      </c>
      <c r="Z106" s="127"/>
      <c r="AA106" s="128">
        <f>SUM(AB106:AK106)</f>
        <v>396.73453993936749</v>
      </c>
      <c r="AB106" s="108">
        <f t="shared" ref="AB106:AL106" si="229">AB382</f>
        <v>33.453160579999995</v>
      </c>
      <c r="AC106" s="108">
        <f t="shared" si="229"/>
        <v>24.039469839999995</v>
      </c>
      <c r="AD106" s="108">
        <f t="shared" si="229"/>
        <v>25.906675280000012</v>
      </c>
      <c r="AE106" s="108">
        <f t="shared" si="229"/>
        <v>30.168247409999999</v>
      </c>
      <c r="AF106" s="108">
        <f t="shared" si="229"/>
        <v>37.667599000000024</v>
      </c>
      <c r="AG106" s="108">
        <f t="shared" si="229"/>
        <v>61.372845659999982</v>
      </c>
      <c r="AH106" s="108">
        <f t="shared" si="229"/>
        <v>51.777209506680123</v>
      </c>
      <c r="AI106" s="108">
        <f t="shared" si="229"/>
        <v>50.058611997174225</v>
      </c>
      <c r="AJ106" s="108">
        <f t="shared" si="229"/>
        <v>45.234530705513109</v>
      </c>
      <c r="AK106" s="108">
        <f t="shared" si="229"/>
        <v>37.056189959999998</v>
      </c>
      <c r="AL106" s="108">
        <f t="shared" si="229"/>
        <v>154.25693541399977</v>
      </c>
      <c r="AM106" s="108">
        <f t="shared" ref="AM106:AR106" si="230">AM382</f>
        <v>165.20951034614262</v>
      </c>
      <c r="AN106" s="108">
        <f t="shared" si="230"/>
        <v>176.93945658180363</v>
      </c>
      <c r="AO106" s="108">
        <f t="shared" si="230"/>
        <v>189.50217013823828</v>
      </c>
      <c r="AP106" s="108">
        <f t="shared" si="230"/>
        <v>202.95996706989621</v>
      </c>
      <c r="AQ106" s="108">
        <f t="shared" si="230"/>
        <v>217.37428186735616</v>
      </c>
      <c r="AR106" s="108">
        <f t="shared" si="230"/>
        <v>212.90811821771675</v>
      </c>
      <c r="AS106" s="108">
        <f t="shared" ref="AS106" si="231">AS382</f>
        <v>163.32173981385782</v>
      </c>
      <c r="AT106" s="104"/>
      <c r="AU106" s="104"/>
      <c r="AV106" s="104"/>
      <c r="AW106" s="104"/>
      <c r="BI106" s="24"/>
      <c r="BJ106" s="24"/>
      <c r="BK106" s="5"/>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row>
    <row r="107" spans="1:133" x14ac:dyDescent="0.3">
      <c r="A107" s="122" t="s">
        <v>384</v>
      </c>
      <c r="B107" s="104"/>
      <c r="C107" s="104"/>
      <c r="D107" s="104"/>
      <c r="E107" s="104"/>
      <c r="F107" s="104"/>
      <c r="G107" s="104"/>
      <c r="H107" s="124"/>
      <c r="I107" s="124"/>
      <c r="J107" s="124"/>
      <c r="K107" s="124"/>
      <c r="L107" s="124"/>
      <c r="M107" s="124"/>
      <c r="N107" s="124"/>
      <c r="O107" s="124"/>
      <c r="P107" s="125"/>
      <c r="Q107" s="104"/>
      <c r="R107" s="104"/>
      <c r="S107" s="104"/>
      <c r="T107" s="104"/>
      <c r="U107" s="104"/>
      <c r="V107" s="104"/>
      <c r="W107" s="104"/>
      <c r="X107" s="107"/>
      <c r="Y107" s="107"/>
      <c r="Z107" s="107"/>
      <c r="AA107" s="107"/>
      <c r="AB107" s="104"/>
      <c r="AC107" s="104"/>
      <c r="AD107" s="104"/>
      <c r="AE107" s="104"/>
      <c r="AF107" s="104"/>
      <c r="AG107" s="104"/>
      <c r="AH107" s="104"/>
      <c r="AI107" s="104"/>
      <c r="AJ107" s="104"/>
      <c r="AK107" s="104"/>
      <c r="AL107" s="104"/>
      <c r="AM107" s="104"/>
      <c r="AN107" s="104"/>
      <c r="AO107" s="104"/>
      <c r="AP107" s="104"/>
      <c r="AQ107" s="104"/>
      <c r="AR107" s="104"/>
      <c r="AS107" s="104"/>
      <c r="AT107" s="104"/>
      <c r="AU107" s="104"/>
      <c r="AV107" s="104"/>
      <c r="AW107" s="104"/>
      <c r="BI107" s="24"/>
      <c r="BJ107" s="24"/>
      <c r="BK107" s="5"/>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row>
    <row r="108" spans="1:133" x14ac:dyDescent="0.3">
      <c r="A108" s="122"/>
      <c r="B108" s="104"/>
      <c r="C108" s="104"/>
      <c r="D108" s="104"/>
      <c r="E108" s="104"/>
      <c r="F108" s="104"/>
      <c r="G108" s="104"/>
      <c r="H108" s="124"/>
      <c r="I108" s="124"/>
      <c r="J108" s="124"/>
      <c r="K108" s="124"/>
      <c r="L108" s="124"/>
      <c r="M108" s="124"/>
      <c r="N108" s="124"/>
      <c r="O108" s="124"/>
      <c r="P108" s="125"/>
      <c r="Q108" s="104"/>
      <c r="R108" s="106"/>
      <c r="S108" s="104"/>
      <c r="T108" s="104"/>
      <c r="U108" s="116" t="s">
        <v>45</v>
      </c>
      <c r="V108" s="77" t="s">
        <v>385</v>
      </c>
      <c r="W108" s="116" t="s">
        <v>386</v>
      </c>
      <c r="X108" s="107" t="s">
        <v>387</v>
      </c>
      <c r="Y108" s="107" t="s">
        <v>388</v>
      </c>
      <c r="Z108" s="107"/>
      <c r="AA108" s="107"/>
      <c r="AB108" s="104"/>
      <c r="AC108" s="104"/>
      <c r="AD108" s="104"/>
      <c r="AE108" s="104"/>
      <c r="AF108" s="104"/>
      <c r="AG108" s="104"/>
      <c r="AH108" s="104"/>
      <c r="AI108" s="104"/>
      <c r="AJ108" s="104"/>
      <c r="AK108" s="104"/>
      <c r="AL108" s="104"/>
      <c r="AM108" s="104"/>
      <c r="AN108" s="104"/>
      <c r="AO108" s="104"/>
      <c r="AP108" s="104"/>
      <c r="AQ108" s="104"/>
      <c r="AR108" s="104"/>
      <c r="AS108" s="104" t="s">
        <v>471</v>
      </c>
      <c r="AT108" s="104"/>
      <c r="AU108" s="104"/>
      <c r="AV108" s="104"/>
      <c r="AW108" s="104"/>
      <c r="BG108" s="15"/>
      <c r="BH108" s="15"/>
      <c r="BI108" s="24"/>
      <c r="BJ108" s="24"/>
      <c r="BK108" s="5"/>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row>
    <row r="109" spans="1:133" x14ac:dyDescent="0.3">
      <c r="A109" s="122"/>
      <c r="B109" s="104"/>
      <c r="C109" s="104"/>
      <c r="D109" s="104"/>
      <c r="E109" s="104"/>
      <c r="F109" s="104"/>
      <c r="G109" s="104"/>
      <c r="H109" s="124"/>
      <c r="I109" s="124"/>
      <c r="J109" s="124"/>
      <c r="K109" s="124"/>
      <c r="L109" s="124"/>
      <c r="M109" s="124"/>
      <c r="N109" s="124"/>
      <c r="O109" s="124"/>
      <c r="P109" s="125"/>
      <c r="Q109" s="106"/>
      <c r="R109" s="106">
        <f>R44</f>
        <v>1</v>
      </c>
      <c r="S109" s="104" t="s">
        <v>27</v>
      </c>
      <c r="T109" s="104" t="s">
        <v>378</v>
      </c>
      <c r="U109" s="104">
        <f>Q44</f>
        <v>2028</v>
      </c>
      <c r="V109" s="77">
        <v>43</v>
      </c>
      <c r="W109" s="116">
        <f>W44</f>
        <v>0.711860292938581</v>
      </c>
      <c r="X109" s="107">
        <f>X44</f>
        <v>91.820689263541368</v>
      </c>
      <c r="Y109" s="107">
        <f>Y44</f>
        <v>86.098507823793028</v>
      </c>
      <c r="Z109" s="107">
        <f>Z44</f>
        <v>25</v>
      </c>
      <c r="AA109" s="107">
        <f>AA44+AA45</f>
        <v>80.095556717671954</v>
      </c>
      <c r="AB109" s="129">
        <v>7.2277777590649045E-2</v>
      </c>
      <c r="AC109" s="129">
        <v>3.7144039148275132E-2</v>
      </c>
      <c r="AD109" s="129">
        <v>4.693886925000864E-2</v>
      </c>
      <c r="AE109" s="129">
        <v>1.9207251627271639E-2</v>
      </c>
      <c r="AF109" s="129">
        <v>3.0671470308457977E-2</v>
      </c>
      <c r="AG109" s="129">
        <v>7.0574517253221988E-2</v>
      </c>
      <c r="AH109" s="129">
        <v>5.784797696261839E-2</v>
      </c>
      <c r="AI109" s="129">
        <v>6.2267232328672428E-2</v>
      </c>
      <c r="AJ109" s="129">
        <v>4.8241630734504208E-2</v>
      </c>
      <c r="AK109" s="129">
        <v>1.4129803340614668E-2</v>
      </c>
      <c r="AL109" s="109">
        <v>0.10472734996525389</v>
      </c>
      <c r="AM109" s="109">
        <v>0.10601471966704468</v>
      </c>
      <c r="AN109" s="109">
        <v>0.10750477164694536</v>
      </c>
      <c r="AO109" s="109">
        <v>0.10314837920794254</v>
      </c>
      <c r="AP109" s="109">
        <v>4.8886873976350477E-2</v>
      </c>
      <c r="AQ109" s="109">
        <v>5.2554477979523215E-2</v>
      </c>
      <c r="AR109" s="109"/>
      <c r="AS109" s="109">
        <f>SUM(AB109:AQ109)</f>
        <v>0.98213714098735427</v>
      </c>
      <c r="AT109" s="109"/>
      <c r="AU109" s="109"/>
      <c r="AV109" s="109"/>
      <c r="AW109" s="109"/>
      <c r="AX109" s="42"/>
      <c r="AY109" s="42"/>
      <c r="AZ109" s="42"/>
      <c r="BA109" s="42"/>
      <c r="BB109" s="42"/>
      <c r="BC109" s="42"/>
      <c r="BD109" s="42"/>
      <c r="BE109" s="42"/>
      <c r="BF109" s="42"/>
      <c r="BG109" s="42"/>
      <c r="BH109" s="42"/>
      <c r="BI109" s="24"/>
      <c r="BJ109" s="24"/>
      <c r="BK109" s="5"/>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row>
    <row r="110" spans="1:133" x14ac:dyDescent="0.3">
      <c r="A110" s="122"/>
      <c r="B110" s="104"/>
      <c r="C110" s="104"/>
      <c r="D110" s="104"/>
      <c r="E110" s="104"/>
      <c r="F110" s="104"/>
      <c r="G110" s="104"/>
      <c r="H110" s="124"/>
      <c r="I110" s="124"/>
      <c r="J110" s="124"/>
      <c r="K110" s="124"/>
      <c r="L110" s="124"/>
      <c r="M110" s="124"/>
      <c r="N110" s="124"/>
      <c r="O110" s="124"/>
      <c r="P110" s="125"/>
      <c r="Q110" s="106"/>
      <c r="R110" s="106">
        <f>R26</f>
        <v>1</v>
      </c>
      <c r="S110" s="104" t="s">
        <v>379</v>
      </c>
      <c r="T110" s="104" t="s">
        <v>352</v>
      </c>
      <c r="U110" s="104">
        <f>Q26</f>
        <v>2023</v>
      </c>
      <c r="V110" s="77">
        <v>25</v>
      </c>
      <c r="W110" s="116">
        <f>W26</f>
        <v>0.711860292938581</v>
      </c>
      <c r="X110" s="107">
        <f>X26</f>
        <v>54.708747568846157</v>
      </c>
      <c r="Y110" s="107">
        <f>Y26</f>
        <v>43.99632020962629</v>
      </c>
      <c r="Z110" s="107">
        <f>Z26</f>
        <v>25</v>
      </c>
      <c r="AA110" s="107">
        <f>AA26+AA27</f>
        <v>43.858224132515161</v>
      </c>
      <c r="AB110" s="109">
        <f>AB109</f>
        <v>7.2277777590649045E-2</v>
      </c>
      <c r="AC110" s="109">
        <f>AC109</f>
        <v>3.7144039148275132E-2</v>
      </c>
      <c r="AD110" s="109">
        <f t="shared" ref="AD110:AK114" si="232">AD109</f>
        <v>4.693886925000864E-2</v>
      </c>
      <c r="AE110" s="109">
        <f t="shared" si="232"/>
        <v>1.9207251627271639E-2</v>
      </c>
      <c r="AF110" s="109">
        <f t="shared" si="232"/>
        <v>3.0671470308457977E-2</v>
      </c>
      <c r="AG110" s="109">
        <f t="shared" si="232"/>
        <v>7.0574517253221988E-2</v>
      </c>
      <c r="AH110" s="109">
        <f t="shared" si="232"/>
        <v>5.784797696261839E-2</v>
      </c>
      <c r="AI110" s="109">
        <f t="shared" si="232"/>
        <v>6.2267232328672428E-2</v>
      </c>
      <c r="AJ110" s="109">
        <f t="shared" si="232"/>
        <v>4.8241630734504208E-2</v>
      </c>
      <c r="AK110" s="109">
        <f t="shared" si="232"/>
        <v>1.4129803340614668E-2</v>
      </c>
      <c r="AL110" s="109">
        <f>AL109</f>
        <v>0.10472734996525389</v>
      </c>
      <c r="AM110" s="109">
        <f>AM109</f>
        <v>0.10601471966704468</v>
      </c>
      <c r="AN110" s="109">
        <f t="shared" ref="AN110:AQ110" si="233">AN109</f>
        <v>0.10750477164694536</v>
      </c>
      <c r="AO110" s="109">
        <f t="shared" si="233"/>
        <v>0.10314837920794254</v>
      </c>
      <c r="AP110" s="109">
        <f t="shared" si="233"/>
        <v>4.8886873976350477E-2</v>
      </c>
      <c r="AQ110" s="109">
        <f t="shared" si="233"/>
        <v>5.2554477979523215E-2</v>
      </c>
      <c r="AR110" s="109"/>
      <c r="AS110" s="109">
        <f t="shared" ref="AS110:AS117" si="234">SUM(AB110:AQ110)</f>
        <v>0.98213714098735427</v>
      </c>
      <c r="AT110" s="109"/>
      <c r="AU110" s="109"/>
      <c r="AV110" s="109"/>
      <c r="AW110" s="109"/>
      <c r="AX110" s="42"/>
      <c r="AY110" s="42"/>
      <c r="AZ110" s="42"/>
      <c r="BA110" s="42"/>
      <c r="BB110" s="42"/>
      <c r="BC110" s="42"/>
      <c r="BD110" s="42"/>
      <c r="BE110" s="42"/>
      <c r="BF110" s="42"/>
      <c r="BG110" s="42"/>
      <c r="BH110" s="42"/>
      <c r="BI110" s="24"/>
      <c r="BJ110" s="24"/>
      <c r="BK110" s="5"/>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row>
    <row r="111" spans="1:133" x14ac:dyDescent="0.3">
      <c r="A111" s="122"/>
      <c r="B111" s="104"/>
      <c r="C111" s="104"/>
      <c r="D111" s="104"/>
      <c r="E111" s="104"/>
      <c r="F111" s="104"/>
      <c r="G111" s="104"/>
      <c r="H111" s="124"/>
      <c r="I111" s="124"/>
      <c r="J111" s="124"/>
      <c r="K111" s="124"/>
      <c r="L111" s="124"/>
      <c r="M111" s="124"/>
      <c r="N111" s="124"/>
      <c r="O111" s="124"/>
      <c r="P111" s="125"/>
      <c r="Q111" s="106"/>
      <c r="R111" s="106">
        <f>R63</f>
        <v>1</v>
      </c>
      <c r="S111" s="104" t="s">
        <v>380</v>
      </c>
      <c r="T111" s="104" t="s">
        <v>355</v>
      </c>
      <c r="U111" s="104" t="str">
        <f>Q63</f>
        <v>spec'd but no price indicated, FY25</v>
      </c>
      <c r="V111" s="77">
        <v>67</v>
      </c>
      <c r="W111" s="116">
        <f>W63</f>
        <v>0.711860292938581</v>
      </c>
      <c r="X111" s="107">
        <f>X63</f>
        <v>28.151659572745903</v>
      </c>
      <c r="Y111" s="107">
        <f>Y63</f>
        <v>24.404959779454902</v>
      </c>
      <c r="Z111" s="107">
        <f>Z63</f>
        <v>25</v>
      </c>
      <c r="AA111" s="107">
        <f>AA63</f>
        <v>2.8334555289059544</v>
      </c>
      <c r="AB111" s="109">
        <f t="shared" ref="AB111:AC114" si="235">AB110</f>
        <v>7.2277777590649045E-2</v>
      </c>
      <c r="AC111" s="109">
        <f t="shared" si="235"/>
        <v>3.7144039148275132E-2</v>
      </c>
      <c r="AD111" s="109">
        <f t="shared" si="232"/>
        <v>4.693886925000864E-2</v>
      </c>
      <c r="AE111" s="109">
        <f t="shared" si="232"/>
        <v>1.9207251627271639E-2</v>
      </c>
      <c r="AF111" s="109">
        <f t="shared" si="232"/>
        <v>3.0671470308457977E-2</v>
      </c>
      <c r="AG111" s="109">
        <f t="shared" si="232"/>
        <v>7.0574517253221988E-2</v>
      </c>
      <c r="AH111" s="109">
        <f t="shared" si="232"/>
        <v>5.784797696261839E-2</v>
      </c>
      <c r="AI111" s="109">
        <f t="shared" si="232"/>
        <v>6.2267232328672428E-2</v>
      </c>
      <c r="AJ111" s="109">
        <f t="shared" si="232"/>
        <v>4.8241630734504208E-2</v>
      </c>
      <c r="AK111" s="109">
        <f t="shared" si="232"/>
        <v>1.4129803340614668E-2</v>
      </c>
      <c r="AL111" s="109"/>
      <c r="AM111" s="109"/>
      <c r="AN111" s="109"/>
      <c r="AO111" s="109"/>
      <c r="AP111" s="109"/>
      <c r="AQ111" s="109"/>
      <c r="AR111" s="109"/>
      <c r="AS111" s="109">
        <f t="shared" si="234"/>
        <v>0.45930056854429413</v>
      </c>
      <c r="AT111" s="109"/>
      <c r="AU111" s="109"/>
      <c r="AV111" s="109"/>
      <c r="AW111" s="109"/>
      <c r="AX111" s="42"/>
      <c r="AY111" s="42"/>
      <c r="AZ111" s="42"/>
      <c r="BA111" s="42"/>
      <c r="BB111" s="42"/>
      <c r="BC111" s="42"/>
      <c r="BD111" s="42"/>
      <c r="BE111" s="42"/>
      <c r="BF111" s="42"/>
      <c r="BG111" s="42"/>
      <c r="BH111" s="42"/>
      <c r="BI111" s="24"/>
      <c r="BJ111" s="24"/>
      <c r="BK111" s="5"/>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row>
    <row r="112" spans="1:133" x14ac:dyDescent="0.3">
      <c r="A112" s="122"/>
      <c r="B112" s="104"/>
      <c r="C112" s="104"/>
      <c r="D112" s="104"/>
      <c r="E112" s="104"/>
      <c r="F112" s="104"/>
      <c r="G112" s="104"/>
      <c r="H112" s="124"/>
      <c r="I112" s="124"/>
      <c r="J112" s="124"/>
      <c r="K112" s="124"/>
      <c r="L112" s="124"/>
      <c r="M112" s="124"/>
      <c r="N112" s="124"/>
      <c r="O112" s="124"/>
      <c r="P112" s="125"/>
      <c r="Q112" s="106"/>
      <c r="R112" s="106">
        <f>R65</f>
        <v>1</v>
      </c>
      <c r="S112" s="104" t="s">
        <v>381</v>
      </c>
      <c r="T112" s="104" t="s">
        <v>382</v>
      </c>
      <c r="U112" s="104">
        <f>Q65</f>
        <v>2023</v>
      </c>
      <c r="V112" s="77">
        <v>69</v>
      </c>
      <c r="W112" s="116">
        <f>W65</f>
        <v>0.711860292938581</v>
      </c>
      <c r="X112" s="107">
        <f>X65</f>
        <v>28.151659572745903</v>
      </c>
      <c r="Y112" s="107">
        <f>Y65</f>
        <v>24.404959779454902</v>
      </c>
      <c r="Z112" s="107">
        <f>Z65</f>
        <v>25</v>
      </c>
      <c r="AA112" s="107">
        <f>AA65</f>
        <v>17.3920543973767</v>
      </c>
      <c r="AB112" s="109">
        <f t="shared" si="235"/>
        <v>7.2277777590649045E-2</v>
      </c>
      <c r="AC112" s="109">
        <f t="shared" si="235"/>
        <v>3.7144039148275132E-2</v>
      </c>
      <c r="AD112" s="109">
        <f t="shared" si="232"/>
        <v>4.693886925000864E-2</v>
      </c>
      <c r="AE112" s="109">
        <f t="shared" si="232"/>
        <v>1.9207251627271639E-2</v>
      </c>
      <c r="AF112" s="109">
        <f t="shared" si="232"/>
        <v>3.0671470308457977E-2</v>
      </c>
      <c r="AG112" s="109">
        <f t="shared" si="232"/>
        <v>7.0574517253221988E-2</v>
      </c>
      <c r="AH112" s="109">
        <f t="shared" si="232"/>
        <v>5.784797696261839E-2</v>
      </c>
      <c r="AI112" s="109">
        <f t="shared" si="232"/>
        <v>6.2267232328672428E-2</v>
      </c>
      <c r="AJ112" s="109">
        <f t="shared" si="232"/>
        <v>4.8241630734504208E-2</v>
      </c>
      <c r="AK112" s="109">
        <f t="shared" si="232"/>
        <v>1.4129803340614668E-2</v>
      </c>
      <c r="AL112" s="109">
        <f>AL110</f>
        <v>0.10472734996525389</v>
      </c>
      <c r="AM112" s="109">
        <f>AM110</f>
        <v>0.10601471966704468</v>
      </c>
      <c r="AN112" s="109">
        <f t="shared" ref="AN112:AQ112" si="236">AN110</f>
        <v>0.10750477164694536</v>
      </c>
      <c r="AO112" s="109">
        <f t="shared" si="236"/>
        <v>0.10314837920794254</v>
      </c>
      <c r="AP112" s="109">
        <f t="shared" si="236"/>
        <v>4.8886873976350477E-2</v>
      </c>
      <c r="AQ112" s="109">
        <f t="shared" si="236"/>
        <v>5.2554477979523215E-2</v>
      </c>
      <c r="AR112" s="109"/>
      <c r="AS112" s="109">
        <f t="shared" si="234"/>
        <v>0.98213714098735427</v>
      </c>
      <c r="AT112" s="109"/>
      <c r="AU112" s="109"/>
      <c r="AV112" s="109"/>
      <c r="AW112" s="109"/>
      <c r="AX112" s="42"/>
      <c r="AY112" s="42"/>
      <c r="AZ112" s="42"/>
      <c r="BA112" s="42"/>
      <c r="BB112" s="42"/>
      <c r="BC112" s="42"/>
      <c r="BD112" s="42"/>
      <c r="BE112" s="42"/>
      <c r="BF112" s="42"/>
      <c r="BG112" s="42"/>
      <c r="BH112" s="42"/>
      <c r="BI112" s="24"/>
      <c r="BJ112" s="24"/>
      <c r="BK112" s="5"/>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row>
    <row r="113" spans="1:97" x14ac:dyDescent="0.3">
      <c r="A113" s="122"/>
      <c r="B113" s="104"/>
      <c r="C113" s="104"/>
      <c r="D113" s="104"/>
      <c r="E113" s="104"/>
      <c r="F113" s="104"/>
      <c r="G113" s="104"/>
      <c r="H113" s="124"/>
      <c r="I113" s="124"/>
      <c r="J113" s="124"/>
      <c r="K113" s="124"/>
      <c r="L113" s="124"/>
      <c r="M113" s="124"/>
      <c r="N113" s="124"/>
      <c r="O113" s="124"/>
      <c r="P113" s="125"/>
      <c r="Q113" s="106"/>
      <c r="R113" s="106">
        <f>R70</f>
        <v>1</v>
      </c>
      <c r="S113" s="104" t="s">
        <v>195</v>
      </c>
      <c r="T113" s="104" t="s">
        <v>382</v>
      </c>
      <c r="U113" s="104">
        <f>Q70</f>
        <v>2030</v>
      </c>
      <c r="V113" s="77">
        <v>74</v>
      </c>
      <c r="W113" s="116">
        <f>W70</f>
        <v>0.711860292938581</v>
      </c>
      <c r="X113" s="107">
        <f>X70</f>
        <v>65.672558263244724</v>
      </c>
      <c r="Y113" s="107">
        <f>Y70</f>
        <v>52.299029605842442</v>
      </c>
      <c r="Z113" s="107">
        <f>Z70</f>
        <v>26</v>
      </c>
      <c r="AA113" s="107">
        <f>AA70+AA71</f>
        <v>27.153391503779631</v>
      </c>
      <c r="AB113" s="109">
        <f t="shared" si="235"/>
        <v>7.2277777590649045E-2</v>
      </c>
      <c r="AC113" s="109">
        <f t="shared" si="235"/>
        <v>3.7144039148275132E-2</v>
      </c>
      <c r="AD113" s="109">
        <f t="shared" si="232"/>
        <v>4.693886925000864E-2</v>
      </c>
      <c r="AE113" s="109">
        <f t="shared" si="232"/>
        <v>1.9207251627271639E-2</v>
      </c>
      <c r="AF113" s="109">
        <f t="shared" si="232"/>
        <v>3.0671470308457977E-2</v>
      </c>
      <c r="AG113" s="109">
        <f t="shared" si="232"/>
        <v>7.0574517253221988E-2</v>
      </c>
      <c r="AH113" s="109">
        <f t="shared" si="232"/>
        <v>5.784797696261839E-2</v>
      </c>
      <c r="AI113" s="109">
        <f t="shared" si="232"/>
        <v>6.2267232328672428E-2</v>
      </c>
      <c r="AJ113" s="109">
        <f t="shared" si="232"/>
        <v>4.8241630734504208E-2</v>
      </c>
      <c r="AK113" s="109">
        <f t="shared" si="232"/>
        <v>1.4129803340614668E-2</v>
      </c>
      <c r="AL113" s="109">
        <f>AL112</f>
        <v>0.10472734996525389</v>
      </c>
      <c r="AM113" s="109">
        <f>AM112</f>
        <v>0.10601471966704468</v>
      </c>
      <c r="AN113" s="109">
        <f t="shared" ref="AN113:AQ114" si="237">AN112</f>
        <v>0.10750477164694536</v>
      </c>
      <c r="AO113" s="109">
        <f t="shared" si="237"/>
        <v>0.10314837920794254</v>
      </c>
      <c r="AP113" s="109">
        <f t="shared" si="237"/>
        <v>4.8886873976350477E-2</v>
      </c>
      <c r="AQ113" s="109">
        <f t="shared" si="237"/>
        <v>5.2554477979523215E-2</v>
      </c>
      <c r="AR113" s="109"/>
      <c r="AS113" s="109">
        <f t="shared" si="234"/>
        <v>0.98213714098735427</v>
      </c>
      <c r="AT113" s="109"/>
      <c r="AU113" s="109"/>
      <c r="AV113" s="109"/>
      <c r="AW113" s="109"/>
      <c r="AX113" s="42"/>
      <c r="AY113" s="42"/>
      <c r="AZ113" s="42"/>
      <c r="BA113" s="42"/>
      <c r="BB113" s="42"/>
      <c r="BC113" s="42"/>
      <c r="BD113" s="42"/>
      <c r="BE113" s="42"/>
      <c r="BF113" s="42"/>
      <c r="BG113" s="42"/>
      <c r="BH113" s="42"/>
      <c r="BI113" s="24"/>
      <c r="BJ113" s="24"/>
      <c r="BK113" s="5"/>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row>
    <row r="114" spans="1:97" x14ac:dyDescent="0.3">
      <c r="A114" s="122"/>
      <c r="B114" s="104"/>
      <c r="C114" s="104"/>
      <c r="D114" s="104"/>
      <c r="E114" s="104"/>
      <c r="F114" s="104"/>
      <c r="G114" s="104"/>
      <c r="H114" s="124"/>
      <c r="I114" s="124"/>
      <c r="J114" s="124"/>
      <c r="K114" s="124"/>
      <c r="L114" s="124"/>
      <c r="M114" s="124"/>
      <c r="N114" s="124"/>
      <c r="O114" s="124"/>
      <c r="P114" s="125"/>
      <c r="Q114" s="106"/>
      <c r="R114" s="106">
        <f>R83</f>
        <v>1</v>
      </c>
      <c r="S114" s="104" t="s">
        <v>383</v>
      </c>
      <c r="T114" s="104" t="s">
        <v>382</v>
      </c>
      <c r="U114" s="104">
        <f>Q83</f>
        <v>2023</v>
      </c>
      <c r="V114" s="77">
        <v>87</v>
      </c>
      <c r="W114" s="116">
        <f>W83</f>
        <v>0.711860292938581</v>
      </c>
      <c r="X114" s="107">
        <f>X83</f>
        <v>53.481741858551679</v>
      </c>
      <c r="Y114" s="107">
        <f>Y83</f>
        <v>39.827095742386597</v>
      </c>
      <c r="Z114" s="107">
        <f>Z83</f>
        <v>25</v>
      </c>
      <c r="AA114" s="107">
        <f>AA83+AA84+AA85+AA90</f>
        <v>33.588944708197744</v>
      </c>
      <c r="AB114" s="109">
        <f t="shared" si="235"/>
        <v>7.2277777590649045E-2</v>
      </c>
      <c r="AC114" s="109">
        <f t="shared" si="235"/>
        <v>3.7144039148275132E-2</v>
      </c>
      <c r="AD114" s="109">
        <f t="shared" si="232"/>
        <v>4.693886925000864E-2</v>
      </c>
      <c r="AE114" s="109">
        <f t="shared" si="232"/>
        <v>1.9207251627271639E-2</v>
      </c>
      <c r="AF114" s="109">
        <f t="shared" si="232"/>
        <v>3.0671470308457977E-2</v>
      </c>
      <c r="AG114" s="109">
        <f t="shared" si="232"/>
        <v>7.0574517253221988E-2</v>
      </c>
      <c r="AH114" s="109">
        <f t="shared" si="232"/>
        <v>5.784797696261839E-2</v>
      </c>
      <c r="AI114" s="109">
        <f t="shared" si="232"/>
        <v>6.2267232328672428E-2</v>
      </c>
      <c r="AJ114" s="109">
        <f t="shared" si="232"/>
        <v>4.8241630734504208E-2</v>
      </c>
      <c r="AK114" s="109">
        <f t="shared" si="232"/>
        <v>1.4129803340614668E-2</v>
      </c>
      <c r="AL114" s="109">
        <f>AL113</f>
        <v>0.10472734996525389</v>
      </c>
      <c r="AM114" s="109">
        <f>AM113</f>
        <v>0.10601471966704468</v>
      </c>
      <c r="AN114" s="109">
        <f t="shared" si="237"/>
        <v>0.10750477164694536</v>
      </c>
      <c r="AO114" s="109">
        <f t="shared" si="237"/>
        <v>0.10314837920794254</v>
      </c>
      <c r="AP114" s="109">
        <f t="shared" si="237"/>
        <v>4.8886873976350477E-2</v>
      </c>
      <c r="AQ114" s="109">
        <f t="shared" si="237"/>
        <v>5.2554477979523215E-2</v>
      </c>
      <c r="AR114" s="109"/>
      <c r="AS114" s="109">
        <f t="shared" si="234"/>
        <v>0.98213714098735427</v>
      </c>
      <c r="AT114" s="109"/>
      <c r="AU114" s="109"/>
      <c r="AV114" s="109"/>
      <c r="AW114" s="109"/>
      <c r="AX114" s="42"/>
      <c r="AY114" s="42"/>
      <c r="AZ114" s="42"/>
      <c r="BA114" s="42"/>
      <c r="BB114" s="42"/>
      <c r="BC114" s="42"/>
      <c r="BD114" s="42"/>
      <c r="BE114" s="42"/>
      <c r="BF114" s="42"/>
      <c r="BG114" s="42"/>
      <c r="BH114" s="42"/>
      <c r="BI114" s="24"/>
      <c r="BJ114" s="24"/>
      <c r="BK114" s="5"/>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row>
    <row r="115" spans="1:97" x14ac:dyDescent="0.3">
      <c r="A115" s="122"/>
      <c r="B115" s="104"/>
      <c r="C115" s="104"/>
      <c r="D115" s="104"/>
      <c r="E115" s="104"/>
      <c r="F115" s="104"/>
      <c r="G115" s="104"/>
      <c r="H115" s="124"/>
      <c r="I115" s="124"/>
      <c r="J115" s="124"/>
      <c r="K115" s="124"/>
      <c r="L115" s="124"/>
      <c r="M115" s="124"/>
      <c r="N115" s="124"/>
      <c r="O115" s="124"/>
      <c r="P115" s="125"/>
      <c r="Q115" s="104"/>
      <c r="R115" s="106"/>
      <c r="S115" s="104" t="s">
        <v>183</v>
      </c>
      <c r="T115" s="104"/>
      <c r="U115" s="116"/>
      <c r="V115" s="116"/>
      <c r="W115" s="116"/>
      <c r="X115" s="107"/>
      <c r="Y115" s="107"/>
      <c r="Z115" s="107"/>
      <c r="AA115" s="107">
        <f>SUM(AA109:AA114)</f>
        <v>204.92162698844714</v>
      </c>
      <c r="AB115" s="104"/>
      <c r="AC115" s="104"/>
      <c r="AD115" s="104"/>
      <c r="AE115" s="104"/>
      <c r="AF115" s="104"/>
      <c r="AG115" s="104"/>
      <c r="AH115" s="104"/>
      <c r="AI115" s="104"/>
      <c r="AJ115" s="104"/>
      <c r="AK115" s="104"/>
      <c r="AL115" s="109">
        <f>AL114</f>
        <v>0.10472734996525389</v>
      </c>
      <c r="AM115" s="109">
        <f t="shared" ref="AM115:AP116" si="238">AM114</f>
        <v>0.10601471966704468</v>
      </c>
      <c r="AN115" s="109">
        <f t="shared" si="238"/>
        <v>0.10750477164694536</v>
      </c>
      <c r="AO115" s="109">
        <f t="shared" si="238"/>
        <v>0.10314837920794254</v>
      </c>
      <c r="AP115" s="109">
        <f t="shared" si="238"/>
        <v>4.8886873976350477E-2</v>
      </c>
      <c r="AQ115" s="109">
        <f>AQ114</f>
        <v>5.2554477979523215E-2</v>
      </c>
      <c r="AR115" s="104"/>
      <c r="AS115" s="109">
        <f t="shared" si="234"/>
        <v>0.52283657244306014</v>
      </c>
      <c r="AT115" s="104"/>
      <c r="AU115" s="104"/>
      <c r="AV115" s="104"/>
      <c r="AW115" s="104"/>
      <c r="BG115" s="15"/>
      <c r="BH115" s="15"/>
      <c r="BI115" s="24"/>
      <c r="BJ115" s="24"/>
      <c r="BK115" s="5"/>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row>
    <row r="116" spans="1:97" x14ac:dyDescent="0.3">
      <c r="A116" s="122"/>
      <c r="B116" s="104"/>
      <c r="C116" s="104"/>
      <c r="D116" s="104"/>
      <c r="E116" s="104"/>
      <c r="F116" s="104"/>
      <c r="G116" s="104"/>
      <c r="H116" s="124"/>
      <c r="I116" s="124"/>
      <c r="J116" s="124"/>
      <c r="K116" s="124"/>
      <c r="L116" s="124"/>
      <c r="M116" s="124"/>
      <c r="N116" s="124"/>
      <c r="O116" s="124"/>
      <c r="P116" s="125"/>
      <c r="Q116" s="104"/>
      <c r="R116" s="106"/>
      <c r="S116" s="104" t="s">
        <v>459</v>
      </c>
      <c r="T116" s="104"/>
      <c r="U116" s="116"/>
      <c r="V116" s="116"/>
      <c r="W116" s="116"/>
      <c r="X116" s="107"/>
      <c r="Y116" s="107"/>
      <c r="Z116" s="107"/>
      <c r="AA116" s="107"/>
      <c r="AB116" s="104"/>
      <c r="AC116" s="104"/>
      <c r="AD116" s="104"/>
      <c r="AE116" s="104"/>
      <c r="AF116" s="104"/>
      <c r="AG116" s="104"/>
      <c r="AH116" s="104"/>
      <c r="AI116" s="104"/>
      <c r="AJ116" s="104"/>
      <c r="AK116" s="104"/>
      <c r="AL116" s="109">
        <f>AL115</f>
        <v>0.10472734996525389</v>
      </c>
      <c r="AM116" s="109">
        <f t="shared" si="238"/>
        <v>0.10601471966704468</v>
      </c>
      <c r="AN116" s="109">
        <f t="shared" si="238"/>
        <v>0.10750477164694536</v>
      </c>
      <c r="AO116" s="109">
        <f t="shared" si="238"/>
        <v>0.10314837920794254</v>
      </c>
      <c r="AP116" s="109">
        <f t="shared" si="238"/>
        <v>4.8886873976350477E-2</v>
      </c>
      <c r="AQ116" s="109">
        <f t="shared" ref="AQ116" si="239">AQ115</f>
        <v>5.2554477979523215E-2</v>
      </c>
      <c r="AR116" s="104"/>
      <c r="AS116" s="109">
        <f t="shared" si="234"/>
        <v>0.52283657244306014</v>
      </c>
      <c r="AT116" s="104"/>
      <c r="AU116" s="104"/>
      <c r="AV116" s="104"/>
      <c r="AW116" s="104"/>
      <c r="BG116" s="15"/>
      <c r="BH116" s="15"/>
      <c r="BI116" s="24"/>
      <c r="BJ116" s="24"/>
      <c r="BK116" s="5"/>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row>
    <row r="117" spans="1:97" x14ac:dyDescent="0.3">
      <c r="A117" s="122"/>
      <c r="B117" s="104"/>
      <c r="C117" s="104"/>
      <c r="D117" s="104"/>
      <c r="E117" s="104"/>
      <c r="F117" s="104"/>
      <c r="G117" s="104"/>
      <c r="H117" s="124"/>
      <c r="I117" s="124"/>
      <c r="J117" s="124"/>
      <c r="K117" s="124"/>
      <c r="L117" s="124"/>
      <c r="M117" s="124"/>
      <c r="N117" s="124"/>
      <c r="O117" s="124"/>
      <c r="P117" s="125"/>
      <c r="Q117" s="104"/>
      <c r="R117" s="106"/>
      <c r="S117" s="104" t="s">
        <v>32</v>
      </c>
      <c r="T117" s="104"/>
      <c r="U117" s="116"/>
      <c r="V117" s="116"/>
      <c r="W117" s="116"/>
      <c r="X117" s="107"/>
      <c r="Y117" s="107"/>
      <c r="Z117" s="107"/>
      <c r="AA117" s="107"/>
      <c r="AB117" s="104"/>
      <c r="AC117" s="104"/>
      <c r="AD117" s="104"/>
      <c r="AE117" s="104"/>
      <c r="AF117" s="104"/>
      <c r="AG117" s="104"/>
      <c r="AH117" s="104"/>
      <c r="AI117" s="104"/>
      <c r="AJ117" s="104"/>
      <c r="AK117" s="104"/>
      <c r="AL117" s="109">
        <f>AL116</f>
        <v>0.10472734996525389</v>
      </c>
      <c r="AM117" s="109">
        <f t="shared" ref="AM117" si="240">AM116</f>
        <v>0.10601471966704468</v>
      </c>
      <c r="AN117" s="109">
        <f t="shared" ref="AN117" si="241">AN116</f>
        <v>0.10750477164694536</v>
      </c>
      <c r="AO117" s="109">
        <f t="shared" ref="AO117" si="242">AO116</f>
        <v>0.10314837920794254</v>
      </c>
      <c r="AP117" s="109">
        <f t="shared" ref="AP117" si="243">AP116</f>
        <v>4.8886873976350477E-2</v>
      </c>
      <c r="AQ117" s="109">
        <f t="shared" ref="AQ117" si="244">AQ116</f>
        <v>5.2554477979523215E-2</v>
      </c>
      <c r="AR117" s="104"/>
      <c r="AS117" s="109">
        <f t="shared" si="234"/>
        <v>0.52283657244306014</v>
      </c>
      <c r="AT117" s="104"/>
      <c r="AU117" s="104"/>
      <c r="AV117" s="104"/>
      <c r="AW117" s="104"/>
      <c r="BG117" s="15"/>
      <c r="BH117" s="15"/>
      <c r="BI117" s="24"/>
      <c r="BJ117" s="24"/>
      <c r="BK117" s="5"/>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row>
    <row r="118" spans="1:97" x14ac:dyDescent="0.3">
      <c r="A118" s="122"/>
      <c r="B118" s="104"/>
      <c r="C118" s="104"/>
      <c r="D118" s="104"/>
      <c r="E118" s="104"/>
      <c r="F118" s="104"/>
      <c r="G118" s="104"/>
      <c r="H118" s="124"/>
      <c r="I118" s="124"/>
      <c r="J118" s="124"/>
      <c r="K118" s="124"/>
      <c r="L118" s="124"/>
      <c r="M118" s="124"/>
      <c r="N118" s="124"/>
      <c r="O118" s="124"/>
      <c r="P118" s="125"/>
      <c r="Q118" s="104"/>
      <c r="R118" s="106"/>
      <c r="S118" s="104"/>
      <c r="T118" s="104"/>
      <c r="U118" s="116"/>
      <c r="V118" s="116"/>
      <c r="W118" s="116"/>
      <c r="X118" s="107"/>
      <c r="Y118" s="107"/>
      <c r="Z118" s="107"/>
      <c r="AA118" s="107"/>
      <c r="AB118" s="104"/>
      <c r="AC118" s="104"/>
      <c r="AD118" s="104"/>
      <c r="AE118" s="104"/>
      <c r="AF118" s="104"/>
      <c r="AG118" s="104"/>
      <c r="AH118" s="104"/>
      <c r="AI118" s="104"/>
      <c r="AJ118" s="104"/>
      <c r="AK118" s="104"/>
      <c r="AL118" s="104"/>
      <c r="AM118" s="104"/>
      <c r="AN118" s="104"/>
      <c r="AO118" s="104"/>
      <c r="AP118" s="104"/>
      <c r="AQ118" s="104"/>
      <c r="AR118" s="104"/>
      <c r="AS118" s="104"/>
      <c r="AT118" s="104"/>
      <c r="AU118" s="104"/>
      <c r="AV118" s="104"/>
      <c r="AW118" s="104"/>
      <c r="BG118" s="15"/>
      <c r="BH118" s="15"/>
      <c r="BI118" s="24"/>
      <c r="BJ118" s="24"/>
      <c r="BK118" s="5"/>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row>
    <row r="119" spans="1:97" x14ac:dyDescent="0.3">
      <c r="A119" s="122"/>
      <c r="B119" s="104"/>
      <c r="C119" s="104"/>
      <c r="D119" s="104"/>
      <c r="E119" s="104"/>
      <c r="F119" s="104"/>
      <c r="G119" s="104"/>
      <c r="H119" s="124"/>
      <c r="I119" s="124"/>
      <c r="J119" s="124"/>
      <c r="K119" s="124"/>
      <c r="L119" s="124"/>
      <c r="M119" s="124"/>
      <c r="N119" s="124"/>
      <c r="O119" s="124"/>
      <c r="P119" s="125"/>
      <c r="Q119" s="104"/>
      <c r="R119" s="106"/>
      <c r="S119" s="104"/>
      <c r="T119" s="104"/>
      <c r="U119" s="116"/>
      <c r="V119" s="116"/>
      <c r="W119" s="116"/>
      <c r="X119" s="107"/>
      <c r="Y119" s="107"/>
      <c r="Z119" s="107"/>
      <c r="AA119" s="107"/>
      <c r="AB119" s="104"/>
      <c r="AC119" s="104"/>
      <c r="AD119" s="104"/>
      <c r="AE119" s="104"/>
      <c r="AF119" s="104"/>
      <c r="AG119" s="104"/>
      <c r="AH119" s="104"/>
      <c r="AI119" s="104"/>
      <c r="AJ119" s="104"/>
      <c r="AK119" s="104"/>
      <c r="AL119" s="104"/>
      <c r="AM119" s="104"/>
      <c r="AN119" s="104"/>
      <c r="AO119" s="104"/>
      <c r="AP119" s="104"/>
      <c r="AQ119" s="104"/>
      <c r="AR119" s="104"/>
      <c r="AS119" s="104"/>
      <c r="AT119" s="104"/>
      <c r="AU119" s="104"/>
      <c r="AV119" s="104"/>
      <c r="AW119" s="104"/>
      <c r="BG119" s="15"/>
      <c r="BH119" s="15"/>
      <c r="BI119" s="24"/>
      <c r="BJ119" s="24"/>
      <c r="BK119" s="5"/>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row>
    <row r="120" spans="1:97" x14ac:dyDescent="0.3">
      <c r="A120" s="104"/>
      <c r="B120" s="104"/>
      <c r="C120" s="104"/>
      <c r="D120" s="104"/>
      <c r="E120" s="104"/>
      <c r="F120" s="104"/>
      <c r="G120" s="104"/>
      <c r="H120" s="104"/>
      <c r="I120" s="104"/>
      <c r="J120" s="104"/>
      <c r="K120" s="104"/>
      <c r="L120" s="104"/>
      <c r="M120" s="104"/>
      <c r="N120" s="104"/>
      <c r="O120" s="104"/>
      <c r="P120" s="104"/>
      <c r="Q120" s="104"/>
      <c r="R120" s="106"/>
      <c r="S120" s="104"/>
      <c r="T120" s="104"/>
      <c r="U120" s="116"/>
      <c r="V120" s="116"/>
      <c r="W120" s="116"/>
      <c r="X120" s="107"/>
      <c r="Y120" s="107"/>
      <c r="Z120" s="107"/>
      <c r="AA120" s="107"/>
      <c r="AB120" s="104"/>
      <c r="AC120" s="104"/>
      <c r="AD120" s="104"/>
      <c r="AE120" s="104"/>
      <c r="AF120" s="104"/>
      <c r="AG120" s="104"/>
      <c r="AH120" s="104"/>
      <c r="AI120" s="104"/>
      <c r="AJ120" s="104"/>
      <c r="AK120" s="104"/>
      <c r="AL120" s="104"/>
      <c r="AM120" s="104"/>
      <c r="AN120" s="104"/>
      <c r="AO120" s="104"/>
      <c r="AP120" s="104"/>
      <c r="AQ120" s="104"/>
      <c r="AR120" s="104"/>
      <c r="AS120" s="104"/>
      <c r="AT120" s="104"/>
      <c r="AU120" s="104"/>
      <c r="AV120" s="104"/>
      <c r="AW120" s="104"/>
      <c r="BG120" s="15"/>
      <c r="BH120" s="15"/>
      <c r="CR120" s="10">
        <f>SUM(CR8:CR100)</f>
        <v>5217.0536931635843</v>
      </c>
    </row>
    <row r="121" spans="1:97" x14ac:dyDescent="0.3">
      <c r="A121" s="104"/>
      <c r="B121" s="104"/>
      <c r="C121" s="104"/>
      <c r="D121" s="104"/>
      <c r="E121" s="104"/>
      <c r="F121" s="104"/>
      <c r="G121" s="104"/>
      <c r="H121" s="124"/>
      <c r="I121" s="124"/>
      <c r="J121" s="124"/>
      <c r="K121" s="124"/>
      <c r="L121" s="124"/>
      <c r="M121" s="124"/>
      <c r="N121" s="124"/>
      <c r="O121" s="124"/>
      <c r="P121" s="125" t="s">
        <v>415</v>
      </c>
      <c r="Q121" s="104"/>
      <c r="R121" s="104"/>
      <c r="S121" s="104"/>
      <c r="T121" s="104"/>
      <c r="U121" s="104"/>
      <c r="V121" s="104"/>
      <c r="W121" s="104"/>
      <c r="X121" s="107"/>
      <c r="Y121" s="107"/>
      <c r="Z121" s="107"/>
      <c r="AA121" s="107"/>
      <c r="AB121" s="104"/>
      <c r="AC121" s="104"/>
      <c r="AD121" s="104"/>
      <c r="AE121" s="104"/>
      <c r="AF121" s="104"/>
      <c r="AG121" s="104"/>
      <c r="AH121" s="104"/>
      <c r="AI121" s="104"/>
      <c r="AJ121" s="104"/>
      <c r="AK121" s="104"/>
      <c r="AL121" s="104"/>
      <c r="AM121" s="104"/>
      <c r="AN121" s="104"/>
      <c r="AO121" s="104"/>
      <c r="AP121" s="104"/>
      <c r="AQ121" s="104"/>
      <c r="AR121" s="104"/>
      <c r="AS121" s="104"/>
      <c r="AT121" s="104"/>
      <c r="AU121" s="104"/>
      <c r="AV121" s="104"/>
      <c r="AW121" s="104"/>
      <c r="AX121" s="104"/>
      <c r="AY121" s="104"/>
      <c r="AZ121" s="104"/>
      <c r="BA121" s="104"/>
      <c r="BB121" s="104"/>
      <c r="BC121" s="104"/>
      <c r="BD121" s="104"/>
      <c r="BE121" s="104"/>
      <c r="BF121" s="104"/>
      <c r="BG121" s="104"/>
      <c r="BH121" s="104"/>
      <c r="BI121" s="104"/>
      <c r="BJ121" s="104"/>
      <c r="BK121" s="104"/>
      <c r="BL121" s="104"/>
      <c r="BM121" s="104"/>
      <c r="BN121" s="104"/>
      <c r="BO121" s="104"/>
      <c r="BP121" s="104"/>
      <c r="BQ121" s="104"/>
      <c r="BR121" s="104"/>
      <c r="BS121" s="104"/>
      <c r="BT121" s="104"/>
      <c r="BU121" s="104"/>
      <c r="BV121" s="104"/>
      <c r="BW121" s="104"/>
      <c r="BX121" s="104"/>
      <c r="BY121" s="104"/>
      <c r="BZ121" s="104"/>
      <c r="CA121" s="104"/>
      <c r="CB121" s="104"/>
      <c r="CC121" s="104"/>
      <c r="CD121" s="104"/>
      <c r="CE121" s="104"/>
      <c r="CF121" s="104"/>
      <c r="CG121" s="104"/>
      <c r="CH121" s="104"/>
      <c r="CI121" s="104"/>
      <c r="CJ121" s="104"/>
      <c r="CK121" s="104"/>
      <c r="CL121" s="104"/>
      <c r="CM121" s="104"/>
      <c r="CN121" s="104"/>
      <c r="CO121" s="104"/>
      <c r="CP121" s="104"/>
      <c r="CQ121" s="104"/>
      <c r="CR121" s="104"/>
    </row>
    <row r="122" spans="1:97" x14ac:dyDescent="0.3">
      <c r="A122" s="122" t="s">
        <v>359</v>
      </c>
      <c r="B122" s="104"/>
      <c r="C122" s="104"/>
      <c r="D122" s="104"/>
      <c r="E122" s="104"/>
      <c r="F122" s="104"/>
      <c r="G122" s="104"/>
      <c r="H122" s="104"/>
      <c r="I122" s="104"/>
      <c r="J122" s="124"/>
      <c r="K122" s="124"/>
      <c r="L122" s="124"/>
      <c r="M122" s="124"/>
      <c r="N122" s="124"/>
      <c r="O122" s="104" t="s">
        <v>347</v>
      </c>
      <c r="P122" s="125" t="s">
        <v>416</v>
      </c>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130"/>
      <c r="AY122" s="130"/>
      <c r="AZ122" s="130"/>
      <c r="BA122" s="130"/>
      <c r="BB122" s="130"/>
      <c r="BC122" s="130"/>
      <c r="BD122" s="130"/>
      <c r="BE122" s="130"/>
      <c r="BF122" s="130"/>
      <c r="BG122" s="130"/>
      <c r="BH122" s="130"/>
      <c r="BI122" s="130"/>
      <c r="BJ122" s="130"/>
      <c r="BK122" s="130"/>
      <c r="BL122" s="104" t="s">
        <v>348</v>
      </c>
      <c r="BM122" s="104"/>
      <c r="BN122" s="104"/>
      <c r="BO122" s="104"/>
      <c r="BP122" s="104"/>
      <c r="BQ122" s="104"/>
      <c r="BR122" s="104"/>
      <c r="BS122" s="104"/>
      <c r="BT122" s="104"/>
      <c r="BU122" s="104"/>
      <c r="BV122" s="104"/>
      <c r="BW122" s="104"/>
      <c r="BX122" s="104"/>
      <c r="BY122" s="104"/>
      <c r="BZ122" s="104"/>
      <c r="CA122" s="104"/>
      <c r="CB122" s="104"/>
      <c r="CC122" s="104"/>
      <c r="CD122" s="104"/>
      <c r="CE122" s="104"/>
      <c r="CF122" s="104"/>
      <c r="CG122" s="104"/>
      <c r="CH122" s="104"/>
      <c r="CI122" s="104"/>
      <c r="CJ122" s="104"/>
      <c r="CK122" s="104"/>
      <c r="CL122" s="104"/>
      <c r="CM122" s="104"/>
      <c r="CN122" s="104"/>
      <c r="CO122" s="104"/>
      <c r="CP122" s="104"/>
      <c r="CQ122" s="104"/>
      <c r="CR122" s="104"/>
      <c r="CS122" s="41"/>
    </row>
    <row r="123" spans="1:97" x14ac:dyDescent="0.3">
      <c r="A123" s="104" t="str">
        <f t="shared" ref="A123:N123" si="245">A8</f>
        <v>Wellsford</v>
      </c>
      <c r="B123" s="104" t="str">
        <f t="shared" si="245"/>
        <v>Rural North</v>
      </c>
      <c r="C123" s="104">
        <f t="shared" si="245"/>
        <v>0</v>
      </c>
      <c r="D123" s="104" t="str">
        <f t="shared" si="245"/>
        <v>Wellsford</v>
      </c>
      <c r="E123" s="104">
        <f t="shared" si="245"/>
        <v>0</v>
      </c>
      <c r="F123" s="104">
        <f t="shared" si="245"/>
        <v>3</v>
      </c>
      <c r="G123" s="104">
        <f t="shared" si="245"/>
        <v>0</v>
      </c>
      <c r="H123" s="104">
        <f t="shared" si="245"/>
        <v>0</v>
      </c>
      <c r="I123" s="104">
        <f t="shared" si="245"/>
        <v>0</v>
      </c>
      <c r="J123" s="104">
        <f t="shared" si="245"/>
        <v>3</v>
      </c>
      <c r="K123" s="104">
        <f t="shared" si="245"/>
        <v>0</v>
      </c>
      <c r="L123" s="104">
        <f t="shared" si="245"/>
        <v>0</v>
      </c>
      <c r="M123" s="104">
        <f t="shared" si="245"/>
        <v>0</v>
      </c>
      <c r="N123" s="104">
        <f t="shared" si="245"/>
        <v>0</v>
      </c>
      <c r="O123" s="104">
        <f t="shared" ref="O123:O151" si="246">ROUND(SUM(F123:I123),0)</f>
        <v>3</v>
      </c>
      <c r="P123" s="104" cm="1">
        <f t="array" ref="P123">2024+MATCH(1,0/AB123:BG123)</f>
        <v>2045</v>
      </c>
      <c r="Q123" s="104"/>
      <c r="R123" s="104"/>
      <c r="S123" s="104"/>
      <c r="T123" s="104"/>
      <c r="U123" s="104"/>
      <c r="V123" s="104"/>
      <c r="W123" s="104"/>
      <c r="X123" s="104"/>
      <c r="Y123" s="104"/>
      <c r="Z123" s="104"/>
      <c r="AA123" s="104"/>
      <c r="AB123" s="103">
        <f t="shared" ref="AB123:BG123" si="247">AB8</f>
        <v>0</v>
      </c>
      <c r="AC123" s="103">
        <f t="shared" si="247"/>
        <v>0</v>
      </c>
      <c r="AD123" s="103">
        <f t="shared" si="247"/>
        <v>0</v>
      </c>
      <c r="AE123" s="103">
        <f t="shared" si="247"/>
        <v>0</v>
      </c>
      <c r="AF123" s="103">
        <f t="shared" si="247"/>
        <v>0</v>
      </c>
      <c r="AG123" s="103">
        <f t="shared" si="247"/>
        <v>0</v>
      </c>
      <c r="AH123" s="103">
        <f t="shared" si="247"/>
        <v>0</v>
      </c>
      <c r="AI123" s="103">
        <f t="shared" si="247"/>
        <v>0</v>
      </c>
      <c r="AJ123" s="103">
        <f t="shared" si="247"/>
        <v>0</v>
      </c>
      <c r="AK123" s="103">
        <f t="shared" si="247"/>
        <v>0.05</v>
      </c>
      <c r="AL123" s="103">
        <f t="shared" si="247"/>
        <v>0.05</v>
      </c>
      <c r="AM123" s="103">
        <f t="shared" si="247"/>
        <v>0.05</v>
      </c>
      <c r="AN123" s="103">
        <f t="shared" si="247"/>
        <v>0.05</v>
      </c>
      <c r="AO123" s="103">
        <f t="shared" si="247"/>
        <v>0.05</v>
      </c>
      <c r="AP123" s="103">
        <f t="shared" si="247"/>
        <v>0.05</v>
      </c>
      <c r="AQ123" s="103">
        <f t="shared" si="247"/>
        <v>0.05</v>
      </c>
      <c r="AR123" s="103">
        <f t="shared" si="247"/>
        <v>7.4999999999999997E-2</v>
      </c>
      <c r="AS123" s="103">
        <f t="shared" si="247"/>
        <v>7.4999999999999997E-2</v>
      </c>
      <c r="AT123" s="103">
        <f t="shared" si="247"/>
        <v>0.16666666666666666</v>
      </c>
      <c r="AU123" s="103">
        <f t="shared" si="247"/>
        <v>0.16666666666666666</v>
      </c>
      <c r="AV123" s="103">
        <f t="shared" si="247"/>
        <v>0.16666666666666666</v>
      </c>
      <c r="AW123" s="103">
        <f t="shared" si="247"/>
        <v>0</v>
      </c>
      <c r="AX123" s="103">
        <f t="shared" si="247"/>
        <v>0</v>
      </c>
      <c r="AY123" s="103">
        <f t="shared" si="247"/>
        <v>0</v>
      </c>
      <c r="AZ123" s="103">
        <f t="shared" si="247"/>
        <v>0</v>
      </c>
      <c r="BA123" s="103">
        <f t="shared" si="247"/>
        <v>0</v>
      </c>
      <c r="BB123" s="103">
        <f t="shared" si="247"/>
        <v>0</v>
      </c>
      <c r="BC123" s="103">
        <f t="shared" si="247"/>
        <v>0</v>
      </c>
      <c r="BD123" s="103">
        <f t="shared" si="247"/>
        <v>0</v>
      </c>
      <c r="BE123" s="103">
        <f t="shared" si="247"/>
        <v>0</v>
      </c>
      <c r="BF123" s="103">
        <f t="shared" si="247"/>
        <v>0</v>
      </c>
      <c r="BG123" s="103">
        <f t="shared" si="247"/>
        <v>0</v>
      </c>
      <c r="BH123" s="103"/>
      <c r="BI123" s="104"/>
      <c r="BJ123" s="104"/>
      <c r="BK123" s="104"/>
      <c r="BL123" s="110">
        <f>$O123*AB123*'Cost inputs'!F$12/1000000</f>
        <v>0</v>
      </c>
      <c r="BM123" s="110">
        <f>$O123*AC123*'Cost inputs'!G$12/1000000</f>
        <v>0</v>
      </c>
      <c r="BN123" s="110">
        <f>$O123*AD123*'Cost inputs'!H$12/1000000</f>
        <v>0</v>
      </c>
      <c r="BO123" s="110">
        <f>$O123*AE123*'Cost inputs'!I$12/1000000</f>
        <v>0</v>
      </c>
      <c r="BP123" s="110">
        <f>$O123*AF123*'Cost inputs'!J$12/1000000</f>
        <v>0</v>
      </c>
      <c r="BQ123" s="110">
        <f>$O123*AG123*'Cost inputs'!K$12/1000000</f>
        <v>0</v>
      </c>
      <c r="BR123" s="110">
        <f>$O123*AH123*'Cost inputs'!L$12/1000000</f>
        <v>0</v>
      </c>
      <c r="BS123" s="110">
        <f>$O123*AI123*'Cost inputs'!M$12/1000000</f>
        <v>0</v>
      </c>
      <c r="BT123" s="110">
        <f>$O123*AJ123*'Cost inputs'!N$12/1000000</f>
        <v>0</v>
      </c>
      <c r="BU123" s="110">
        <f>$O123*AK123*'Cost inputs'!O$12/1000000</f>
        <v>6.2599492867647369E-3</v>
      </c>
      <c r="BV123" s="110">
        <f>$O123*AL123*'Cost inputs'!P$12/1000000</f>
        <v>6.3976681710735612E-3</v>
      </c>
      <c r="BW123" s="110">
        <f>$O123*AM123*'Cost inputs'!Q$12/1000000</f>
        <v>6.5384168708371802E-3</v>
      </c>
      <c r="BX123" s="110">
        <f>$O123*AN123*'Cost inputs'!R$12/1000000</f>
        <v>6.6822620419955975E-3</v>
      </c>
      <c r="BY123" s="110">
        <f>$O123*AO123*'Cost inputs'!S$12/1000000</f>
        <v>6.8292718069195013E-3</v>
      </c>
      <c r="BZ123" s="110">
        <f>$O123*AP123*'Cost inputs'!T$12/1000000</f>
        <v>6.9795157866717307E-3</v>
      </c>
      <c r="CA123" s="110">
        <f>$O123*AQ123*'Cost inputs'!U$12/1000000</f>
        <v>7.133065133978508E-3</v>
      </c>
      <c r="CB123" s="110">
        <f>$O123*AR123*'Cost inputs'!V$12/1000000</f>
        <v>1.093498885038905E-2</v>
      </c>
      <c r="CC123" s="110">
        <f>$O123*AS123*'Cost inputs'!W$12/1000000</f>
        <v>1.1175558605097611E-2</v>
      </c>
      <c r="CD123" s="110">
        <f>$O123*AT123*'Cost inputs'!X$12/1000000</f>
        <v>2.5380935320910576E-2</v>
      </c>
      <c r="CE123" s="110">
        <f>$O123*AU123*'Cost inputs'!Y$12/1000000</f>
        <v>2.5939315897970609E-2</v>
      </c>
      <c r="CF123" s="110">
        <f>$O123*AV123*'Cost inputs'!Z$12/1000000</f>
        <v>2.6509980847725965E-2</v>
      </c>
      <c r="CG123" s="110">
        <f>$O123*AW123*'Cost inputs'!AA$12/1000000</f>
        <v>0</v>
      </c>
      <c r="CH123" s="110">
        <f>$O123*AX123*'Cost inputs'!AB$12/1000000</f>
        <v>0</v>
      </c>
      <c r="CI123" s="110">
        <f>$O123*AY123*'Cost inputs'!AC$12/1000000</f>
        <v>0</v>
      </c>
      <c r="CJ123" s="110">
        <f>$O123*AZ123*'Cost inputs'!AD$12/1000000</f>
        <v>0</v>
      </c>
      <c r="CK123" s="110">
        <f>$O123*BA123*'Cost inputs'!AE$12/1000000</f>
        <v>0</v>
      </c>
      <c r="CL123" s="110">
        <f>$O123*BB123*'Cost inputs'!AF$12/1000000</f>
        <v>0</v>
      </c>
      <c r="CM123" s="110">
        <f>$O123*BC123*'Cost inputs'!AG$12/1000000</f>
        <v>0</v>
      </c>
      <c r="CN123" s="110">
        <f>$O123*BD123*'Cost inputs'!AH$12/1000000</f>
        <v>0</v>
      </c>
      <c r="CO123" s="110">
        <f>$O123*BE123*'Cost inputs'!AI$12/1000000</f>
        <v>0</v>
      </c>
      <c r="CP123" s="110">
        <f>$O123*BF123*'Cost inputs'!AJ$12/1000000</f>
        <v>0</v>
      </c>
      <c r="CQ123" s="110">
        <f>$O123*BG123*'Cost inputs'!AK$12/1000000</f>
        <v>0</v>
      </c>
      <c r="CR123" s="131">
        <f>SUM(BL123:CQ123)</f>
        <v>0.14676092862033463</v>
      </c>
      <c r="CS123" s="26"/>
    </row>
    <row r="124" spans="1:97" x14ac:dyDescent="0.3">
      <c r="A124" s="104" t="str">
        <f t="shared" ref="A124:N124" si="248">A9</f>
        <v>Orewa-Hibiscus</v>
      </c>
      <c r="B124" s="104" t="str">
        <f t="shared" si="248"/>
        <v>Rural North</v>
      </c>
      <c r="C124" s="104">
        <f t="shared" si="248"/>
        <v>0</v>
      </c>
      <c r="D124" s="104" t="str">
        <f t="shared" si="248"/>
        <v>Algies Bay</v>
      </c>
      <c r="E124" s="104">
        <f t="shared" si="248"/>
        <v>0</v>
      </c>
      <c r="F124" s="104">
        <f t="shared" si="248"/>
        <v>1</v>
      </c>
      <c r="G124" s="104">
        <f t="shared" si="248"/>
        <v>0</v>
      </c>
      <c r="H124" s="104">
        <f t="shared" si="248"/>
        <v>0</v>
      </c>
      <c r="I124" s="104">
        <f t="shared" si="248"/>
        <v>0</v>
      </c>
      <c r="J124" s="104">
        <f t="shared" si="248"/>
        <v>1</v>
      </c>
      <c r="K124" s="104">
        <f t="shared" si="248"/>
        <v>0</v>
      </c>
      <c r="L124" s="104">
        <f t="shared" si="248"/>
        <v>0</v>
      </c>
      <c r="M124" s="104">
        <f t="shared" si="248"/>
        <v>0</v>
      </c>
      <c r="N124" s="104">
        <f t="shared" si="248"/>
        <v>0</v>
      </c>
      <c r="O124" s="104">
        <f t="shared" si="246"/>
        <v>1</v>
      </c>
      <c r="P124" s="104" cm="1">
        <f t="array" ref="P124">2024+MATCH(1,0/AB124:BG124)</f>
        <v>2040</v>
      </c>
      <c r="Q124" s="104"/>
      <c r="R124" s="104"/>
      <c r="S124" s="104"/>
      <c r="T124" s="104"/>
      <c r="U124" s="104"/>
      <c r="V124" s="104"/>
      <c r="W124" s="104"/>
      <c r="X124" s="104"/>
      <c r="Y124" s="104"/>
      <c r="Z124" s="104"/>
      <c r="AA124" s="104"/>
      <c r="AB124" s="103">
        <f t="shared" ref="AB124:BG124" si="249">AB9</f>
        <v>0</v>
      </c>
      <c r="AC124" s="103">
        <f t="shared" si="249"/>
        <v>0</v>
      </c>
      <c r="AD124" s="103">
        <f t="shared" si="249"/>
        <v>0</v>
      </c>
      <c r="AE124" s="103">
        <f t="shared" si="249"/>
        <v>0</v>
      </c>
      <c r="AF124" s="103">
        <f t="shared" si="249"/>
        <v>0</v>
      </c>
      <c r="AG124" s="103">
        <f t="shared" si="249"/>
        <v>0</v>
      </c>
      <c r="AH124" s="103">
        <f t="shared" si="249"/>
        <v>0</v>
      </c>
      <c r="AI124" s="103">
        <f t="shared" si="249"/>
        <v>0</v>
      </c>
      <c r="AJ124" s="103">
        <f t="shared" si="249"/>
        <v>0</v>
      </c>
      <c r="AK124" s="103">
        <f t="shared" si="249"/>
        <v>9.3749999999999986E-2</v>
      </c>
      <c r="AL124" s="103">
        <f t="shared" si="249"/>
        <v>9.3749999999999986E-2</v>
      </c>
      <c r="AM124" s="103">
        <f t="shared" si="249"/>
        <v>9.3749999999999986E-2</v>
      </c>
      <c r="AN124" s="103">
        <f t="shared" si="249"/>
        <v>9.3749999999999986E-2</v>
      </c>
      <c r="AO124" s="103">
        <f t="shared" si="249"/>
        <v>0.20833333333333334</v>
      </c>
      <c r="AP124" s="103">
        <f t="shared" si="249"/>
        <v>0.20833333333333334</v>
      </c>
      <c r="AQ124" s="103">
        <f t="shared" si="249"/>
        <v>0.20833333333333334</v>
      </c>
      <c r="AR124" s="103">
        <f t="shared" si="249"/>
        <v>0</v>
      </c>
      <c r="AS124" s="103">
        <f t="shared" si="249"/>
        <v>0</v>
      </c>
      <c r="AT124" s="103">
        <f t="shared" si="249"/>
        <v>0</v>
      </c>
      <c r="AU124" s="103">
        <f t="shared" si="249"/>
        <v>0</v>
      </c>
      <c r="AV124" s="103">
        <f t="shared" si="249"/>
        <v>0</v>
      </c>
      <c r="AW124" s="103">
        <f t="shared" si="249"/>
        <v>0</v>
      </c>
      <c r="AX124" s="103">
        <f t="shared" si="249"/>
        <v>0</v>
      </c>
      <c r="AY124" s="103">
        <f t="shared" si="249"/>
        <v>0</v>
      </c>
      <c r="AZ124" s="103">
        <f t="shared" si="249"/>
        <v>0</v>
      </c>
      <c r="BA124" s="103">
        <f t="shared" si="249"/>
        <v>0</v>
      </c>
      <c r="BB124" s="103">
        <f t="shared" si="249"/>
        <v>0</v>
      </c>
      <c r="BC124" s="103">
        <f t="shared" si="249"/>
        <v>0</v>
      </c>
      <c r="BD124" s="103">
        <f t="shared" si="249"/>
        <v>0</v>
      </c>
      <c r="BE124" s="103">
        <f t="shared" si="249"/>
        <v>0</v>
      </c>
      <c r="BF124" s="103">
        <f t="shared" si="249"/>
        <v>0</v>
      </c>
      <c r="BG124" s="103">
        <f t="shared" si="249"/>
        <v>0</v>
      </c>
      <c r="BH124" s="103"/>
      <c r="BI124" s="104"/>
      <c r="BJ124" s="104"/>
      <c r="BK124" s="104"/>
      <c r="BL124" s="110">
        <f>$O124*AB124*'Cost inputs'!F$12/1000000</f>
        <v>0</v>
      </c>
      <c r="BM124" s="110">
        <f>$O124*AC124*'Cost inputs'!G$12/1000000</f>
        <v>0</v>
      </c>
      <c r="BN124" s="110">
        <f>$O124*AD124*'Cost inputs'!H$12/1000000</f>
        <v>0</v>
      </c>
      <c r="BO124" s="110">
        <f>$O124*AE124*'Cost inputs'!I$12/1000000</f>
        <v>0</v>
      </c>
      <c r="BP124" s="110">
        <f>$O124*AF124*'Cost inputs'!J$12/1000000</f>
        <v>0</v>
      </c>
      <c r="BQ124" s="110">
        <f>$O124*AG124*'Cost inputs'!K$12/1000000</f>
        <v>0</v>
      </c>
      <c r="BR124" s="110">
        <f>$O124*AH124*'Cost inputs'!L$12/1000000</f>
        <v>0</v>
      </c>
      <c r="BS124" s="110">
        <f>$O124*AI124*'Cost inputs'!M$12/1000000</f>
        <v>0</v>
      </c>
      <c r="BT124" s="110">
        <f>$O124*AJ124*'Cost inputs'!N$12/1000000</f>
        <v>0</v>
      </c>
      <c r="BU124" s="110">
        <f>$O124*AK124*'Cost inputs'!O$12/1000000</f>
        <v>3.9124683042279593E-3</v>
      </c>
      <c r="BV124" s="110">
        <f>$O124*AL124*'Cost inputs'!P$12/1000000</f>
        <v>3.9985426069209752E-3</v>
      </c>
      <c r="BW124" s="110">
        <f>$O124*AM124*'Cost inputs'!Q$12/1000000</f>
        <v>4.0865105442732357E-3</v>
      </c>
      <c r="BX124" s="110">
        <f>$O124*AN124*'Cost inputs'!R$12/1000000</f>
        <v>4.1764137762472474E-3</v>
      </c>
      <c r="BY124" s="110">
        <f>$O124*AO124*'Cost inputs'!S$12/1000000</f>
        <v>9.4850997318326417E-3</v>
      </c>
      <c r="BZ124" s="110">
        <f>$O124*AP124*'Cost inputs'!T$12/1000000</f>
        <v>9.6937719259329591E-3</v>
      </c>
      <c r="CA124" s="110">
        <f>$O124*AQ124*'Cost inputs'!U$12/1000000</f>
        <v>9.9070349083034831E-3</v>
      </c>
      <c r="CB124" s="110">
        <f>$O124*AR124*'Cost inputs'!V$12/1000000</f>
        <v>0</v>
      </c>
      <c r="CC124" s="110">
        <f>$O124*AS124*'Cost inputs'!W$12/1000000</f>
        <v>0</v>
      </c>
      <c r="CD124" s="110">
        <f>$O124*AT124*'Cost inputs'!X$12/1000000</f>
        <v>0</v>
      </c>
      <c r="CE124" s="110">
        <f>$O124*AU124*'Cost inputs'!Y$12/1000000</f>
        <v>0</v>
      </c>
      <c r="CF124" s="110">
        <f>$O124*AV124*'Cost inputs'!Z$12/1000000</f>
        <v>0</v>
      </c>
      <c r="CG124" s="110">
        <f>$O124*AW124*'Cost inputs'!AA$12/1000000</f>
        <v>0</v>
      </c>
      <c r="CH124" s="110">
        <f>$O124*AX124*'Cost inputs'!AB$12/1000000</f>
        <v>0</v>
      </c>
      <c r="CI124" s="110">
        <f>$O124*AY124*'Cost inputs'!AC$12/1000000</f>
        <v>0</v>
      </c>
      <c r="CJ124" s="110">
        <f>$O124*AZ124*'Cost inputs'!AD$12/1000000</f>
        <v>0</v>
      </c>
      <c r="CK124" s="110">
        <f>$O124*BA124*'Cost inputs'!AE$12/1000000</f>
        <v>0</v>
      </c>
      <c r="CL124" s="110">
        <f>$O124*BB124*'Cost inputs'!AF$12/1000000</f>
        <v>0</v>
      </c>
      <c r="CM124" s="110">
        <f>$O124*BC124*'Cost inputs'!AG$12/1000000</f>
        <v>0</v>
      </c>
      <c r="CN124" s="110">
        <f>$O124*BD124*'Cost inputs'!AH$12/1000000</f>
        <v>0</v>
      </c>
      <c r="CO124" s="110">
        <f>$O124*BE124*'Cost inputs'!AI$12/1000000</f>
        <v>0</v>
      </c>
      <c r="CP124" s="110">
        <f>$O124*BF124*'Cost inputs'!AJ$12/1000000</f>
        <v>0</v>
      </c>
      <c r="CQ124" s="110">
        <f>$O124*BG124*'Cost inputs'!AK$12/1000000</f>
        <v>0</v>
      </c>
      <c r="CR124" s="131">
        <f>SUM(BL124:CQ124)</f>
        <v>4.5259841797738502E-2</v>
      </c>
      <c r="CS124" s="26"/>
    </row>
    <row r="125" spans="1:97" x14ac:dyDescent="0.3">
      <c r="A125" s="104" t="str">
        <f t="shared" ref="A125:N125" si="250">A10</f>
        <v>Warkworth</v>
      </c>
      <c r="B125" s="104" t="str">
        <f t="shared" si="250"/>
        <v>Warkworth</v>
      </c>
      <c r="C125" s="104" t="str">
        <f t="shared" si="250"/>
        <v>NE, N, W, S</v>
      </c>
      <c r="D125" s="104" t="str">
        <f t="shared" si="250"/>
        <v>Warkworth N LZ</v>
      </c>
      <c r="E125" s="104" t="str">
        <f t="shared" si="250"/>
        <v>phased by sat inspection</v>
      </c>
      <c r="F125" s="104">
        <f t="shared" si="250"/>
        <v>1</v>
      </c>
      <c r="G125" s="104">
        <f t="shared" si="250"/>
        <v>0</v>
      </c>
      <c r="H125" s="104">
        <f t="shared" si="250"/>
        <v>0</v>
      </c>
      <c r="I125" s="104">
        <f t="shared" si="250"/>
        <v>0</v>
      </c>
      <c r="J125" s="104">
        <f t="shared" si="250"/>
        <v>1</v>
      </c>
      <c r="K125" s="104">
        <f t="shared" si="250"/>
        <v>0</v>
      </c>
      <c r="L125" s="104">
        <f t="shared" si="250"/>
        <v>0</v>
      </c>
      <c r="M125" s="104">
        <f t="shared" si="250"/>
        <v>0</v>
      </c>
      <c r="N125" s="104">
        <f t="shared" si="250"/>
        <v>0</v>
      </c>
      <c r="O125" s="104">
        <f t="shared" si="246"/>
        <v>1</v>
      </c>
      <c r="P125" s="104" cm="1">
        <f t="array" ref="P125">2024+MATCH(1,0/AB125:BG125)</f>
        <v>2036</v>
      </c>
      <c r="Q125" s="104"/>
      <c r="R125" s="104"/>
      <c r="S125" s="104"/>
      <c r="T125" s="104"/>
      <c r="U125" s="104"/>
      <c r="V125" s="104"/>
      <c r="W125" s="104"/>
      <c r="X125" s="104"/>
      <c r="Y125" s="104"/>
      <c r="Z125" s="104"/>
      <c r="AA125" s="104"/>
      <c r="AB125" s="103">
        <f t="shared" ref="AB125:BG125" si="251">AB10</f>
        <v>0</v>
      </c>
      <c r="AC125" s="103">
        <f t="shared" si="251"/>
        <v>0</v>
      </c>
      <c r="AD125" s="103">
        <f t="shared" si="251"/>
        <v>0</v>
      </c>
      <c r="AE125" s="103">
        <f t="shared" si="251"/>
        <v>0</v>
      </c>
      <c r="AF125" s="103">
        <f t="shared" si="251"/>
        <v>0</v>
      </c>
      <c r="AG125" s="103">
        <f t="shared" si="251"/>
        <v>9.3749999999999986E-2</v>
      </c>
      <c r="AH125" s="103">
        <f t="shared" si="251"/>
        <v>9.3749999999999986E-2</v>
      </c>
      <c r="AI125" s="103">
        <f t="shared" si="251"/>
        <v>9.3749999999999986E-2</v>
      </c>
      <c r="AJ125" s="103">
        <f t="shared" si="251"/>
        <v>9.3749999999999986E-2</v>
      </c>
      <c r="AK125" s="103">
        <f t="shared" si="251"/>
        <v>0.20833333333333334</v>
      </c>
      <c r="AL125" s="103">
        <f t="shared" si="251"/>
        <v>0.20833333333333334</v>
      </c>
      <c r="AM125" s="103">
        <f t="shared" si="251"/>
        <v>0.20833333333333334</v>
      </c>
      <c r="AN125" s="103">
        <f t="shared" si="251"/>
        <v>0</v>
      </c>
      <c r="AO125" s="103">
        <f t="shared" si="251"/>
        <v>0</v>
      </c>
      <c r="AP125" s="103">
        <f t="shared" si="251"/>
        <v>0</v>
      </c>
      <c r="AQ125" s="103">
        <f t="shared" si="251"/>
        <v>0</v>
      </c>
      <c r="AR125" s="103">
        <f t="shared" si="251"/>
        <v>0</v>
      </c>
      <c r="AS125" s="103">
        <f t="shared" si="251"/>
        <v>0</v>
      </c>
      <c r="AT125" s="103">
        <f t="shared" si="251"/>
        <v>0</v>
      </c>
      <c r="AU125" s="103">
        <f t="shared" si="251"/>
        <v>0</v>
      </c>
      <c r="AV125" s="103">
        <f t="shared" si="251"/>
        <v>0</v>
      </c>
      <c r="AW125" s="103">
        <f t="shared" si="251"/>
        <v>0</v>
      </c>
      <c r="AX125" s="103">
        <f t="shared" si="251"/>
        <v>0</v>
      </c>
      <c r="AY125" s="103">
        <f t="shared" si="251"/>
        <v>0</v>
      </c>
      <c r="AZ125" s="103">
        <f t="shared" si="251"/>
        <v>0</v>
      </c>
      <c r="BA125" s="103">
        <f t="shared" si="251"/>
        <v>0</v>
      </c>
      <c r="BB125" s="103">
        <f t="shared" si="251"/>
        <v>0</v>
      </c>
      <c r="BC125" s="103">
        <f t="shared" si="251"/>
        <v>0</v>
      </c>
      <c r="BD125" s="103">
        <f t="shared" si="251"/>
        <v>0</v>
      </c>
      <c r="BE125" s="103">
        <f t="shared" si="251"/>
        <v>0</v>
      </c>
      <c r="BF125" s="103">
        <f t="shared" si="251"/>
        <v>0</v>
      </c>
      <c r="BG125" s="103">
        <f t="shared" si="251"/>
        <v>0</v>
      </c>
      <c r="BH125" s="103"/>
      <c r="BI125" s="104"/>
      <c r="BJ125" s="104"/>
      <c r="BK125" s="104"/>
      <c r="BL125" s="110">
        <f>$O125*AB125*'Cost inputs'!F$12/1000000</f>
        <v>0</v>
      </c>
      <c r="BM125" s="110">
        <f>$O125*AC125*'Cost inputs'!G$12/1000000</f>
        <v>0</v>
      </c>
      <c r="BN125" s="110">
        <f>$O125*AD125*'Cost inputs'!H$12/1000000</f>
        <v>0</v>
      </c>
      <c r="BO125" s="110">
        <f>$O125*AE125*'Cost inputs'!I$12/1000000</f>
        <v>0</v>
      </c>
      <c r="BP125" s="110">
        <f>$O125*AF125*'Cost inputs'!J$12/1000000</f>
        <v>0</v>
      </c>
      <c r="BQ125" s="110">
        <f>$O125*AG125*'Cost inputs'!K$12/1000000</f>
        <v>3.5863052259431255E-3</v>
      </c>
      <c r="BR125" s="110">
        <f>$O125*AH125*'Cost inputs'!L$12/1000000</f>
        <v>3.6652039409138743E-3</v>
      </c>
      <c r="BS125" s="110">
        <f>$O125*AI125*'Cost inputs'!M$12/1000000</f>
        <v>3.745838427613979E-3</v>
      </c>
      <c r="BT125" s="110">
        <f>$O125*AJ125*'Cost inputs'!N$12/1000000</f>
        <v>3.8282468730214867E-3</v>
      </c>
      <c r="BU125" s="110">
        <f>$O125*AK125*'Cost inputs'!O$12/1000000</f>
        <v>8.6943740093954683E-3</v>
      </c>
      <c r="BV125" s="110">
        <f>$O125*AL125*'Cost inputs'!P$12/1000000</f>
        <v>8.8856502376021673E-3</v>
      </c>
      <c r="BW125" s="110">
        <f>$O125*AM125*'Cost inputs'!Q$12/1000000</f>
        <v>9.0811345428294145E-3</v>
      </c>
      <c r="BX125" s="110">
        <f>$O125*AN125*'Cost inputs'!R$12/1000000</f>
        <v>0</v>
      </c>
      <c r="BY125" s="110">
        <f>$O125*AO125*'Cost inputs'!S$12/1000000</f>
        <v>0</v>
      </c>
      <c r="BZ125" s="110">
        <f>$O125*AP125*'Cost inputs'!T$12/1000000</f>
        <v>0</v>
      </c>
      <c r="CA125" s="110">
        <f>$O125*AQ125*'Cost inputs'!U$12/1000000</f>
        <v>0</v>
      </c>
      <c r="CB125" s="110">
        <f>$O125*AR125*'Cost inputs'!V$12/1000000</f>
        <v>0</v>
      </c>
      <c r="CC125" s="110">
        <f>$O125*AS125*'Cost inputs'!W$12/1000000</f>
        <v>0</v>
      </c>
      <c r="CD125" s="110">
        <f>$O125*AT125*'Cost inputs'!X$12/1000000</f>
        <v>0</v>
      </c>
      <c r="CE125" s="110">
        <f>$O125*AU125*'Cost inputs'!Y$12/1000000</f>
        <v>0</v>
      </c>
      <c r="CF125" s="110">
        <f>$O125*AV125*'Cost inputs'!Z$12/1000000</f>
        <v>0</v>
      </c>
      <c r="CG125" s="110">
        <f>$O125*AW125*'Cost inputs'!AA$12/1000000</f>
        <v>0</v>
      </c>
      <c r="CH125" s="110">
        <f>$O125*AX125*'Cost inputs'!AB$12/1000000</f>
        <v>0</v>
      </c>
      <c r="CI125" s="110">
        <f>$O125*AY125*'Cost inputs'!AC$12/1000000</f>
        <v>0</v>
      </c>
      <c r="CJ125" s="110">
        <f>$O125*AZ125*'Cost inputs'!AD$12/1000000</f>
        <v>0</v>
      </c>
      <c r="CK125" s="110">
        <f>$O125*BA125*'Cost inputs'!AE$12/1000000</f>
        <v>0</v>
      </c>
      <c r="CL125" s="110">
        <f>$O125*BB125*'Cost inputs'!AF$12/1000000</f>
        <v>0</v>
      </c>
      <c r="CM125" s="110">
        <f>$O125*BC125*'Cost inputs'!AG$12/1000000</f>
        <v>0</v>
      </c>
      <c r="CN125" s="110">
        <f>$O125*BD125*'Cost inputs'!AH$12/1000000</f>
        <v>0</v>
      </c>
      <c r="CO125" s="110">
        <f>$O125*BE125*'Cost inputs'!AI$12/1000000</f>
        <v>0</v>
      </c>
      <c r="CP125" s="110">
        <f>$O125*BF125*'Cost inputs'!AJ$12/1000000</f>
        <v>0</v>
      </c>
      <c r="CQ125" s="110">
        <f>$O125*BG125*'Cost inputs'!AK$12/1000000</f>
        <v>0</v>
      </c>
      <c r="CR125" s="131">
        <f t="shared" ref="CR125:CR150" si="252">SUM(BL125:CQ125)</f>
        <v>4.1486753257319514E-2</v>
      </c>
      <c r="CS125" s="26"/>
    </row>
    <row r="126" spans="1:97" x14ac:dyDescent="0.3">
      <c r="A126" s="104" t="str">
        <f t="shared" ref="A126:N126" si="253">A11</f>
        <v>Warkworth</v>
      </c>
      <c r="B126" s="104" t="str">
        <f t="shared" si="253"/>
        <v>Warkworth</v>
      </c>
      <c r="C126" s="104" t="str">
        <f t="shared" si="253"/>
        <v>NE, N, W, S</v>
      </c>
      <c r="D126" s="104" t="str">
        <f t="shared" si="253"/>
        <v>Warkworth West LZ</v>
      </c>
      <c r="E126" s="104" t="str">
        <f t="shared" si="253"/>
        <v>phased by sat inspection</v>
      </c>
      <c r="F126" s="104">
        <f t="shared" si="253"/>
        <v>1</v>
      </c>
      <c r="G126" s="104">
        <f t="shared" si="253"/>
        <v>0</v>
      </c>
      <c r="H126" s="104">
        <f t="shared" si="253"/>
        <v>0</v>
      </c>
      <c r="I126" s="104">
        <f t="shared" si="253"/>
        <v>0</v>
      </c>
      <c r="J126" s="104">
        <f t="shared" si="253"/>
        <v>1</v>
      </c>
      <c r="K126" s="104">
        <f t="shared" si="253"/>
        <v>0</v>
      </c>
      <c r="L126" s="104">
        <f t="shared" si="253"/>
        <v>0</v>
      </c>
      <c r="M126" s="104">
        <f t="shared" si="253"/>
        <v>0</v>
      </c>
      <c r="N126" s="104">
        <f t="shared" si="253"/>
        <v>0</v>
      </c>
      <c r="O126" s="104">
        <f t="shared" si="246"/>
        <v>1</v>
      </c>
      <c r="P126" s="104" cm="1">
        <f t="array" ref="P126">2024+MATCH(1,0/AB126:BG126)</f>
        <v>2039</v>
      </c>
      <c r="Q126" s="104"/>
      <c r="R126" s="104"/>
      <c r="S126" s="104"/>
      <c r="T126" s="104"/>
      <c r="U126" s="104"/>
      <c r="V126" s="104"/>
      <c r="W126" s="104"/>
      <c r="X126" s="104"/>
      <c r="Y126" s="104"/>
      <c r="Z126" s="104"/>
      <c r="AA126" s="104"/>
      <c r="AB126" s="103">
        <f t="shared" ref="AB126:BG126" si="254">AB11</f>
        <v>0</v>
      </c>
      <c r="AC126" s="103">
        <f t="shared" si="254"/>
        <v>0</v>
      </c>
      <c r="AD126" s="103">
        <f t="shared" si="254"/>
        <v>0</v>
      </c>
      <c r="AE126" s="103">
        <f t="shared" si="254"/>
        <v>0</v>
      </c>
      <c r="AF126" s="103">
        <f t="shared" si="254"/>
        <v>0.05</v>
      </c>
      <c r="AG126" s="103">
        <f t="shared" si="254"/>
        <v>0.05</v>
      </c>
      <c r="AH126" s="103">
        <f t="shared" si="254"/>
        <v>0.05</v>
      </c>
      <c r="AI126" s="103">
        <f t="shared" si="254"/>
        <v>0.05</v>
      </c>
      <c r="AJ126" s="103">
        <f t="shared" si="254"/>
        <v>7.4999999999999997E-2</v>
      </c>
      <c r="AK126" s="103">
        <f t="shared" si="254"/>
        <v>7.4999999999999997E-2</v>
      </c>
      <c r="AL126" s="103">
        <f t="shared" si="254"/>
        <v>7.4999999999999997E-2</v>
      </c>
      <c r="AM126" s="103">
        <f t="shared" si="254"/>
        <v>7.4999999999999997E-2</v>
      </c>
      <c r="AN126" s="103">
        <f t="shared" si="254"/>
        <v>0.16666666666666666</v>
      </c>
      <c r="AO126" s="103">
        <f t="shared" si="254"/>
        <v>0.16666666666666666</v>
      </c>
      <c r="AP126" s="103">
        <f t="shared" si="254"/>
        <v>0.16666666666666666</v>
      </c>
      <c r="AQ126" s="103">
        <f t="shared" si="254"/>
        <v>0</v>
      </c>
      <c r="AR126" s="103">
        <f t="shared" si="254"/>
        <v>0</v>
      </c>
      <c r="AS126" s="103">
        <f t="shared" si="254"/>
        <v>0</v>
      </c>
      <c r="AT126" s="103">
        <f t="shared" si="254"/>
        <v>0</v>
      </c>
      <c r="AU126" s="103">
        <f t="shared" si="254"/>
        <v>0</v>
      </c>
      <c r="AV126" s="103">
        <f t="shared" si="254"/>
        <v>0</v>
      </c>
      <c r="AW126" s="103">
        <f t="shared" si="254"/>
        <v>0</v>
      </c>
      <c r="AX126" s="103">
        <f t="shared" si="254"/>
        <v>0</v>
      </c>
      <c r="AY126" s="103">
        <f t="shared" si="254"/>
        <v>0</v>
      </c>
      <c r="AZ126" s="103">
        <f t="shared" si="254"/>
        <v>0</v>
      </c>
      <c r="BA126" s="103">
        <f t="shared" si="254"/>
        <v>0</v>
      </c>
      <c r="BB126" s="103">
        <f t="shared" si="254"/>
        <v>0</v>
      </c>
      <c r="BC126" s="103">
        <f t="shared" si="254"/>
        <v>0</v>
      </c>
      <c r="BD126" s="103">
        <f t="shared" si="254"/>
        <v>0</v>
      </c>
      <c r="BE126" s="103">
        <f t="shared" si="254"/>
        <v>0</v>
      </c>
      <c r="BF126" s="103">
        <f t="shared" si="254"/>
        <v>0</v>
      </c>
      <c r="BG126" s="103">
        <f t="shared" si="254"/>
        <v>0</v>
      </c>
      <c r="BH126" s="103"/>
      <c r="BI126" s="104"/>
      <c r="BJ126" s="104"/>
      <c r="BK126" s="104"/>
      <c r="BL126" s="110">
        <f>$O126*AB126*'Cost inputs'!F$12/1000000</f>
        <v>0</v>
      </c>
      <c r="BM126" s="110">
        <f>$O126*AC126*'Cost inputs'!G$12/1000000</f>
        <v>0</v>
      </c>
      <c r="BN126" s="110">
        <f>$O126*AD126*'Cost inputs'!H$12/1000000</f>
        <v>0</v>
      </c>
      <c r="BO126" s="110">
        <f>$O126*AE126*'Cost inputs'!I$12/1000000</f>
        <v>0</v>
      </c>
      <c r="BP126" s="110">
        <f>$O126*AF126*'Cost inputs'!J$12/1000000</f>
        <v>1.8715226228013706E-3</v>
      </c>
      <c r="BQ126" s="110">
        <f>$O126*AG126*'Cost inputs'!K$12/1000000</f>
        <v>1.9126961205030006E-3</v>
      </c>
      <c r="BR126" s="110">
        <f>$O126*AH126*'Cost inputs'!L$12/1000000</f>
        <v>1.9547754351540666E-3</v>
      </c>
      <c r="BS126" s="110">
        <f>$O126*AI126*'Cost inputs'!M$12/1000000</f>
        <v>1.9977804947274558E-3</v>
      </c>
      <c r="BT126" s="110">
        <f>$O126*AJ126*'Cost inputs'!N$12/1000000</f>
        <v>3.0625974984171897E-3</v>
      </c>
      <c r="BU126" s="110">
        <f>$O126*AK126*'Cost inputs'!O$12/1000000</f>
        <v>3.129974643382368E-3</v>
      </c>
      <c r="BV126" s="110">
        <f>$O126*AL126*'Cost inputs'!P$12/1000000</f>
        <v>3.1988340855367801E-3</v>
      </c>
      <c r="BW126" s="110">
        <f>$O126*AM126*'Cost inputs'!Q$12/1000000</f>
        <v>3.2692084354185896E-3</v>
      </c>
      <c r="BX126" s="110">
        <f>$O126*AN126*'Cost inputs'!R$12/1000000</f>
        <v>7.4247356022173298E-3</v>
      </c>
      <c r="BY126" s="110">
        <f>$O126*AO126*'Cost inputs'!S$12/1000000</f>
        <v>7.5880797854661116E-3</v>
      </c>
      <c r="BZ126" s="110">
        <f>$O126*AP126*'Cost inputs'!T$12/1000000</f>
        <v>7.7550175407463656E-3</v>
      </c>
      <c r="CA126" s="110">
        <f>$O126*AQ126*'Cost inputs'!U$12/1000000</f>
        <v>0</v>
      </c>
      <c r="CB126" s="110">
        <f>$O126*AR126*'Cost inputs'!V$12/1000000</f>
        <v>0</v>
      </c>
      <c r="CC126" s="110">
        <f>$O126*AS126*'Cost inputs'!W$12/1000000</f>
        <v>0</v>
      </c>
      <c r="CD126" s="110">
        <f>$O126*AT126*'Cost inputs'!X$12/1000000</f>
        <v>0</v>
      </c>
      <c r="CE126" s="110">
        <f>$O126*AU126*'Cost inputs'!Y$12/1000000</f>
        <v>0</v>
      </c>
      <c r="CF126" s="110">
        <f>$O126*AV126*'Cost inputs'!Z$12/1000000</f>
        <v>0</v>
      </c>
      <c r="CG126" s="110">
        <f>$O126*AW126*'Cost inputs'!AA$12/1000000</f>
        <v>0</v>
      </c>
      <c r="CH126" s="110">
        <f>$O126*AX126*'Cost inputs'!AB$12/1000000</f>
        <v>0</v>
      </c>
      <c r="CI126" s="110">
        <f>$O126*AY126*'Cost inputs'!AC$12/1000000</f>
        <v>0</v>
      </c>
      <c r="CJ126" s="110">
        <f>$O126*AZ126*'Cost inputs'!AD$12/1000000</f>
        <v>0</v>
      </c>
      <c r="CK126" s="110">
        <f>$O126*BA126*'Cost inputs'!AE$12/1000000</f>
        <v>0</v>
      </c>
      <c r="CL126" s="110">
        <f>$O126*BB126*'Cost inputs'!AF$12/1000000</f>
        <v>0</v>
      </c>
      <c r="CM126" s="110">
        <f>$O126*BC126*'Cost inputs'!AG$12/1000000</f>
        <v>0</v>
      </c>
      <c r="CN126" s="110">
        <f>$O126*BD126*'Cost inputs'!AH$12/1000000</f>
        <v>0</v>
      </c>
      <c r="CO126" s="110">
        <f>$O126*BE126*'Cost inputs'!AI$12/1000000</f>
        <v>0</v>
      </c>
      <c r="CP126" s="110">
        <f>$O126*BF126*'Cost inputs'!AJ$12/1000000</f>
        <v>0</v>
      </c>
      <c r="CQ126" s="110">
        <f>$O126*BG126*'Cost inputs'!AK$12/1000000</f>
        <v>0</v>
      </c>
      <c r="CR126" s="131">
        <f t="shared" si="252"/>
        <v>4.3165222264370633E-2</v>
      </c>
      <c r="CS126" s="26"/>
    </row>
    <row r="127" spans="1:97" x14ac:dyDescent="0.3">
      <c r="A127" s="104" t="str">
        <f t="shared" ref="A127:N127" si="255">A12</f>
        <v>Warkworth</v>
      </c>
      <c r="B127" s="104" t="str">
        <f t="shared" si="255"/>
        <v>Warkworth</v>
      </c>
      <c r="C127" s="104" t="str">
        <f t="shared" si="255"/>
        <v>NE, N, W, S</v>
      </c>
      <c r="D127" s="104" t="str">
        <f t="shared" si="255"/>
        <v>Warkworth North (remainder)</v>
      </c>
      <c r="E127" s="104">
        <f t="shared" si="255"/>
        <v>0</v>
      </c>
      <c r="F127" s="104">
        <f t="shared" si="255"/>
        <v>2</v>
      </c>
      <c r="G127" s="104">
        <f t="shared" si="255"/>
        <v>0</v>
      </c>
      <c r="H127" s="104">
        <f t="shared" si="255"/>
        <v>0</v>
      </c>
      <c r="I127" s="104">
        <f t="shared" si="255"/>
        <v>0</v>
      </c>
      <c r="J127" s="104">
        <f t="shared" si="255"/>
        <v>2</v>
      </c>
      <c r="K127" s="104">
        <f t="shared" si="255"/>
        <v>0</v>
      </c>
      <c r="L127" s="104">
        <f t="shared" si="255"/>
        <v>0</v>
      </c>
      <c r="M127" s="104">
        <f t="shared" si="255"/>
        <v>0</v>
      </c>
      <c r="N127" s="104">
        <f t="shared" si="255"/>
        <v>0</v>
      </c>
      <c r="O127" s="104">
        <f t="shared" si="246"/>
        <v>2</v>
      </c>
      <c r="P127" s="104" cm="1">
        <f t="array" ref="P127">2024+MATCH(1,0/AB127:BG127)</f>
        <v>2043</v>
      </c>
      <c r="Q127" s="104"/>
      <c r="R127" s="104"/>
      <c r="S127" s="104"/>
      <c r="T127" s="104"/>
      <c r="U127" s="104"/>
      <c r="V127" s="104"/>
      <c r="W127" s="104"/>
      <c r="X127" s="104"/>
      <c r="Y127" s="104"/>
      <c r="Z127" s="104"/>
      <c r="AA127" s="104"/>
      <c r="AB127" s="103">
        <f t="shared" ref="AB127:BG127" si="256">AB12</f>
        <v>0</v>
      </c>
      <c r="AC127" s="103">
        <f t="shared" si="256"/>
        <v>0</v>
      </c>
      <c r="AD127" s="103">
        <f t="shared" si="256"/>
        <v>0</v>
      </c>
      <c r="AE127" s="103">
        <f t="shared" si="256"/>
        <v>0</v>
      </c>
      <c r="AF127" s="103">
        <f t="shared" si="256"/>
        <v>0</v>
      </c>
      <c r="AG127" s="103">
        <f t="shared" si="256"/>
        <v>0</v>
      </c>
      <c r="AH127" s="103">
        <f t="shared" si="256"/>
        <v>0</v>
      </c>
      <c r="AI127" s="103">
        <f t="shared" si="256"/>
        <v>0</v>
      </c>
      <c r="AJ127" s="103">
        <f t="shared" si="256"/>
        <v>0.05</v>
      </c>
      <c r="AK127" s="103">
        <f t="shared" si="256"/>
        <v>0.05</v>
      </c>
      <c r="AL127" s="103">
        <f t="shared" si="256"/>
        <v>0.05</v>
      </c>
      <c r="AM127" s="103">
        <f t="shared" si="256"/>
        <v>0.05</v>
      </c>
      <c r="AN127" s="103">
        <f t="shared" si="256"/>
        <v>7.4999999999999997E-2</v>
      </c>
      <c r="AO127" s="103">
        <f t="shared" si="256"/>
        <v>7.4999999999999997E-2</v>
      </c>
      <c r="AP127" s="103">
        <f t="shared" si="256"/>
        <v>7.4999999999999997E-2</v>
      </c>
      <c r="AQ127" s="103">
        <f t="shared" si="256"/>
        <v>7.4999999999999997E-2</v>
      </c>
      <c r="AR127" s="103">
        <f t="shared" si="256"/>
        <v>0.16666666666666666</v>
      </c>
      <c r="AS127" s="103">
        <f t="shared" si="256"/>
        <v>0.16666666666666666</v>
      </c>
      <c r="AT127" s="103">
        <f t="shared" si="256"/>
        <v>0.16666666666666666</v>
      </c>
      <c r="AU127" s="103">
        <f t="shared" si="256"/>
        <v>0</v>
      </c>
      <c r="AV127" s="103">
        <f t="shared" si="256"/>
        <v>0</v>
      </c>
      <c r="AW127" s="103">
        <f t="shared" si="256"/>
        <v>0</v>
      </c>
      <c r="AX127" s="103">
        <f t="shared" si="256"/>
        <v>0</v>
      </c>
      <c r="AY127" s="103">
        <f t="shared" si="256"/>
        <v>0</v>
      </c>
      <c r="AZ127" s="103">
        <f t="shared" si="256"/>
        <v>0</v>
      </c>
      <c r="BA127" s="103">
        <f t="shared" si="256"/>
        <v>0</v>
      </c>
      <c r="BB127" s="103">
        <f t="shared" si="256"/>
        <v>0</v>
      </c>
      <c r="BC127" s="103">
        <f t="shared" si="256"/>
        <v>0</v>
      </c>
      <c r="BD127" s="103">
        <f t="shared" si="256"/>
        <v>0</v>
      </c>
      <c r="BE127" s="103">
        <f t="shared" si="256"/>
        <v>0</v>
      </c>
      <c r="BF127" s="103">
        <f t="shared" si="256"/>
        <v>0</v>
      </c>
      <c r="BG127" s="103">
        <f t="shared" si="256"/>
        <v>0</v>
      </c>
      <c r="BH127" s="103"/>
      <c r="BI127" s="104"/>
      <c r="BJ127" s="104"/>
      <c r="BK127" s="104"/>
      <c r="BL127" s="110">
        <f>$O127*AB127*'Cost inputs'!F$12/1000000</f>
        <v>0</v>
      </c>
      <c r="BM127" s="110">
        <f>$O127*AC127*'Cost inputs'!G$12/1000000</f>
        <v>0</v>
      </c>
      <c r="BN127" s="110">
        <f>$O127*AD127*'Cost inputs'!H$12/1000000</f>
        <v>0</v>
      </c>
      <c r="BO127" s="110">
        <f>$O127*AE127*'Cost inputs'!I$12/1000000</f>
        <v>0</v>
      </c>
      <c r="BP127" s="110">
        <f>$O127*AF127*'Cost inputs'!J$12/1000000</f>
        <v>0</v>
      </c>
      <c r="BQ127" s="110">
        <f>$O127*AG127*'Cost inputs'!K$12/1000000</f>
        <v>0</v>
      </c>
      <c r="BR127" s="110">
        <f>$O127*AH127*'Cost inputs'!L$12/1000000</f>
        <v>0</v>
      </c>
      <c r="BS127" s="110">
        <f>$O127*AI127*'Cost inputs'!M$12/1000000</f>
        <v>0</v>
      </c>
      <c r="BT127" s="110">
        <f>$O127*AJ127*'Cost inputs'!N$12/1000000</f>
        <v>4.0834633312229196E-3</v>
      </c>
      <c r="BU127" s="110">
        <f>$O127*AK127*'Cost inputs'!O$12/1000000</f>
        <v>4.1732995245098237E-3</v>
      </c>
      <c r="BV127" s="110">
        <f>$O127*AL127*'Cost inputs'!P$12/1000000</f>
        <v>4.2651121140490408E-3</v>
      </c>
      <c r="BW127" s="110">
        <f>$O127*AM127*'Cost inputs'!Q$12/1000000</f>
        <v>4.358944580558119E-3</v>
      </c>
      <c r="BX127" s="110">
        <f>$O127*AN127*'Cost inputs'!R$12/1000000</f>
        <v>6.6822620419955967E-3</v>
      </c>
      <c r="BY127" s="110">
        <f>$O127*AO127*'Cost inputs'!S$12/1000000</f>
        <v>6.8292718069195004E-3</v>
      </c>
      <c r="BZ127" s="110">
        <f>$O127*AP127*'Cost inputs'!T$12/1000000</f>
        <v>6.979515786671729E-3</v>
      </c>
      <c r="CA127" s="110">
        <f>$O127*AQ127*'Cost inputs'!U$12/1000000</f>
        <v>7.1330651339785072E-3</v>
      </c>
      <c r="CB127" s="110">
        <f>$O127*AR127*'Cost inputs'!V$12/1000000</f>
        <v>1.6199983482057853E-2</v>
      </c>
      <c r="CC127" s="110">
        <f>$O127*AS127*'Cost inputs'!W$12/1000000</f>
        <v>1.6556383118663129E-2</v>
      </c>
      <c r="CD127" s="110">
        <f>$O127*AT127*'Cost inputs'!X$12/1000000</f>
        <v>1.6920623547273719E-2</v>
      </c>
      <c r="CE127" s="110">
        <f>$O127*AU127*'Cost inputs'!Y$12/1000000</f>
        <v>0</v>
      </c>
      <c r="CF127" s="110">
        <f>$O127*AV127*'Cost inputs'!Z$12/1000000</f>
        <v>0</v>
      </c>
      <c r="CG127" s="110">
        <f>$O127*AW127*'Cost inputs'!AA$12/1000000</f>
        <v>0</v>
      </c>
      <c r="CH127" s="110">
        <f>$O127*AX127*'Cost inputs'!AB$12/1000000</f>
        <v>0</v>
      </c>
      <c r="CI127" s="110">
        <f>$O127*AY127*'Cost inputs'!AC$12/1000000</f>
        <v>0</v>
      </c>
      <c r="CJ127" s="110">
        <f>$O127*AZ127*'Cost inputs'!AD$12/1000000</f>
        <v>0</v>
      </c>
      <c r="CK127" s="110">
        <f>$O127*BA127*'Cost inputs'!AE$12/1000000</f>
        <v>0</v>
      </c>
      <c r="CL127" s="110">
        <f>$O127*BB127*'Cost inputs'!AF$12/1000000</f>
        <v>0</v>
      </c>
      <c r="CM127" s="110">
        <f>$O127*BC127*'Cost inputs'!AG$12/1000000</f>
        <v>0</v>
      </c>
      <c r="CN127" s="110">
        <f>$O127*BD127*'Cost inputs'!AH$12/1000000</f>
        <v>0</v>
      </c>
      <c r="CO127" s="110">
        <f>$O127*BE127*'Cost inputs'!AI$12/1000000</f>
        <v>0</v>
      </c>
      <c r="CP127" s="110">
        <f>$O127*BF127*'Cost inputs'!AJ$12/1000000</f>
        <v>0</v>
      </c>
      <c r="CQ127" s="110">
        <f>$O127*BG127*'Cost inputs'!AK$12/1000000</f>
        <v>0</v>
      </c>
      <c r="CR127" s="131">
        <f t="shared" si="252"/>
        <v>9.4181924467899941E-2</v>
      </c>
      <c r="CS127" s="26"/>
    </row>
    <row r="128" spans="1:97" x14ac:dyDescent="0.3">
      <c r="A128" s="104" t="str">
        <f t="shared" ref="A128:N128" si="257">A13</f>
        <v>Warkworth</v>
      </c>
      <c r="B128" s="104" t="str">
        <f t="shared" si="257"/>
        <v>Warkworth</v>
      </c>
      <c r="C128" s="104" t="str">
        <f t="shared" si="257"/>
        <v>NE, N, W, S</v>
      </c>
      <c r="D128" s="104" t="str">
        <f t="shared" si="257"/>
        <v>Warkworth West (remainder)</v>
      </c>
      <c r="E128" s="104">
        <f t="shared" si="257"/>
        <v>0</v>
      </c>
      <c r="F128" s="104">
        <f t="shared" si="257"/>
        <v>3</v>
      </c>
      <c r="G128" s="104">
        <f t="shared" si="257"/>
        <v>0</v>
      </c>
      <c r="H128" s="104">
        <f t="shared" si="257"/>
        <v>0</v>
      </c>
      <c r="I128" s="104">
        <f t="shared" si="257"/>
        <v>0</v>
      </c>
      <c r="J128" s="104">
        <f t="shared" si="257"/>
        <v>3</v>
      </c>
      <c r="K128" s="104">
        <f t="shared" si="257"/>
        <v>0</v>
      </c>
      <c r="L128" s="104">
        <f t="shared" si="257"/>
        <v>0</v>
      </c>
      <c r="M128" s="104">
        <f t="shared" si="257"/>
        <v>0</v>
      </c>
      <c r="N128" s="104">
        <f t="shared" si="257"/>
        <v>0</v>
      </c>
      <c r="O128" s="104">
        <f t="shared" si="246"/>
        <v>3</v>
      </c>
      <c r="P128" s="104" cm="1">
        <f t="array" ref="P128">2024+MATCH(1,0/AB128:BG128)</f>
        <v>2046</v>
      </c>
      <c r="Q128" s="104"/>
      <c r="R128" s="104"/>
      <c r="S128" s="104"/>
      <c r="T128" s="104"/>
      <c r="U128" s="104"/>
      <c r="V128" s="104"/>
      <c r="W128" s="104"/>
      <c r="X128" s="104"/>
      <c r="Y128" s="104"/>
      <c r="Z128" s="104"/>
      <c r="AA128" s="104"/>
      <c r="AB128" s="103">
        <f t="shared" ref="AB128:BG128" si="258">AB13</f>
        <v>0</v>
      </c>
      <c r="AC128" s="103">
        <f t="shared" si="258"/>
        <v>0</v>
      </c>
      <c r="AD128" s="103">
        <f t="shared" si="258"/>
        <v>0</v>
      </c>
      <c r="AE128" s="103">
        <f t="shared" si="258"/>
        <v>0</v>
      </c>
      <c r="AF128" s="103">
        <f t="shared" si="258"/>
        <v>0</v>
      </c>
      <c r="AG128" s="103">
        <f t="shared" si="258"/>
        <v>0</v>
      </c>
      <c r="AH128" s="103">
        <f t="shared" si="258"/>
        <v>0</v>
      </c>
      <c r="AI128" s="103">
        <f t="shared" si="258"/>
        <v>0</v>
      </c>
      <c r="AJ128" s="103">
        <f t="shared" si="258"/>
        <v>0</v>
      </c>
      <c r="AK128" s="103">
        <f t="shared" si="258"/>
        <v>0</v>
      </c>
      <c r="AL128" s="103">
        <f t="shared" si="258"/>
        <v>0</v>
      </c>
      <c r="AM128" s="103">
        <f t="shared" si="258"/>
        <v>0.05</v>
      </c>
      <c r="AN128" s="103">
        <f t="shared" si="258"/>
        <v>0.05</v>
      </c>
      <c r="AO128" s="103">
        <f t="shared" si="258"/>
        <v>0.05</v>
      </c>
      <c r="AP128" s="103">
        <f t="shared" si="258"/>
        <v>0.05</v>
      </c>
      <c r="AQ128" s="103">
        <f t="shared" si="258"/>
        <v>7.4999999999999997E-2</v>
      </c>
      <c r="AR128" s="103">
        <f t="shared" si="258"/>
        <v>7.4999999999999997E-2</v>
      </c>
      <c r="AS128" s="103">
        <f t="shared" si="258"/>
        <v>7.4999999999999997E-2</v>
      </c>
      <c r="AT128" s="103">
        <f t="shared" si="258"/>
        <v>7.4999999999999997E-2</v>
      </c>
      <c r="AU128" s="103">
        <f t="shared" si="258"/>
        <v>0.16666666666666666</v>
      </c>
      <c r="AV128" s="103">
        <f t="shared" si="258"/>
        <v>0.16666666666666666</v>
      </c>
      <c r="AW128" s="103">
        <f t="shared" si="258"/>
        <v>0.16666666666666666</v>
      </c>
      <c r="AX128" s="103">
        <f t="shared" si="258"/>
        <v>0</v>
      </c>
      <c r="AY128" s="103">
        <f t="shared" si="258"/>
        <v>0</v>
      </c>
      <c r="AZ128" s="103">
        <f t="shared" si="258"/>
        <v>0</v>
      </c>
      <c r="BA128" s="103">
        <f t="shared" si="258"/>
        <v>0</v>
      </c>
      <c r="BB128" s="103">
        <f t="shared" si="258"/>
        <v>0</v>
      </c>
      <c r="BC128" s="103">
        <f t="shared" si="258"/>
        <v>0</v>
      </c>
      <c r="BD128" s="103">
        <f t="shared" si="258"/>
        <v>0</v>
      </c>
      <c r="BE128" s="103">
        <f t="shared" si="258"/>
        <v>0</v>
      </c>
      <c r="BF128" s="103">
        <f t="shared" si="258"/>
        <v>0</v>
      </c>
      <c r="BG128" s="103">
        <f t="shared" si="258"/>
        <v>0</v>
      </c>
      <c r="BH128" s="103"/>
      <c r="BI128" s="104"/>
      <c r="BJ128" s="104"/>
      <c r="BK128" s="104"/>
      <c r="BL128" s="110">
        <f>$O128*AB128*'Cost inputs'!F$12/1000000</f>
        <v>0</v>
      </c>
      <c r="BM128" s="110">
        <f>$O128*AC128*'Cost inputs'!G$12/1000000</f>
        <v>0</v>
      </c>
      <c r="BN128" s="110">
        <f>$O128*AD128*'Cost inputs'!H$12/1000000</f>
        <v>0</v>
      </c>
      <c r="BO128" s="110">
        <f>$O128*AE128*'Cost inputs'!I$12/1000000</f>
        <v>0</v>
      </c>
      <c r="BP128" s="110">
        <f>$O128*AF128*'Cost inputs'!J$12/1000000</f>
        <v>0</v>
      </c>
      <c r="BQ128" s="110">
        <f>$O128*AG128*'Cost inputs'!K$12/1000000</f>
        <v>0</v>
      </c>
      <c r="BR128" s="110">
        <f>$O128*AH128*'Cost inputs'!L$12/1000000</f>
        <v>0</v>
      </c>
      <c r="BS128" s="110">
        <f>$O128*AI128*'Cost inputs'!M$12/1000000</f>
        <v>0</v>
      </c>
      <c r="BT128" s="110">
        <f>$O128*AJ128*'Cost inputs'!N$12/1000000</f>
        <v>0</v>
      </c>
      <c r="BU128" s="110">
        <f>$O128*AK128*'Cost inputs'!O$12/1000000</f>
        <v>0</v>
      </c>
      <c r="BV128" s="110">
        <f>$O128*AL128*'Cost inputs'!P$12/1000000</f>
        <v>0</v>
      </c>
      <c r="BW128" s="110">
        <f>$O128*AM128*'Cost inputs'!Q$12/1000000</f>
        <v>6.5384168708371802E-3</v>
      </c>
      <c r="BX128" s="110">
        <f>$O128*AN128*'Cost inputs'!R$12/1000000</f>
        <v>6.6822620419955975E-3</v>
      </c>
      <c r="BY128" s="110">
        <f>$O128*AO128*'Cost inputs'!S$12/1000000</f>
        <v>6.8292718069195013E-3</v>
      </c>
      <c r="BZ128" s="110">
        <f>$O128*AP128*'Cost inputs'!T$12/1000000</f>
        <v>6.9795157866717307E-3</v>
      </c>
      <c r="CA128" s="110">
        <f>$O128*AQ128*'Cost inputs'!U$12/1000000</f>
        <v>1.0699597700967759E-2</v>
      </c>
      <c r="CB128" s="110">
        <f>$O128*AR128*'Cost inputs'!V$12/1000000</f>
        <v>1.093498885038905E-2</v>
      </c>
      <c r="CC128" s="110">
        <f>$O128*AS128*'Cost inputs'!W$12/1000000</f>
        <v>1.1175558605097611E-2</v>
      </c>
      <c r="CD128" s="110">
        <f>$O128*AT128*'Cost inputs'!X$12/1000000</f>
        <v>1.1421420894409758E-2</v>
      </c>
      <c r="CE128" s="110">
        <f>$O128*AU128*'Cost inputs'!Y$12/1000000</f>
        <v>2.5939315897970609E-2</v>
      </c>
      <c r="CF128" s="110">
        <f>$O128*AV128*'Cost inputs'!Z$12/1000000</f>
        <v>2.6509980847725965E-2</v>
      </c>
      <c r="CG128" s="110">
        <f>$O128*AW128*'Cost inputs'!AA$12/1000000</f>
        <v>2.7093200426375936E-2</v>
      </c>
      <c r="CH128" s="110">
        <f>$O128*AX128*'Cost inputs'!AB$12/1000000</f>
        <v>0</v>
      </c>
      <c r="CI128" s="110">
        <f>$O128*AY128*'Cost inputs'!AC$12/1000000</f>
        <v>0</v>
      </c>
      <c r="CJ128" s="110">
        <f>$O128*AZ128*'Cost inputs'!AD$12/1000000</f>
        <v>0</v>
      </c>
      <c r="CK128" s="110">
        <f>$O128*BA128*'Cost inputs'!AE$12/1000000</f>
        <v>0</v>
      </c>
      <c r="CL128" s="110">
        <f>$O128*BB128*'Cost inputs'!AF$12/1000000</f>
        <v>0</v>
      </c>
      <c r="CM128" s="110">
        <f>$O128*BC128*'Cost inputs'!AG$12/1000000</f>
        <v>0</v>
      </c>
      <c r="CN128" s="110">
        <f>$O128*BD128*'Cost inputs'!AH$12/1000000</f>
        <v>0</v>
      </c>
      <c r="CO128" s="110">
        <f>$O128*BE128*'Cost inputs'!AI$12/1000000</f>
        <v>0</v>
      </c>
      <c r="CP128" s="110">
        <f>$O128*BF128*'Cost inputs'!AJ$12/1000000</f>
        <v>0</v>
      </c>
      <c r="CQ128" s="110">
        <f>$O128*BG128*'Cost inputs'!AK$12/1000000</f>
        <v>0</v>
      </c>
      <c r="CR128" s="131">
        <f t="shared" si="252"/>
        <v>0.1508035297293607</v>
      </c>
      <c r="CS128" s="26"/>
    </row>
    <row r="129" spans="1:97" x14ac:dyDescent="0.3">
      <c r="A129" s="104" t="str">
        <f t="shared" ref="A129:N129" si="259">A14</f>
        <v>Warkworth</v>
      </c>
      <c r="B129" s="104" t="str">
        <f t="shared" si="259"/>
        <v>Warkworth</v>
      </c>
      <c r="C129" s="104" t="str">
        <f t="shared" si="259"/>
        <v>NE, N, W, S</v>
      </c>
      <c r="D129" s="104" t="str">
        <f t="shared" si="259"/>
        <v>Warkworth North-East</v>
      </c>
      <c r="E129" s="104">
        <f t="shared" si="259"/>
        <v>0</v>
      </c>
      <c r="F129" s="104">
        <f t="shared" si="259"/>
        <v>2</v>
      </c>
      <c r="G129" s="104">
        <f t="shared" si="259"/>
        <v>0</v>
      </c>
      <c r="H129" s="104">
        <f t="shared" si="259"/>
        <v>0</v>
      </c>
      <c r="I129" s="104">
        <f t="shared" si="259"/>
        <v>0</v>
      </c>
      <c r="J129" s="104">
        <f t="shared" si="259"/>
        <v>2</v>
      </c>
      <c r="K129" s="104">
        <f t="shared" si="259"/>
        <v>0</v>
      </c>
      <c r="L129" s="104">
        <f t="shared" si="259"/>
        <v>0</v>
      </c>
      <c r="M129" s="104">
        <f t="shared" si="259"/>
        <v>0</v>
      </c>
      <c r="N129" s="104">
        <f t="shared" si="259"/>
        <v>0</v>
      </c>
      <c r="O129" s="104">
        <f t="shared" si="246"/>
        <v>2</v>
      </c>
      <c r="P129" s="104" cm="1">
        <f t="array" ref="P129">2024+MATCH(1,0/AB129:BG129)</f>
        <v>2051</v>
      </c>
      <c r="Q129" s="104"/>
      <c r="R129" s="104"/>
      <c r="S129" s="104"/>
      <c r="T129" s="104"/>
      <c r="U129" s="104"/>
      <c r="V129" s="104"/>
      <c r="W129" s="104"/>
      <c r="X129" s="104"/>
      <c r="Y129" s="104"/>
      <c r="Z129" s="104"/>
      <c r="AA129" s="104"/>
      <c r="AB129" s="103">
        <f t="shared" ref="AB129:BG129" si="260">AB14</f>
        <v>0</v>
      </c>
      <c r="AC129" s="103">
        <f t="shared" si="260"/>
        <v>0</v>
      </c>
      <c r="AD129" s="103">
        <f t="shared" si="260"/>
        <v>0</v>
      </c>
      <c r="AE129" s="103">
        <f t="shared" si="260"/>
        <v>0</v>
      </c>
      <c r="AF129" s="103">
        <f t="shared" si="260"/>
        <v>0</v>
      </c>
      <c r="AG129" s="103">
        <f t="shared" si="260"/>
        <v>0</v>
      </c>
      <c r="AH129" s="103">
        <f t="shared" si="260"/>
        <v>0</v>
      </c>
      <c r="AI129" s="103">
        <f t="shared" si="260"/>
        <v>0</v>
      </c>
      <c r="AJ129" s="103">
        <f t="shared" si="260"/>
        <v>0</v>
      </c>
      <c r="AK129" s="103">
        <f t="shared" si="260"/>
        <v>0</v>
      </c>
      <c r="AL129" s="103">
        <f t="shared" si="260"/>
        <v>0</v>
      </c>
      <c r="AM129" s="103">
        <f t="shared" si="260"/>
        <v>0</v>
      </c>
      <c r="AN129" s="103">
        <f t="shared" si="260"/>
        <v>0</v>
      </c>
      <c r="AO129" s="103">
        <f t="shared" si="260"/>
        <v>0</v>
      </c>
      <c r="AP129" s="103">
        <f t="shared" si="260"/>
        <v>0</v>
      </c>
      <c r="AQ129" s="103">
        <f t="shared" si="260"/>
        <v>0</v>
      </c>
      <c r="AR129" s="103">
        <f t="shared" si="260"/>
        <v>0.05</v>
      </c>
      <c r="AS129" s="103">
        <f t="shared" si="260"/>
        <v>0.05</v>
      </c>
      <c r="AT129" s="103">
        <f t="shared" si="260"/>
        <v>0.05</v>
      </c>
      <c r="AU129" s="103">
        <f t="shared" si="260"/>
        <v>0.05</v>
      </c>
      <c r="AV129" s="103">
        <f t="shared" si="260"/>
        <v>7.4999999999999997E-2</v>
      </c>
      <c r="AW129" s="103">
        <f t="shared" si="260"/>
        <v>7.4999999999999997E-2</v>
      </c>
      <c r="AX129" s="103">
        <f t="shared" si="260"/>
        <v>7.4999999999999997E-2</v>
      </c>
      <c r="AY129" s="103">
        <f t="shared" si="260"/>
        <v>7.4999999999999997E-2</v>
      </c>
      <c r="AZ129" s="103">
        <f t="shared" si="260"/>
        <v>0.16666666666666666</v>
      </c>
      <c r="BA129" s="103">
        <f t="shared" si="260"/>
        <v>0.16666666666666666</v>
      </c>
      <c r="BB129" s="103">
        <f t="shared" si="260"/>
        <v>0.16666666666666666</v>
      </c>
      <c r="BC129" s="103">
        <f t="shared" si="260"/>
        <v>0</v>
      </c>
      <c r="BD129" s="103">
        <f t="shared" si="260"/>
        <v>0</v>
      </c>
      <c r="BE129" s="103">
        <f t="shared" si="260"/>
        <v>0</v>
      </c>
      <c r="BF129" s="103">
        <f t="shared" si="260"/>
        <v>0</v>
      </c>
      <c r="BG129" s="103">
        <f t="shared" si="260"/>
        <v>0</v>
      </c>
      <c r="BH129" s="103"/>
      <c r="BI129" s="104"/>
      <c r="BJ129" s="104"/>
      <c r="BK129" s="104"/>
      <c r="BL129" s="110">
        <f>$O129*AB129*'Cost inputs'!F$12/1000000</f>
        <v>0</v>
      </c>
      <c r="BM129" s="110">
        <f>$O129*AC129*'Cost inputs'!G$12/1000000</f>
        <v>0</v>
      </c>
      <c r="BN129" s="110">
        <f>$O129*AD129*'Cost inputs'!H$12/1000000</f>
        <v>0</v>
      </c>
      <c r="BO129" s="110">
        <f>$O129*AE129*'Cost inputs'!I$12/1000000</f>
        <v>0</v>
      </c>
      <c r="BP129" s="110">
        <f>$O129*AF129*'Cost inputs'!J$12/1000000</f>
        <v>0</v>
      </c>
      <c r="BQ129" s="110">
        <f>$O129*AG129*'Cost inputs'!K$12/1000000</f>
        <v>0</v>
      </c>
      <c r="BR129" s="110">
        <f>$O129*AH129*'Cost inputs'!L$12/1000000</f>
        <v>0</v>
      </c>
      <c r="BS129" s="110">
        <f>$O129*AI129*'Cost inputs'!M$12/1000000</f>
        <v>0</v>
      </c>
      <c r="BT129" s="110">
        <f>$O129*AJ129*'Cost inputs'!N$12/1000000</f>
        <v>0</v>
      </c>
      <c r="BU129" s="110">
        <f>$O129*AK129*'Cost inputs'!O$12/1000000</f>
        <v>0</v>
      </c>
      <c r="BV129" s="110">
        <f>$O129*AL129*'Cost inputs'!P$12/1000000</f>
        <v>0</v>
      </c>
      <c r="BW129" s="110">
        <f>$O129*AM129*'Cost inputs'!Q$12/1000000</f>
        <v>0</v>
      </c>
      <c r="BX129" s="110">
        <f>$O129*AN129*'Cost inputs'!R$12/1000000</f>
        <v>0</v>
      </c>
      <c r="BY129" s="110">
        <f>$O129*AO129*'Cost inputs'!S$12/1000000</f>
        <v>0</v>
      </c>
      <c r="BZ129" s="110">
        <f>$O129*AP129*'Cost inputs'!T$12/1000000</f>
        <v>0</v>
      </c>
      <c r="CA129" s="110">
        <f>$O129*AQ129*'Cost inputs'!U$12/1000000</f>
        <v>0</v>
      </c>
      <c r="CB129" s="110">
        <f>$O129*AR129*'Cost inputs'!V$12/1000000</f>
        <v>4.8599950446173565E-3</v>
      </c>
      <c r="CC129" s="110">
        <f>$O129*AS129*'Cost inputs'!W$12/1000000</f>
        <v>4.9669149355989397E-3</v>
      </c>
      <c r="CD129" s="110">
        <f>$O129*AT129*'Cost inputs'!X$12/1000000</f>
        <v>5.0761870641821147E-3</v>
      </c>
      <c r="CE129" s="110">
        <f>$O129*AU129*'Cost inputs'!Y$12/1000000</f>
        <v>5.1878631795941217E-3</v>
      </c>
      <c r="CF129" s="110">
        <f>$O129*AV129*'Cost inputs'!Z$12/1000000</f>
        <v>7.9529942543177887E-3</v>
      </c>
      <c r="CG129" s="110">
        <f>$O129*AW129*'Cost inputs'!AA$12/1000000</f>
        <v>8.1279601279127811E-3</v>
      </c>
      <c r="CH129" s="110">
        <f>$O129*AX129*'Cost inputs'!AB$12/1000000</f>
        <v>8.3067752507268618E-3</v>
      </c>
      <c r="CI129" s="110">
        <f>$O129*AY129*'Cost inputs'!AC$12/1000000</f>
        <v>8.4895243062428523E-3</v>
      </c>
      <c r="CJ129" s="110">
        <f>$O129*AZ129*'Cost inputs'!AD$12/1000000</f>
        <v>1.928065297995599E-2</v>
      </c>
      <c r="CK129" s="110">
        <f>$O129*BA129*'Cost inputs'!AE$12/1000000</f>
        <v>1.9704827345515024E-2</v>
      </c>
      <c r="CL129" s="110">
        <f>$O129*BB129*'Cost inputs'!AF$12/1000000</f>
        <v>2.0138333547116354E-2</v>
      </c>
      <c r="CM129" s="110">
        <f>$O129*BC129*'Cost inputs'!AG$12/1000000</f>
        <v>0</v>
      </c>
      <c r="CN129" s="110">
        <f>$O129*BD129*'Cost inputs'!AH$12/1000000</f>
        <v>0</v>
      </c>
      <c r="CO129" s="110">
        <f>$O129*BE129*'Cost inputs'!AI$12/1000000</f>
        <v>0</v>
      </c>
      <c r="CP129" s="110">
        <f>$O129*BF129*'Cost inputs'!AJ$12/1000000</f>
        <v>0</v>
      </c>
      <c r="CQ129" s="110">
        <f>$O129*BG129*'Cost inputs'!AK$12/1000000</f>
        <v>0</v>
      </c>
      <c r="CR129" s="131">
        <f t="shared" si="252"/>
        <v>0.11209202803578017</v>
      </c>
      <c r="CS129" s="26"/>
    </row>
    <row r="130" spans="1:97" x14ac:dyDescent="0.3">
      <c r="A130" s="104" t="str">
        <f t="shared" ref="A130:N130" si="261">A15</f>
        <v>Warkworth</v>
      </c>
      <c r="B130" s="104" t="str">
        <f t="shared" si="261"/>
        <v>Warkworth</v>
      </c>
      <c r="C130" s="104" t="str">
        <f t="shared" si="261"/>
        <v>NE, N, W, S</v>
      </c>
      <c r="D130" s="104" t="str">
        <f t="shared" si="261"/>
        <v>Warkworth North-East</v>
      </c>
      <c r="E130" s="104">
        <f t="shared" si="261"/>
        <v>0</v>
      </c>
      <c r="F130" s="104">
        <f t="shared" si="261"/>
        <v>0</v>
      </c>
      <c r="G130" s="104">
        <f t="shared" si="261"/>
        <v>1</v>
      </c>
      <c r="H130" s="104">
        <f t="shared" si="261"/>
        <v>0</v>
      </c>
      <c r="I130" s="104">
        <f t="shared" si="261"/>
        <v>0</v>
      </c>
      <c r="J130" s="104">
        <f t="shared" si="261"/>
        <v>0</v>
      </c>
      <c r="K130" s="104">
        <f t="shared" si="261"/>
        <v>1</v>
      </c>
      <c r="L130" s="104">
        <f t="shared" si="261"/>
        <v>0</v>
      </c>
      <c r="M130" s="104">
        <f t="shared" si="261"/>
        <v>0</v>
      </c>
      <c r="N130" s="104">
        <f t="shared" si="261"/>
        <v>0</v>
      </c>
      <c r="O130" s="104">
        <f t="shared" si="246"/>
        <v>1</v>
      </c>
      <c r="P130" s="104" cm="1">
        <f t="array" ref="P130">2024+MATCH(1,0/AB130:BG130)</f>
        <v>2051</v>
      </c>
      <c r="Q130" s="104"/>
      <c r="R130" s="104"/>
      <c r="S130" s="104"/>
      <c r="T130" s="104"/>
      <c r="U130" s="104"/>
      <c r="V130" s="104"/>
      <c r="W130" s="104"/>
      <c r="X130" s="104"/>
      <c r="Y130" s="104"/>
      <c r="Z130" s="104"/>
      <c r="AA130" s="104"/>
      <c r="AB130" s="103">
        <f t="shared" ref="AB130:BG130" si="262">AB15</f>
        <v>0</v>
      </c>
      <c r="AC130" s="103">
        <f t="shared" si="262"/>
        <v>0</v>
      </c>
      <c r="AD130" s="103">
        <f t="shared" si="262"/>
        <v>0</v>
      </c>
      <c r="AE130" s="103">
        <f t="shared" si="262"/>
        <v>0</v>
      </c>
      <c r="AF130" s="103">
        <f t="shared" si="262"/>
        <v>0</v>
      </c>
      <c r="AG130" s="103">
        <f t="shared" si="262"/>
        <v>0</v>
      </c>
      <c r="AH130" s="103">
        <f t="shared" si="262"/>
        <v>0</v>
      </c>
      <c r="AI130" s="103">
        <f t="shared" si="262"/>
        <v>0</v>
      </c>
      <c r="AJ130" s="103">
        <f t="shared" si="262"/>
        <v>0</v>
      </c>
      <c r="AK130" s="103">
        <f t="shared" si="262"/>
        <v>0</v>
      </c>
      <c r="AL130" s="103">
        <f t="shared" si="262"/>
        <v>0</v>
      </c>
      <c r="AM130" s="103">
        <f t="shared" si="262"/>
        <v>0</v>
      </c>
      <c r="AN130" s="103">
        <f t="shared" si="262"/>
        <v>0</v>
      </c>
      <c r="AO130" s="103">
        <f t="shared" si="262"/>
        <v>4.9999999999999996E-2</v>
      </c>
      <c r="AP130" s="103">
        <f t="shared" si="262"/>
        <v>4.9999999999999996E-2</v>
      </c>
      <c r="AQ130" s="103">
        <f t="shared" si="262"/>
        <v>4.9999999999999996E-2</v>
      </c>
      <c r="AR130" s="103">
        <f t="shared" si="262"/>
        <v>0.125</v>
      </c>
      <c r="AS130" s="103">
        <f t="shared" si="262"/>
        <v>0.125</v>
      </c>
      <c r="AT130" s="103">
        <f t="shared" si="262"/>
        <v>0.125</v>
      </c>
      <c r="AU130" s="103">
        <f t="shared" si="262"/>
        <v>0.125</v>
      </c>
      <c r="AV130" s="103">
        <f t="shared" si="262"/>
        <v>6.25E-2</v>
      </c>
      <c r="AW130" s="103">
        <f t="shared" si="262"/>
        <v>6.25E-2</v>
      </c>
      <c r="AX130" s="103">
        <f t="shared" si="262"/>
        <v>6.25E-2</v>
      </c>
      <c r="AY130" s="103">
        <f t="shared" si="262"/>
        <v>6.25E-2</v>
      </c>
      <c r="AZ130" s="103">
        <f t="shared" si="262"/>
        <v>3.3333333333333333E-2</v>
      </c>
      <c r="BA130" s="103">
        <f t="shared" si="262"/>
        <v>3.3333333333333333E-2</v>
      </c>
      <c r="BB130" s="103">
        <f t="shared" si="262"/>
        <v>3.3333333333333333E-2</v>
      </c>
      <c r="BC130" s="103">
        <f t="shared" si="262"/>
        <v>0</v>
      </c>
      <c r="BD130" s="103">
        <f t="shared" si="262"/>
        <v>0</v>
      </c>
      <c r="BE130" s="103">
        <f t="shared" si="262"/>
        <v>0</v>
      </c>
      <c r="BF130" s="103">
        <f t="shared" si="262"/>
        <v>0</v>
      </c>
      <c r="BG130" s="103">
        <f t="shared" si="262"/>
        <v>0</v>
      </c>
      <c r="BH130" s="103"/>
      <c r="BI130" s="104"/>
      <c r="BJ130" s="104"/>
      <c r="BK130" s="104"/>
      <c r="BL130" s="110">
        <f>$O130*AB130*'Cost inputs'!F$12/1000000</f>
        <v>0</v>
      </c>
      <c r="BM130" s="110">
        <f>$O130*AC130*'Cost inputs'!G$12/1000000</f>
        <v>0</v>
      </c>
      <c r="BN130" s="110">
        <f>$O130*AD130*'Cost inputs'!H$12/1000000</f>
        <v>0</v>
      </c>
      <c r="BO130" s="110">
        <f>$O130*AE130*'Cost inputs'!I$12/1000000</f>
        <v>0</v>
      </c>
      <c r="BP130" s="110">
        <f>$O130*AF130*'Cost inputs'!J$12/1000000</f>
        <v>0</v>
      </c>
      <c r="BQ130" s="110">
        <f>$O130*AG130*'Cost inputs'!K$12/1000000</f>
        <v>0</v>
      </c>
      <c r="BR130" s="110">
        <f>$O130*AH130*'Cost inputs'!L$12/1000000</f>
        <v>0</v>
      </c>
      <c r="BS130" s="110">
        <f>$O130*AI130*'Cost inputs'!M$12/1000000</f>
        <v>0</v>
      </c>
      <c r="BT130" s="110">
        <f>$O130*AJ130*'Cost inputs'!N$12/1000000</f>
        <v>0</v>
      </c>
      <c r="BU130" s="110">
        <f>$O130*AK130*'Cost inputs'!O$12/1000000</f>
        <v>0</v>
      </c>
      <c r="BV130" s="110">
        <f>$O130*AL130*'Cost inputs'!P$12/1000000</f>
        <v>0</v>
      </c>
      <c r="BW130" s="110">
        <f>$O130*AM130*'Cost inputs'!Q$12/1000000</f>
        <v>0</v>
      </c>
      <c r="BX130" s="110">
        <f>$O130*AN130*'Cost inputs'!R$12/1000000</f>
        <v>0</v>
      </c>
      <c r="BY130" s="110">
        <f>$O130*AO130*'Cost inputs'!S$12/1000000</f>
        <v>2.2764239356398335E-3</v>
      </c>
      <c r="BZ130" s="110">
        <f>$O130*AP130*'Cost inputs'!T$12/1000000</f>
        <v>2.3265052622239097E-3</v>
      </c>
      <c r="CA130" s="110">
        <f>$O130*AQ130*'Cost inputs'!U$12/1000000</f>
        <v>2.3776883779928356E-3</v>
      </c>
      <c r="CB130" s="110">
        <f>$O130*AR130*'Cost inputs'!V$12/1000000</f>
        <v>6.0749938057716958E-3</v>
      </c>
      <c r="CC130" s="110">
        <f>$O130*AS130*'Cost inputs'!W$12/1000000</f>
        <v>6.2086436694986733E-3</v>
      </c>
      <c r="CD130" s="110">
        <f>$O130*AT130*'Cost inputs'!X$12/1000000</f>
        <v>6.345233830227644E-3</v>
      </c>
      <c r="CE130" s="110">
        <f>$O130*AU130*'Cost inputs'!Y$12/1000000</f>
        <v>6.4848289744926521E-3</v>
      </c>
      <c r="CF130" s="110">
        <f>$O130*AV130*'Cost inputs'!Z$12/1000000</f>
        <v>3.3137476059657456E-3</v>
      </c>
      <c r="CG130" s="110">
        <f>$O130*AW130*'Cost inputs'!AA$12/1000000</f>
        <v>3.386650053296992E-3</v>
      </c>
      <c r="CH130" s="110">
        <f>$O130*AX130*'Cost inputs'!AB$12/1000000</f>
        <v>3.4611563544695257E-3</v>
      </c>
      <c r="CI130" s="110">
        <f>$O130*AY130*'Cost inputs'!AC$12/1000000</f>
        <v>3.5373017942678556E-3</v>
      </c>
      <c r="CJ130" s="110">
        <f>$O130*AZ130*'Cost inputs'!AD$12/1000000</f>
        <v>1.9280652979955992E-3</v>
      </c>
      <c r="CK130" s="110">
        <f>$O130*BA130*'Cost inputs'!AE$12/1000000</f>
        <v>1.9704827345515025E-3</v>
      </c>
      <c r="CL130" s="110">
        <f>$O130*BB130*'Cost inputs'!AF$12/1000000</f>
        <v>2.0138333547116355E-3</v>
      </c>
      <c r="CM130" s="110">
        <f>$O130*BC130*'Cost inputs'!AG$12/1000000</f>
        <v>0</v>
      </c>
      <c r="CN130" s="110">
        <f>$O130*BD130*'Cost inputs'!AH$12/1000000</f>
        <v>0</v>
      </c>
      <c r="CO130" s="110">
        <f>$O130*BE130*'Cost inputs'!AI$12/1000000</f>
        <v>0</v>
      </c>
      <c r="CP130" s="110">
        <f>$O130*BF130*'Cost inputs'!AJ$12/1000000</f>
        <v>0</v>
      </c>
      <c r="CQ130" s="110">
        <f>$O130*BG130*'Cost inputs'!AK$12/1000000</f>
        <v>0</v>
      </c>
      <c r="CR130" s="131">
        <f t="shared" si="252"/>
        <v>5.1705555051106099E-2</v>
      </c>
      <c r="CS130" s="26"/>
    </row>
    <row r="131" spans="1:97" x14ac:dyDescent="0.3">
      <c r="A131" s="104" t="str">
        <f t="shared" ref="A131:N131" si="263">A16</f>
        <v>Warkworth</v>
      </c>
      <c r="B131" s="104" t="str">
        <f t="shared" si="263"/>
        <v>Warkworth</v>
      </c>
      <c r="C131" s="104" t="str">
        <f t="shared" si="263"/>
        <v>NE, N, W, S</v>
      </c>
      <c r="D131" s="104" t="str">
        <f t="shared" si="263"/>
        <v>Warkworth South-Central</v>
      </c>
      <c r="E131" s="104">
        <f t="shared" si="263"/>
        <v>0</v>
      </c>
      <c r="F131" s="104">
        <f t="shared" si="263"/>
        <v>3</v>
      </c>
      <c r="G131" s="104">
        <f t="shared" si="263"/>
        <v>0</v>
      </c>
      <c r="H131" s="104">
        <f t="shared" si="263"/>
        <v>0</v>
      </c>
      <c r="I131" s="104">
        <f t="shared" si="263"/>
        <v>0</v>
      </c>
      <c r="J131" s="104">
        <f t="shared" si="263"/>
        <v>3</v>
      </c>
      <c r="K131" s="104">
        <f t="shared" si="263"/>
        <v>0</v>
      </c>
      <c r="L131" s="104">
        <f t="shared" si="263"/>
        <v>0</v>
      </c>
      <c r="M131" s="104">
        <f t="shared" si="263"/>
        <v>0</v>
      </c>
      <c r="N131" s="104">
        <f t="shared" si="263"/>
        <v>0</v>
      </c>
      <c r="O131" s="104">
        <f t="shared" si="246"/>
        <v>3</v>
      </c>
      <c r="P131" s="104" cm="1">
        <f t="array" ref="P131">2024+MATCH(1,0/AB131:BG131)</f>
        <v>2046</v>
      </c>
      <c r="Q131" s="104"/>
      <c r="R131" s="104"/>
      <c r="S131" s="104"/>
      <c r="T131" s="104"/>
      <c r="U131" s="104"/>
      <c r="V131" s="104"/>
      <c r="W131" s="104"/>
      <c r="X131" s="104"/>
      <c r="Y131" s="104"/>
      <c r="Z131" s="104"/>
      <c r="AA131" s="104"/>
      <c r="AB131" s="103">
        <f t="shared" ref="AB131:BG131" si="264">AB16</f>
        <v>0</v>
      </c>
      <c r="AC131" s="103">
        <f t="shared" si="264"/>
        <v>0</v>
      </c>
      <c r="AD131" s="103">
        <f t="shared" si="264"/>
        <v>0</v>
      </c>
      <c r="AE131" s="103">
        <f t="shared" si="264"/>
        <v>0</v>
      </c>
      <c r="AF131" s="103">
        <f t="shared" si="264"/>
        <v>0</v>
      </c>
      <c r="AG131" s="103">
        <f t="shared" si="264"/>
        <v>0</v>
      </c>
      <c r="AH131" s="103">
        <f t="shared" si="264"/>
        <v>0</v>
      </c>
      <c r="AI131" s="103">
        <f t="shared" si="264"/>
        <v>0</v>
      </c>
      <c r="AJ131" s="103">
        <f t="shared" si="264"/>
        <v>0</v>
      </c>
      <c r="AK131" s="103">
        <f t="shared" si="264"/>
        <v>0</v>
      </c>
      <c r="AL131" s="103">
        <f t="shared" si="264"/>
        <v>0</v>
      </c>
      <c r="AM131" s="103">
        <f t="shared" si="264"/>
        <v>0.05</v>
      </c>
      <c r="AN131" s="103">
        <f t="shared" si="264"/>
        <v>0.05</v>
      </c>
      <c r="AO131" s="103">
        <f t="shared" si="264"/>
        <v>0.05</v>
      </c>
      <c r="AP131" s="103">
        <f t="shared" si="264"/>
        <v>0.05</v>
      </c>
      <c r="AQ131" s="103">
        <f t="shared" si="264"/>
        <v>7.4999999999999997E-2</v>
      </c>
      <c r="AR131" s="103">
        <f t="shared" si="264"/>
        <v>7.4999999999999997E-2</v>
      </c>
      <c r="AS131" s="103">
        <f t="shared" si="264"/>
        <v>7.4999999999999997E-2</v>
      </c>
      <c r="AT131" s="103">
        <f t="shared" si="264"/>
        <v>7.4999999999999997E-2</v>
      </c>
      <c r="AU131" s="103">
        <f t="shared" si="264"/>
        <v>0.16666666666666666</v>
      </c>
      <c r="AV131" s="103">
        <f t="shared" si="264"/>
        <v>0.16666666666666666</v>
      </c>
      <c r="AW131" s="103">
        <f t="shared" si="264"/>
        <v>0.16666666666666666</v>
      </c>
      <c r="AX131" s="103">
        <f t="shared" si="264"/>
        <v>0</v>
      </c>
      <c r="AY131" s="103">
        <f t="shared" si="264"/>
        <v>0</v>
      </c>
      <c r="AZ131" s="103">
        <f t="shared" si="264"/>
        <v>0</v>
      </c>
      <c r="BA131" s="103">
        <f t="shared" si="264"/>
        <v>0</v>
      </c>
      <c r="BB131" s="103">
        <f t="shared" si="264"/>
        <v>0</v>
      </c>
      <c r="BC131" s="103">
        <f t="shared" si="264"/>
        <v>0</v>
      </c>
      <c r="BD131" s="103">
        <f t="shared" si="264"/>
        <v>0</v>
      </c>
      <c r="BE131" s="103">
        <f t="shared" si="264"/>
        <v>0</v>
      </c>
      <c r="BF131" s="103">
        <f t="shared" si="264"/>
        <v>0</v>
      </c>
      <c r="BG131" s="103">
        <f t="shared" si="264"/>
        <v>0</v>
      </c>
      <c r="BH131" s="103"/>
      <c r="BI131" s="104"/>
      <c r="BJ131" s="104"/>
      <c r="BK131" s="104"/>
      <c r="BL131" s="110">
        <f>$O131*AB131*'Cost inputs'!F$12/1000000</f>
        <v>0</v>
      </c>
      <c r="BM131" s="110">
        <f>$O131*AC131*'Cost inputs'!G$12/1000000</f>
        <v>0</v>
      </c>
      <c r="BN131" s="110">
        <f>$O131*AD131*'Cost inputs'!H$12/1000000</f>
        <v>0</v>
      </c>
      <c r="BO131" s="110">
        <f>$O131*AE131*'Cost inputs'!I$12/1000000</f>
        <v>0</v>
      </c>
      <c r="BP131" s="110">
        <f>$O131*AF131*'Cost inputs'!J$12/1000000</f>
        <v>0</v>
      </c>
      <c r="BQ131" s="110">
        <f>$O131*AG131*'Cost inputs'!K$12/1000000</f>
        <v>0</v>
      </c>
      <c r="BR131" s="110">
        <f>$O131*AH131*'Cost inputs'!L$12/1000000</f>
        <v>0</v>
      </c>
      <c r="BS131" s="110">
        <f>$O131*AI131*'Cost inputs'!M$12/1000000</f>
        <v>0</v>
      </c>
      <c r="BT131" s="110">
        <f>$O131*AJ131*'Cost inputs'!N$12/1000000</f>
        <v>0</v>
      </c>
      <c r="BU131" s="110">
        <f>$O131*AK131*'Cost inputs'!O$12/1000000</f>
        <v>0</v>
      </c>
      <c r="BV131" s="110">
        <f>$O131*AL131*'Cost inputs'!P$12/1000000</f>
        <v>0</v>
      </c>
      <c r="BW131" s="110">
        <f>$O131*AM131*'Cost inputs'!Q$12/1000000</f>
        <v>6.5384168708371802E-3</v>
      </c>
      <c r="BX131" s="110">
        <f>$O131*AN131*'Cost inputs'!R$12/1000000</f>
        <v>6.6822620419955975E-3</v>
      </c>
      <c r="BY131" s="110">
        <f>$O131*AO131*'Cost inputs'!S$12/1000000</f>
        <v>6.8292718069195013E-3</v>
      </c>
      <c r="BZ131" s="110">
        <f>$O131*AP131*'Cost inputs'!T$12/1000000</f>
        <v>6.9795157866717307E-3</v>
      </c>
      <c r="CA131" s="110">
        <f>$O131*AQ131*'Cost inputs'!U$12/1000000</f>
        <v>1.0699597700967759E-2</v>
      </c>
      <c r="CB131" s="110">
        <f>$O131*AR131*'Cost inputs'!V$12/1000000</f>
        <v>1.093498885038905E-2</v>
      </c>
      <c r="CC131" s="110">
        <f>$O131*AS131*'Cost inputs'!W$12/1000000</f>
        <v>1.1175558605097611E-2</v>
      </c>
      <c r="CD131" s="110">
        <f>$O131*AT131*'Cost inputs'!X$12/1000000</f>
        <v>1.1421420894409758E-2</v>
      </c>
      <c r="CE131" s="110">
        <f>$O131*AU131*'Cost inputs'!Y$12/1000000</f>
        <v>2.5939315897970609E-2</v>
      </c>
      <c r="CF131" s="110">
        <f>$O131*AV131*'Cost inputs'!Z$12/1000000</f>
        <v>2.6509980847725965E-2</v>
      </c>
      <c r="CG131" s="110">
        <f>$O131*AW131*'Cost inputs'!AA$12/1000000</f>
        <v>2.7093200426375936E-2</v>
      </c>
      <c r="CH131" s="110">
        <f>$O131*AX131*'Cost inputs'!AB$12/1000000</f>
        <v>0</v>
      </c>
      <c r="CI131" s="110">
        <f>$O131*AY131*'Cost inputs'!AC$12/1000000</f>
        <v>0</v>
      </c>
      <c r="CJ131" s="110">
        <f>$O131*AZ131*'Cost inputs'!AD$12/1000000</f>
        <v>0</v>
      </c>
      <c r="CK131" s="110">
        <f>$O131*BA131*'Cost inputs'!AE$12/1000000</f>
        <v>0</v>
      </c>
      <c r="CL131" s="110">
        <f>$O131*BB131*'Cost inputs'!AF$12/1000000</f>
        <v>0</v>
      </c>
      <c r="CM131" s="110">
        <f>$O131*BC131*'Cost inputs'!AG$12/1000000</f>
        <v>0</v>
      </c>
      <c r="CN131" s="110">
        <f>$O131*BD131*'Cost inputs'!AH$12/1000000</f>
        <v>0</v>
      </c>
      <c r="CO131" s="110">
        <f>$O131*BE131*'Cost inputs'!AI$12/1000000</f>
        <v>0</v>
      </c>
      <c r="CP131" s="110">
        <f>$O131*BF131*'Cost inputs'!AJ$12/1000000</f>
        <v>0</v>
      </c>
      <c r="CQ131" s="110">
        <f>$O131*BG131*'Cost inputs'!AK$12/1000000</f>
        <v>0</v>
      </c>
      <c r="CR131" s="131">
        <f t="shared" si="252"/>
        <v>0.1508035297293607</v>
      </c>
      <c r="CS131" s="26"/>
    </row>
    <row r="132" spans="1:97" x14ac:dyDescent="0.3">
      <c r="A132" s="104" t="str">
        <f t="shared" ref="A132:N132" si="265">A17</f>
        <v>Warkworth</v>
      </c>
      <c r="B132" s="104" t="str">
        <f t="shared" si="265"/>
        <v>Warkworth</v>
      </c>
      <c r="C132" s="104" t="str">
        <f t="shared" si="265"/>
        <v>NE, N, W, S</v>
      </c>
      <c r="D132" s="104" t="str">
        <f t="shared" si="265"/>
        <v>Warkworth South-East, South-west</v>
      </c>
      <c r="E132" s="104">
        <f t="shared" si="265"/>
        <v>0</v>
      </c>
      <c r="F132" s="104">
        <f t="shared" si="265"/>
        <v>6</v>
      </c>
      <c r="G132" s="104">
        <f t="shared" si="265"/>
        <v>0</v>
      </c>
      <c r="H132" s="104">
        <f t="shared" si="265"/>
        <v>0</v>
      </c>
      <c r="I132" s="104">
        <f t="shared" si="265"/>
        <v>0</v>
      </c>
      <c r="J132" s="104">
        <f t="shared" si="265"/>
        <v>6</v>
      </c>
      <c r="K132" s="104">
        <f t="shared" si="265"/>
        <v>0</v>
      </c>
      <c r="L132" s="104">
        <f t="shared" si="265"/>
        <v>0</v>
      </c>
      <c r="M132" s="104">
        <f t="shared" si="265"/>
        <v>0</v>
      </c>
      <c r="N132" s="104">
        <f t="shared" si="265"/>
        <v>0</v>
      </c>
      <c r="O132" s="104">
        <f t="shared" si="246"/>
        <v>6</v>
      </c>
      <c r="P132" s="104" cm="1">
        <f t="array" ref="P132">2024+MATCH(1,0/AB132:BG132)</f>
        <v>2051</v>
      </c>
      <c r="Q132" s="104"/>
      <c r="R132" s="104"/>
      <c r="S132" s="104"/>
      <c r="T132" s="104"/>
      <c r="U132" s="104"/>
      <c r="V132" s="104"/>
      <c r="W132" s="104"/>
      <c r="X132" s="104"/>
      <c r="Y132" s="104"/>
      <c r="Z132" s="104"/>
      <c r="AA132" s="104"/>
      <c r="AB132" s="103">
        <f t="shared" ref="AB132:BG132" si="266">AB17</f>
        <v>0</v>
      </c>
      <c r="AC132" s="103">
        <f t="shared" si="266"/>
        <v>0</v>
      </c>
      <c r="AD132" s="103">
        <f t="shared" si="266"/>
        <v>0</v>
      </c>
      <c r="AE132" s="103">
        <f t="shared" si="266"/>
        <v>0</v>
      </c>
      <c r="AF132" s="103">
        <f t="shared" si="266"/>
        <v>0</v>
      </c>
      <c r="AG132" s="103">
        <f t="shared" si="266"/>
        <v>0</v>
      </c>
      <c r="AH132" s="103">
        <f t="shared" si="266"/>
        <v>0</v>
      </c>
      <c r="AI132" s="103">
        <f t="shared" si="266"/>
        <v>0</v>
      </c>
      <c r="AJ132" s="103">
        <f t="shared" si="266"/>
        <v>0</v>
      </c>
      <c r="AK132" s="103">
        <f t="shared" si="266"/>
        <v>0</v>
      </c>
      <c r="AL132" s="103">
        <f t="shared" si="266"/>
        <v>0</v>
      </c>
      <c r="AM132" s="103">
        <f t="shared" si="266"/>
        <v>0</v>
      </c>
      <c r="AN132" s="103">
        <f t="shared" si="266"/>
        <v>0</v>
      </c>
      <c r="AO132" s="103">
        <f t="shared" si="266"/>
        <v>0</v>
      </c>
      <c r="AP132" s="103">
        <f t="shared" si="266"/>
        <v>0</v>
      </c>
      <c r="AQ132" s="103">
        <f t="shared" si="266"/>
        <v>0</v>
      </c>
      <c r="AR132" s="103">
        <f t="shared" si="266"/>
        <v>0.05</v>
      </c>
      <c r="AS132" s="103">
        <f t="shared" si="266"/>
        <v>0.05</v>
      </c>
      <c r="AT132" s="103">
        <f t="shared" si="266"/>
        <v>0.05</v>
      </c>
      <c r="AU132" s="103">
        <f t="shared" si="266"/>
        <v>0.05</v>
      </c>
      <c r="AV132" s="103">
        <f t="shared" si="266"/>
        <v>7.4999999999999997E-2</v>
      </c>
      <c r="AW132" s="103">
        <f t="shared" si="266"/>
        <v>7.4999999999999997E-2</v>
      </c>
      <c r="AX132" s="103">
        <f t="shared" si="266"/>
        <v>7.4999999999999997E-2</v>
      </c>
      <c r="AY132" s="103">
        <f t="shared" si="266"/>
        <v>7.4999999999999997E-2</v>
      </c>
      <c r="AZ132" s="103">
        <f t="shared" si="266"/>
        <v>0.16666666666666666</v>
      </c>
      <c r="BA132" s="103">
        <f t="shared" si="266"/>
        <v>0.16666666666666666</v>
      </c>
      <c r="BB132" s="103">
        <f t="shared" si="266"/>
        <v>0.16666666666666666</v>
      </c>
      <c r="BC132" s="103">
        <f t="shared" si="266"/>
        <v>0</v>
      </c>
      <c r="BD132" s="103">
        <f t="shared" si="266"/>
        <v>0</v>
      </c>
      <c r="BE132" s="103">
        <f t="shared" si="266"/>
        <v>0</v>
      </c>
      <c r="BF132" s="103">
        <f t="shared" si="266"/>
        <v>0</v>
      </c>
      <c r="BG132" s="103">
        <f t="shared" si="266"/>
        <v>0</v>
      </c>
      <c r="BH132" s="103"/>
      <c r="BI132" s="104"/>
      <c r="BJ132" s="104"/>
      <c r="BK132" s="104"/>
      <c r="BL132" s="110">
        <f>$O132*AB132*'Cost inputs'!F$12/1000000</f>
        <v>0</v>
      </c>
      <c r="BM132" s="110">
        <f>$O132*AC132*'Cost inputs'!G$12/1000000</f>
        <v>0</v>
      </c>
      <c r="BN132" s="110">
        <f>$O132*AD132*'Cost inputs'!H$12/1000000</f>
        <v>0</v>
      </c>
      <c r="BO132" s="110">
        <f>$O132*AE132*'Cost inputs'!I$12/1000000</f>
        <v>0</v>
      </c>
      <c r="BP132" s="110">
        <f>$O132*AF132*'Cost inputs'!J$12/1000000</f>
        <v>0</v>
      </c>
      <c r="BQ132" s="110">
        <f>$O132*AG132*'Cost inputs'!K$12/1000000</f>
        <v>0</v>
      </c>
      <c r="BR132" s="110">
        <f>$O132*AH132*'Cost inputs'!L$12/1000000</f>
        <v>0</v>
      </c>
      <c r="BS132" s="110">
        <f>$O132*AI132*'Cost inputs'!M$12/1000000</f>
        <v>0</v>
      </c>
      <c r="BT132" s="110">
        <f>$O132*AJ132*'Cost inputs'!N$12/1000000</f>
        <v>0</v>
      </c>
      <c r="BU132" s="110">
        <f>$O132*AK132*'Cost inputs'!O$12/1000000</f>
        <v>0</v>
      </c>
      <c r="BV132" s="110">
        <f>$O132*AL132*'Cost inputs'!P$12/1000000</f>
        <v>0</v>
      </c>
      <c r="BW132" s="110">
        <f>$O132*AM132*'Cost inputs'!Q$12/1000000</f>
        <v>0</v>
      </c>
      <c r="BX132" s="110">
        <f>$O132*AN132*'Cost inputs'!R$12/1000000</f>
        <v>0</v>
      </c>
      <c r="BY132" s="110">
        <f>$O132*AO132*'Cost inputs'!S$12/1000000</f>
        <v>0</v>
      </c>
      <c r="BZ132" s="110">
        <f>$O132*AP132*'Cost inputs'!T$12/1000000</f>
        <v>0</v>
      </c>
      <c r="CA132" s="110">
        <f>$O132*AQ132*'Cost inputs'!U$12/1000000</f>
        <v>0</v>
      </c>
      <c r="CB132" s="110">
        <f>$O132*AR132*'Cost inputs'!V$12/1000000</f>
        <v>1.4579985133852072E-2</v>
      </c>
      <c r="CC132" s="110">
        <f>$O132*AS132*'Cost inputs'!W$12/1000000</f>
        <v>1.4900744806796817E-2</v>
      </c>
      <c r="CD132" s="110">
        <f>$O132*AT132*'Cost inputs'!X$12/1000000</f>
        <v>1.5228561192546347E-2</v>
      </c>
      <c r="CE132" s="110">
        <f>$O132*AU132*'Cost inputs'!Y$12/1000000</f>
        <v>1.5563589538782367E-2</v>
      </c>
      <c r="CF132" s="110">
        <f>$O132*AV132*'Cost inputs'!Z$12/1000000</f>
        <v>2.3858982762953364E-2</v>
      </c>
      <c r="CG132" s="110">
        <f>$O132*AW132*'Cost inputs'!AA$12/1000000</f>
        <v>2.4383880383738343E-2</v>
      </c>
      <c r="CH132" s="110">
        <f>$O132*AX132*'Cost inputs'!AB$12/1000000</f>
        <v>2.4920325752180582E-2</v>
      </c>
      <c r="CI132" s="110">
        <f>$O132*AY132*'Cost inputs'!AC$12/1000000</f>
        <v>2.5468572918728557E-2</v>
      </c>
      <c r="CJ132" s="110">
        <f>$O132*AZ132*'Cost inputs'!AD$12/1000000</f>
        <v>5.7841958939867974E-2</v>
      </c>
      <c r="CK132" s="110">
        <f>$O132*BA132*'Cost inputs'!AE$12/1000000</f>
        <v>5.9114482036545075E-2</v>
      </c>
      <c r="CL132" s="110">
        <f>$O132*BB132*'Cost inputs'!AF$12/1000000</f>
        <v>6.0415000641349061E-2</v>
      </c>
      <c r="CM132" s="110">
        <f>$O132*BC132*'Cost inputs'!AG$12/1000000</f>
        <v>0</v>
      </c>
      <c r="CN132" s="110">
        <f>$O132*BD132*'Cost inputs'!AH$12/1000000</f>
        <v>0</v>
      </c>
      <c r="CO132" s="110">
        <f>$O132*BE132*'Cost inputs'!AI$12/1000000</f>
        <v>0</v>
      </c>
      <c r="CP132" s="110">
        <f>$O132*BF132*'Cost inputs'!AJ$12/1000000</f>
        <v>0</v>
      </c>
      <c r="CQ132" s="110">
        <f>$O132*BG132*'Cost inputs'!AK$12/1000000</f>
        <v>0</v>
      </c>
      <c r="CR132" s="131">
        <f t="shared" si="252"/>
        <v>0.33627608410734056</v>
      </c>
      <c r="CS132" s="26"/>
    </row>
    <row r="133" spans="1:97" x14ac:dyDescent="0.3">
      <c r="A133" s="104" t="str">
        <f t="shared" ref="A133:N133" si="267">A18</f>
        <v>Warkworth</v>
      </c>
      <c r="B133" s="104" t="str">
        <f t="shared" si="267"/>
        <v>Warkworth</v>
      </c>
      <c r="C133" s="104" t="str">
        <f t="shared" si="267"/>
        <v>NE, N, W, S</v>
      </c>
      <c r="D133" s="104" t="str">
        <f t="shared" si="267"/>
        <v>Warkworth South-East, South-west</v>
      </c>
      <c r="E133" s="104">
        <f t="shared" si="267"/>
        <v>0</v>
      </c>
      <c r="F133" s="104">
        <f t="shared" si="267"/>
        <v>0</v>
      </c>
      <c r="G133" s="104">
        <f t="shared" si="267"/>
        <v>1</v>
      </c>
      <c r="H133" s="104">
        <f t="shared" si="267"/>
        <v>0</v>
      </c>
      <c r="I133" s="104">
        <f t="shared" si="267"/>
        <v>0</v>
      </c>
      <c r="J133" s="104">
        <f t="shared" si="267"/>
        <v>0</v>
      </c>
      <c r="K133" s="104">
        <f t="shared" si="267"/>
        <v>1</v>
      </c>
      <c r="L133" s="104">
        <f t="shared" si="267"/>
        <v>0</v>
      </c>
      <c r="M133" s="104">
        <f t="shared" si="267"/>
        <v>0</v>
      </c>
      <c r="N133" s="104">
        <f t="shared" si="267"/>
        <v>0</v>
      </c>
      <c r="O133" s="104">
        <f t="shared" si="246"/>
        <v>1</v>
      </c>
      <c r="P133" s="104" cm="1">
        <f t="array" ref="P133">2024+MATCH(1,0/AB133:BG133)</f>
        <v>2051</v>
      </c>
      <c r="Q133" s="104"/>
      <c r="R133" s="104"/>
      <c r="S133" s="104"/>
      <c r="T133" s="104"/>
      <c r="U133" s="104"/>
      <c r="V133" s="104"/>
      <c r="W133" s="104"/>
      <c r="X133" s="104"/>
      <c r="Y133" s="104"/>
      <c r="Z133" s="104"/>
      <c r="AA133" s="104"/>
      <c r="AB133" s="103">
        <f t="shared" ref="AB133:BG133" si="268">AB18</f>
        <v>0</v>
      </c>
      <c r="AC133" s="103">
        <f t="shared" si="268"/>
        <v>0</v>
      </c>
      <c r="AD133" s="103">
        <f t="shared" si="268"/>
        <v>0</v>
      </c>
      <c r="AE133" s="103">
        <f t="shared" si="268"/>
        <v>0</v>
      </c>
      <c r="AF133" s="103">
        <f t="shared" si="268"/>
        <v>0</v>
      </c>
      <c r="AG133" s="103">
        <f t="shared" si="268"/>
        <v>0</v>
      </c>
      <c r="AH133" s="103">
        <f t="shared" si="268"/>
        <v>0</v>
      </c>
      <c r="AI133" s="103">
        <f t="shared" si="268"/>
        <v>0</v>
      </c>
      <c r="AJ133" s="103">
        <f t="shared" si="268"/>
        <v>0</v>
      </c>
      <c r="AK133" s="103">
        <f t="shared" si="268"/>
        <v>0</v>
      </c>
      <c r="AL133" s="103">
        <f t="shared" si="268"/>
        <v>0</v>
      </c>
      <c r="AM133" s="103">
        <f t="shared" si="268"/>
        <v>0</v>
      </c>
      <c r="AN133" s="103">
        <f t="shared" si="268"/>
        <v>0</v>
      </c>
      <c r="AO133" s="103">
        <f t="shared" si="268"/>
        <v>4.9999999999999996E-2</v>
      </c>
      <c r="AP133" s="103">
        <f t="shared" si="268"/>
        <v>4.9999999999999996E-2</v>
      </c>
      <c r="AQ133" s="103">
        <f t="shared" si="268"/>
        <v>4.9999999999999996E-2</v>
      </c>
      <c r="AR133" s="103">
        <f t="shared" si="268"/>
        <v>0.125</v>
      </c>
      <c r="AS133" s="103">
        <f t="shared" si="268"/>
        <v>0.125</v>
      </c>
      <c r="AT133" s="103">
        <f t="shared" si="268"/>
        <v>0.125</v>
      </c>
      <c r="AU133" s="103">
        <f t="shared" si="268"/>
        <v>0.125</v>
      </c>
      <c r="AV133" s="103">
        <f t="shared" si="268"/>
        <v>6.25E-2</v>
      </c>
      <c r="AW133" s="103">
        <f t="shared" si="268"/>
        <v>6.25E-2</v>
      </c>
      <c r="AX133" s="103">
        <f t="shared" si="268"/>
        <v>6.25E-2</v>
      </c>
      <c r="AY133" s="103">
        <f t="shared" si="268"/>
        <v>6.25E-2</v>
      </c>
      <c r="AZ133" s="103">
        <f t="shared" si="268"/>
        <v>3.3333333333333333E-2</v>
      </c>
      <c r="BA133" s="103">
        <f t="shared" si="268"/>
        <v>3.3333333333333333E-2</v>
      </c>
      <c r="BB133" s="103">
        <f t="shared" si="268"/>
        <v>3.3333333333333333E-2</v>
      </c>
      <c r="BC133" s="103">
        <f t="shared" si="268"/>
        <v>0</v>
      </c>
      <c r="BD133" s="103">
        <f t="shared" si="268"/>
        <v>0</v>
      </c>
      <c r="BE133" s="103">
        <f t="shared" si="268"/>
        <v>0</v>
      </c>
      <c r="BF133" s="103">
        <f t="shared" si="268"/>
        <v>0</v>
      </c>
      <c r="BG133" s="103">
        <f t="shared" si="268"/>
        <v>0</v>
      </c>
      <c r="BH133" s="103"/>
      <c r="BI133" s="104"/>
      <c r="BJ133" s="104"/>
      <c r="BK133" s="104"/>
      <c r="BL133" s="110">
        <f>$O133*AB133*'Cost inputs'!F$12/1000000</f>
        <v>0</v>
      </c>
      <c r="BM133" s="110">
        <f>$O133*AC133*'Cost inputs'!G$12/1000000</f>
        <v>0</v>
      </c>
      <c r="BN133" s="110">
        <f>$O133*AD133*'Cost inputs'!H$12/1000000</f>
        <v>0</v>
      </c>
      <c r="BO133" s="110">
        <f>$O133*AE133*'Cost inputs'!I$12/1000000</f>
        <v>0</v>
      </c>
      <c r="BP133" s="110">
        <f>$O133*AF133*'Cost inputs'!J$12/1000000</f>
        <v>0</v>
      </c>
      <c r="BQ133" s="110">
        <f>$O133*AG133*'Cost inputs'!K$12/1000000</f>
        <v>0</v>
      </c>
      <c r="BR133" s="110">
        <f>$O133*AH133*'Cost inputs'!L$12/1000000</f>
        <v>0</v>
      </c>
      <c r="BS133" s="110">
        <f>$O133*AI133*'Cost inputs'!M$12/1000000</f>
        <v>0</v>
      </c>
      <c r="BT133" s="110">
        <f>$O133*AJ133*'Cost inputs'!N$12/1000000</f>
        <v>0</v>
      </c>
      <c r="BU133" s="110">
        <f>$O133*AK133*'Cost inputs'!O$12/1000000</f>
        <v>0</v>
      </c>
      <c r="BV133" s="110">
        <f>$O133*AL133*'Cost inputs'!P$12/1000000</f>
        <v>0</v>
      </c>
      <c r="BW133" s="110">
        <f>$O133*AM133*'Cost inputs'!Q$12/1000000</f>
        <v>0</v>
      </c>
      <c r="BX133" s="110">
        <f>$O133*AN133*'Cost inputs'!R$12/1000000</f>
        <v>0</v>
      </c>
      <c r="BY133" s="110">
        <f>$O133*AO133*'Cost inputs'!S$12/1000000</f>
        <v>2.2764239356398335E-3</v>
      </c>
      <c r="BZ133" s="110">
        <f>$O133*AP133*'Cost inputs'!T$12/1000000</f>
        <v>2.3265052622239097E-3</v>
      </c>
      <c r="CA133" s="110">
        <f>$O133*AQ133*'Cost inputs'!U$12/1000000</f>
        <v>2.3776883779928356E-3</v>
      </c>
      <c r="CB133" s="110">
        <f>$O133*AR133*'Cost inputs'!V$12/1000000</f>
        <v>6.0749938057716958E-3</v>
      </c>
      <c r="CC133" s="110">
        <f>$O133*AS133*'Cost inputs'!W$12/1000000</f>
        <v>6.2086436694986733E-3</v>
      </c>
      <c r="CD133" s="110">
        <f>$O133*AT133*'Cost inputs'!X$12/1000000</f>
        <v>6.345233830227644E-3</v>
      </c>
      <c r="CE133" s="110">
        <f>$O133*AU133*'Cost inputs'!Y$12/1000000</f>
        <v>6.4848289744926521E-3</v>
      </c>
      <c r="CF133" s="110">
        <f>$O133*AV133*'Cost inputs'!Z$12/1000000</f>
        <v>3.3137476059657456E-3</v>
      </c>
      <c r="CG133" s="110">
        <f>$O133*AW133*'Cost inputs'!AA$12/1000000</f>
        <v>3.386650053296992E-3</v>
      </c>
      <c r="CH133" s="110">
        <f>$O133*AX133*'Cost inputs'!AB$12/1000000</f>
        <v>3.4611563544695257E-3</v>
      </c>
      <c r="CI133" s="110">
        <f>$O133*AY133*'Cost inputs'!AC$12/1000000</f>
        <v>3.5373017942678556E-3</v>
      </c>
      <c r="CJ133" s="110">
        <f>$O133*AZ133*'Cost inputs'!AD$12/1000000</f>
        <v>1.9280652979955992E-3</v>
      </c>
      <c r="CK133" s="110">
        <f>$O133*BA133*'Cost inputs'!AE$12/1000000</f>
        <v>1.9704827345515025E-3</v>
      </c>
      <c r="CL133" s="110">
        <f>$O133*BB133*'Cost inputs'!AF$12/1000000</f>
        <v>2.0138333547116355E-3</v>
      </c>
      <c r="CM133" s="110">
        <f>$O133*BC133*'Cost inputs'!AG$12/1000000</f>
        <v>0</v>
      </c>
      <c r="CN133" s="110">
        <f>$O133*BD133*'Cost inputs'!AH$12/1000000</f>
        <v>0</v>
      </c>
      <c r="CO133" s="110">
        <f>$O133*BE133*'Cost inputs'!AI$12/1000000</f>
        <v>0</v>
      </c>
      <c r="CP133" s="110">
        <f>$O133*BF133*'Cost inputs'!AJ$12/1000000</f>
        <v>0</v>
      </c>
      <c r="CQ133" s="110">
        <f>$O133*BG133*'Cost inputs'!AK$12/1000000</f>
        <v>0</v>
      </c>
      <c r="CR133" s="131">
        <f t="shared" si="252"/>
        <v>5.1705555051106099E-2</v>
      </c>
      <c r="CS133" s="26"/>
    </row>
    <row r="134" spans="1:97" x14ac:dyDescent="0.3">
      <c r="A134" s="104" t="str">
        <f t="shared" ref="A134:N134" si="269">A19</f>
        <v>Orewa-Hibiscus</v>
      </c>
      <c r="B134" s="104" t="str">
        <f t="shared" si="269"/>
        <v>Hibiscus</v>
      </c>
      <c r="C134" s="104">
        <f t="shared" si="269"/>
        <v>0</v>
      </c>
      <c r="D134" s="104" t="str">
        <f t="shared" si="269"/>
        <v>Orewa Millwater LZ</v>
      </c>
      <c r="E134" s="142" t="str">
        <f t="shared" si="269"/>
        <v>SUL, unk, Arran Pt</v>
      </c>
      <c r="F134" s="142">
        <f t="shared" si="269"/>
        <v>1</v>
      </c>
      <c r="G134" s="104">
        <f t="shared" si="269"/>
        <v>0</v>
      </c>
      <c r="H134" s="104">
        <f t="shared" si="269"/>
        <v>0</v>
      </c>
      <c r="I134" s="104">
        <f t="shared" si="269"/>
        <v>0</v>
      </c>
      <c r="J134" s="142">
        <f t="shared" si="269"/>
        <v>1</v>
      </c>
      <c r="K134" s="104">
        <f t="shared" si="269"/>
        <v>0</v>
      </c>
      <c r="L134" s="104">
        <f t="shared" si="269"/>
        <v>0</v>
      </c>
      <c r="M134" s="104">
        <f t="shared" si="269"/>
        <v>0</v>
      </c>
      <c r="N134" s="104">
        <f t="shared" si="269"/>
        <v>0</v>
      </c>
      <c r="O134" s="104">
        <f t="shared" si="246"/>
        <v>1</v>
      </c>
      <c r="P134" s="104" cm="1">
        <f t="array" ref="P134">2024+MATCH(1,0/AB134:BG134)</f>
        <v>2030</v>
      </c>
      <c r="Q134" s="104"/>
      <c r="R134" s="104"/>
      <c r="S134" s="104"/>
      <c r="T134" s="104"/>
      <c r="U134" s="104"/>
      <c r="V134" s="104"/>
      <c r="W134" s="104"/>
      <c r="X134" s="104"/>
      <c r="Y134" s="104"/>
      <c r="Z134" s="104"/>
      <c r="AA134" s="104"/>
      <c r="AB134" s="149">
        <f t="shared" ref="AB134:BG134" si="270">AB19</f>
        <v>0</v>
      </c>
      <c r="AC134" s="149">
        <f t="shared" si="270"/>
        <v>0</v>
      </c>
      <c r="AD134" s="149">
        <f t="shared" si="270"/>
        <v>0</v>
      </c>
      <c r="AE134" s="149">
        <f t="shared" si="270"/>
        <v>0.33333333333333331</v>
      </c>
      <c r="AF134" s="149">
        <f t="shared" si="270"/>
        <v>0.33333333333333331</v>
      </c>
      <c r="AG134" s="149">
        <f t="shared" si="270"/>
        <v>0.33333333333333331</v>
      </c>
      <c r="AH134" s="149">
        <f t="shared" si="270"/>
        <v>0</v>
      </c>
      <c r="AI134" s="149">
        <f t="shared" si="270"/>
        <v>0</v>
      </c>
      <c r="AJ134" s="149">
        <f t="shared" si="270"/>
        <v>0</v>
      </c>
      <c r="AK134" s="149">
        <f t="shared" si="270"/>
        <v>0</v>
      </c>
      <c r="AL134" s="149">
        <f t="shared" si="270"/>
        <v>0</v>
      </c>
      <c r="AM134" s="149">
        <f t="shared" si="270"/>
        <v>0</v>
      </c>
      <c r="AN134" s="149">
        <f t="shared" si="270"/>
        <v>0</v>
      </c>
      <c r="AO134" s="149">
        <f t="shared" si="270"/>
        <v>0</v>
      </c>
      <c r="AP134" s="149">
        <f t="shared" si="270"/>
        <v>0</v>
      </c>
      <c r="AQ134" s="149">
        <f t="shared" si="270"/>
        <v>0</v>
      </c>
      <c r="AR134" s="149">
        <f t="shared" si="270"/>
        <v>0</v>
      </c>
      <c r="AS134" s="149">
        <f t="shared" si="270"/>
        <v>0</v>
      </c>
      <c r="AT134" s="149">
        <f t="shared" si="270"/>
        <v>0</v>
      </c>
      <c r="AU134" s="149">
        <f t="shared" si="270"/>
        <v>0</v>
      </c>
      <c r="AV134" s="149">
        <f t="shared" si="270"/>
        <v>0</v>
      </c>
      <c r="AW134" s="149">
        <f t="shared" si="270"/>
        <v>0</v>
      </c>
      <c r="AX134" s="149">
        <f t="shared" si="270"/>
        <v>0</v>
      </c>
      <c r="AY134" s="149">
        <f t="shared" si="270"/>
        <v>0</v>
      </c>
      <c r="AZ134" s="149">
        <f t="shared" si="270"/>
        <v>0</v>
      </c>
      <c r="BA134" s="149">
        <f t="shared" si="270"/>
        <v>0</v>
      </c>
      <c r="BB134" s="149">
        <f t="shared" si="270"/>
        <v>0</v>
      </c>
      <c r="BC134" s="149">
        <f t="shared" si="270"/>
        <v>0</v>
      </c>
      <c r="BD134" s="149">
        <f t="shared" si="270"/>
        <v>0</v>
      </c>
      <c r="BE134" s="149">
        <f t="shared" si="270"/>
        <v>0</v>
      </c>
      <c r="BF134" s="149">
        <f t="shared" si="270"/>
        <v>0</v>
      </c>
      <c r="BG134" s="149">
        <f t="shared" si="270"/>
        <v>0</v>
      </c>
      <c r="BH134" s="103"/>
      <c r="BI134" s="104"/>
      <c r="BJ134" s="104"/>
      <c r="BK134" s="104"/>
      <c r="BL134" s="154">
        <f>$O134*AB134*'Cost inputs'!F$12/1000000</f>
        <v>0</v>
      </c>
      <c r="BM134" s="154">
        <f>$O134*AC134*'Cost inputs'!G$12/1000000</f>
        <v>0</v>
      </c>
      <c r="BN134" s="154">
        <f>$O134*AD134*'Cost inputs'!H$12/1000000</f>
        <v>0</v>
      </c>
      <c r="BO134" s="154">
        <f>$O134*AE134*'Cost inputs'!I$12/1000000</f>
        <v>1.2208236287027855E-2</v>
      </c>
      <c r="BP134" s="154">
        <f>$O134*AF134*'Cost inputs'!J$12/1000000</f>
        <v>1.2476817485342469E-2</v>
      </c>
      <c r="BQ134" s="154">
        <f>$O134*AG134*'Cost inputs'!K$12/1000000</f>
        <v>1.2751307470020004E-2</v>
      </c>
      <c r="BR134" s="154">
        <f>$O134*AH134*'Cost inputs'!L$12/1000000</f>
        <v>0</v>
      </c>
      <c r="BS134" s="154">
        <f>$O134*AI134*'Cost inputs'!M$12/1000000</f>
        <v>0</v>
      </c>
      <c r="BT134" s="154">
        <f>$O134*AJ134*'Cost inputs'!N$12/1000000</f>
        <v>0</v>
      </c>
      <c r="BU134" s="154">
        <f>$O134*AK134*'Cost inputs'!O$12/1000000</f>
        <v>0</v>
      </c>
      <c r="BV134" s="154">
        <f>$O134*AL134*'Cost inputs'!P$12/1000000</f>
        <v>0</v>
      </c>
      <c r="BW134" s="154">
        <f>$O134*AM134*'Cost inputs'!Q$12/1000000</f>
        <v>0</v>
      </c>
      <c r="BX134" s="154">
        <f>$O134*AN134*'Cost inputs'!R$12/1000000</f>
        <v>0</v>
      </c>
      <c r="BY134" s="154">
        <f>$O134*AO134*'Cost inputs'!S$12/1000000</f>
        <v>0</v>
      </c>
      <c r="BZ134" s="154">
        <f>$O134*AP134*'Cost inputs'!T$12/1000000</f>
        <v>0</v>
      </c>
      <c r="CA134" s="154">
        <f>$O134*AQ134*'Cost inputs'!U$12/1000000</f>
        <v>0</v>
      </c>
      <c r="CB134" s="154">
        <f>$O134*AR134*'Cost inputs'!V$12/1000000</f>
        <v>0</v>
      </c>
      <c r="CC134" s="154">
        <f>$O134*AS134*'Cost inputs'!W$12/1000000</f>
        <v>0</v>
      </c>
      <c r="CD134" s="154">
        <f>$O134*AT134*'Cost inputs'!X$12/1000000</f>
        <v>0</v>
      </c>
      <c r="CE134" s="154">
        <f>$O134*AU134*'Cost inputs'!Y$12/1000000</f>
        <v>0</v>
      </c>
      <c r="CF134" s="154">
        <f>$O134*AV134*'Cost inputs'!Z$12/1000000</f>
        <v>0</v>
      </c>
      <c r="CG134" s="154">
        <f>$O134*AW134*'Cost inputs'!AA$12/1000000</f>
        <v>0</v>
      </c>
      <c r="CH134" s="154">
        <f>$O134*AX134*'Cost inputs'!AB$12/1000000</f>
        <v>0</v>
      </c>
      <c r="CI134" s="154">
        <f>$O134*AY134*'Cost inputs'!AC$12/1000000</f>
        <v>0</v>
      </c>
      <c r="CJ134" s="154">
        <f>$O134*AZ134*'Cost inputs'!AD$12/1000000</f>
        <v>0</v>
      </c>
      <c r="CK134" s="154">
        <f>$O134*BA134*'Cost inputs'!AE$12/1000000</f>
        <v>0</v>
      </c>
      <c r="CL134" s="154">
        <f>$O134*BB134*'Cost inputs'!AF$12/1000000</f>
        <v>0</v>
      </c>
      <c r="CM134" s="154">
        <f>$O134*BC134*'Cost inputs'!AG$12/1000000</f>
        <v>0</v>
      </c>
      <c r="CN134" s="154">
        <f>$O134*BD134*'Cost inputs'!AH$12/1000000</f>
        <v>0</v>
      </c>
      <c r="CO134" s="154">
        <f>$O134*BE134*'Cost inputs'!AI$12/1000000</f>
        <v>0</v>
      </c>
      <c r="CP134" s="154">
        <f>$O134*BF134*'Cost inputs'!AJ$12/1000000</f>
        <v>0</v>
      </c>
      <c r="CQ134" s="154">
        <f>$O134*BG134*'Cost inputs'!AK$12/1000000</f>
        <v>0</v>
      </c>
      <c r="CR134" s="155">
        <f t="shared" si="252"/>
        <v>3.7436361242390331E-2</v>
      </c>
      <c r="CS134" s="26"/>
    </row>
    <row r="135" spans="1:97" x14ac:dyDescent="0.3">
      <c r="A135" s="142" t="str">
        <f t="shared" ref="A135:N135" si="271">A20</f>
        <v>spec'd price</v>
      </c>
      <c r="B135" s="104" t="str">
        <f t="shared" si="271"/>
        <v>Hibiscus</v>
      </c>
      <c r="C135" s="104">
        <f t="shared" si="271"/>
        <v>0</v>
      </c>
      <c r="D135" s="104" t="str">
        <f t="shared" si="271"/>
        <v>Orewa Millwater LZ</v>
      </c>
      <c r="E135" s="142" t="str">
        <f t="shared" si="271"/>
        <v>Rockpool, 7015m2, $2.327m</v>
      </c>
      <c r="F135" s="142">
        <f t="shared" si="271"/>
        <v>1.7537499999999999</v>
      </c>
      <c r="G135" s="104">
        <f t="shared" si="271"/>
        <v>0</v>
      </c>
      <c r="H135" s="104">
        <f t="shared" si="271"/>
        <v>0</v>
      </c>
      <c r="I135" s="104">
        <f t="shared" si="271"/>
        <v>0</v>
      </c>
      <c r="J135" s="142">
        <f t="shared" si="271"/>
        <v>1.7537499999999999</v>
      </c>
      <c r="K135" s="104">
        <f t="shared" si="271"/>
        <v>0</v>
      </c>
      <c r="L135" s="104">
        <f t="shared" si="271"/>
        <v>0</v>
      </c>
      <c r="M135" s="104">
        <f t="shared" si="271"/>
        <v>0</v>
      </c>
      <c r="N135" s="104">
        <f t="shared" si="271"/>
        <v>0</v>
      </c>
      <c r="O135" s="104">
        <f t="shared" si="246"/>
        <v>2</v>
      </c>
      <c r="P135" s="104" cm="1">
        <f t="array" ref="P135">2024+MATCH(1,0/AB135:BG135)</f>
        <v>2027</v>
      </c>
      <c r="Q135" s="104"/>
      <c r="R135" s="104"/>
      <c r="S135" s="104"/>
      <c r="T135" s="104"/>
      <c r="U135" s="104"/>
      <c r="V135" s="104"/>
      <c r="W135" s="104"/>
      <c r="X135" s="104"/>
      <c r="Y135" s="104"/>
      <c r="Z135" s="104"/>
      <c r="AA135" s="104"/>
      <c r="AB135" s="149">
        <f t="shared" ref="AB135:BG135" si="272">AB20</f>
        <v>0.33333333333333331</v>
      </c>
      <c r="AC135" s="149">
        <f t="shared" si="272"/>
        <v>0.33333333333333331</v>
      </c>
      <c r="AD135" s="149">
        <f t="shared" si="272"/>
        <v>0.33333333333333331</v>
      </c>
      <c r="AE135" s="149">
        <f t="shared" si="272"/>
        <v>0</v>
      </c>
      <c r="AF135" s="149">
        <f t="shared" si="272"/>
        <v>0</v>
      </c>
      <c r="AG135" s="149">
        <f t="shared" si="272"/>
        <v>0</v>
      </c>
      <c r="AH135" s="149">
        <f t="shared" si="272"/>
        <v>0</v>
      </c>
      <c r="AI135" s="149">
        <f t="shared" si="272"/>
        <v>0</v>
      </c>
      <c r="AJ135" s="149">
        <f t="shared" si="272"/>
        <v>0</v>
      </c>
      <c r="AK135" s="149">
        <f t="shared" si="272"/>
        <v>0</v>
      </c>
      <c r="AL135" s="149">
        <f t="shared" si="272"/>
        <v>0</v>
      </c>
      <c r="AM135" s="149">
        <f t="shared" si="272"/>
        <v>0</v>
      </c>
      <c r="AN135" s="149">
        <f t="shared" si="272"/>
        <v>0</v>
      </c>
      <c r="AO135" s="149">
        <f t="shared" si="272"/>
        <v>0</v>
      </c>
      <c r="AP135" s="149">
        <f t="shared" si="272"/>
        <v>0</v>
      </c>
      <c r="AQ135" s="149">
        <f t="shared" si="272"/>
        <v>0</v>
      </c>
      <c r="AR135" s="149">
        <f t="shared" si="272"/>
        <v>0</v>
      </c>
      <c r="AS135" s="149">
        <f t="shared" si="272"/>
        <v>0</v>
      </c>
      <c r="AT135" s="149">
        <f t="shared" si="272"/>
        <v>0</v>
      </c>
      <c r="AU135" s="149">
        <f t="shared" si="272"/>
        <v>0</v>
      </c>
      <c r="AV135" s="149">
        <f t="shared" si="272"/>
        <v>0</v>
      </c>
      <c r="AW135" s="149">
        <f t="shared" si="272"/>
        <v>0</v>
      </c>
      <c r="AX135" s="149">
        <f t="shared" si="272"/>
        <v>0</v>
      </c>
      <c r="AY135" s="149">
        <f t="shared" si="272"/>
        <v>0</v>
      </c>
      <c r="AZ135" s="149">
        <f t="shared" si="272"/>
        <v>0</v>
      </c>
      <c r="BA135" s="149">
        <f t="shared" si="272"/>
        <v>0</v>
      </c>
      <c r="BB135" s="149">
        <f t="shared" si="272"/>
        <v>0</v>
      </c>
      <c r="BC135" s="149">
        <f t="shared" si="272"/>
        <v>0</v>
      </c>
      <c r="BD135" s="149">
        <f t="shared" si="272"/>
        <v>0</v>
      </c>
      <c r="BE135" s="149">
        <f t="shared" si="272"/>
        <v>0</v>
      </c>
      <c r="BF135" s="149">
        <f t="shared" si="272"/>
        <v>0</v>
      </c>
      <c r="BG135" s="149">
        <f t="shared" si="272"/>
        <v>0</v>
      </c>
      <c r="BH135" s="103"/>
      <c r="BI135" s="104"/>
      <c r="BJ135" s="104"/>
      <c r="BK135" s="104"/>
      <c r="BL135" s="154">
        <f>$O135*AB135*'Cost inputs'!F$12/1000000</f>
        <v>2.2410523799999995E-2</v>
      </c>
      <c r="BM135" s="154">
        <f>$O135*AC135*'Cost inputs'!G$12/1000000</f>
        <v>2.315007108539999E-2</v>
      </c>
      <c r="BN135" s="154">
        <f>$O135*AD135*'Cost inputs'!H$12/1000000</f>
        <v>2.3890873360132792E-2</v>
      </c>
      <c r="BO135" s="154">
        <f>$O135*AE135*'Cost inputs'!I$12/1000000</f>
        <v>0</v>
      </c>
      <c r="BP135" s="154">
        <f>$O135*AF135*'Cost inputs'!J$12/1000000</f>
        <v>0</v>
      </c>
      <c r="BQ135" s="154">
        <f>$O135*AG135*'Cost inputs'!K$12/1000000</f>
        <v>0</v>
      </c>
      <c r="BR135" s="154">
        <f>$O135*AH135*'Cost inputs'!L$12/1000000</f>
        <v>0</v>
      </c>
      <c r="BS135" s="154">
        <f>$O135*AI135*'Cost inputs'!M$12/1000000</f>
        <v>0</v>
      </c>
      <c r="BT135" s="154">
        <f>$O135*AJ135*'Cost inputs'!N$12/1000000</f>
        <v>0</v>
      </c>
      <c r="BU135" s="154">
        <f>$O135*AK135*'Cost inputs'!O$12/1000000</f>
        <v>0</v>
      </c>
      <c r="BV135" s="154">
        <f>$O135*AL135*'Cost inputs'!P$12/1000000</f>
        <v>0</v>
      </c>
      <c r="BW135" s="154">
        <f>$O135*AM135*'Cost inputs'!Q$12/1000000</f>
        <v>0</v>
      </c>
      <c r="BX135" s="154">
        <f>$O135*AN135*'Cost inputs'!R$12/1000000</f>
        <v>0</v>
      </c>
      <c r="BY135" s="154">
        <f>$O135*AO135*'Cost inputs'!S$12/1000000</f>
        <v>0</v>
      </c>
      <c r="BZ135" s="154">
        <f>$O135*AP135*'Cost inputs'!T$12/1000000</f>
        <v>0</v>
      </c>
      <c r="CA135" s="154">
        <f>$O135*AQ135*'Cost inputs'!U$12/1000000</f>
        <v>0</v>
      </c>
      <c r="CB135" s="154">
        <f>$O135*AR135*'Cost inputs'!V$12/1000000</f>
        <v>0</v>
      </c>
      <c r="CC135" s="154">
        <f>$O135*AS135*'Cost inputs'!W$12/1000000</f>
        <v>0</v>
      </c>
      <c r="CD135" s="154">
        <f>$O135*AT135*'Cost inputs'!X$12/1000000</f>
        <v>0</v>
      </c>
      <c r="CE135" s="154">
        <f>$O135*AU135*'Cost inputs'!Y$12/1000000</f>
        <v>0</v>
      </c>
      <c r="CF135" s="154">
        <f>$O135*AV135*'Cost inputs'!Z$12/1000000</f>
        <v>0</v>
      </c>
      <c r="CG135" s="154">
        <f>$O135*AW135*'Cost inputs'!AA$12/1000000</f>
        <v>0</v>
      </c>
      <c r="CH135" s="154">
        <f>$O135*AX135*'Cost inputs'!AB$12/1000000</f>
        <v>0</v>
      </c>
      <c r="CI135" s="154">
        <f>$O135*AY135*'Cost inputs'!AC$12/1000000</f>
        <v>0</v>
      </c>
      <c r="CJ135" s="154">
        <f>$O135*AZ135*'Cost inputs'!AD$12/1000000</f>
        <v>0</v>
      </c>
      <c r="CK135" s="154">
        <f>$O135*BA135*'Cost inputs'!AE$12/1000000</f>
        <v>0</v>
      </c>
      <c r="CL135" s="154">
        <f>$O135*BB135*'Cost inputs'!AF$12/1000000</f>
        <v>0</v>
      </c>
      <c r="CM135" s="154">
        <f>$O135*BC135*'Cost inputs'!AG$12/1000000</f>
        <v>0</v>
      </c>
      <c r="CN135" s="154">
        <f>$O135*BD135*'Cost inputs'!AH$12/1000000</f>
        <v>0</v>
      </c>
      <c r="CO135" s="154">
        <f>$O135*BE135*'Cost inputs'!AI$12/1000000</f>
        <v>0</v>
      </c>
      <c r="CP135" s="154">
        <f>$O135*BF135*'Cost inputs'!AJ$12/1000000</f>
        <v>0</v>
      </c>
      <c r="CQ135" s="154">
        <f>$O135*BG135*'Cost inputs'!AK$12/1000000</f>
        <v>0</v>
      </c>
      <c r="CR135" s="155">
        <f t="shared" si="252"/>
        <v>6.9451468245532777E-2</v>
      </c>
      <c r="CS135" s="26"/>
    </row>
    <row r="136" spans="1:97" x14ac:dyDescent="0.3">
      <c r="A136" s="142" t="str">
        <f t="shared" ref="A136:N136" si="273">A21</f>
        <v>spec'd price</v>
      </c>
      <c r="B136" s="104" t="str">
        <f t="shared" si="273"/>
        <v>Hibiscus</v>
      </c>
      <c r="C136" s="104">
        <f t="shared" si="273"/>
        <v>0</v>
      </c>
      <c r="D136" s="104" t="str">
        <f t="shared" si="273"/>
        <v>Orewa Millwater LZ</v>
      </c>
      <c r="E136" s="142" t="str">
        <f t="shared" si="273"/>
        <v>256WestH, 3000m2 $1.4m</v>
      </c>
      <c r="F136" s="142">
        <f t="shared" si="273"/>
        <v>0.75</v>
      </c>
      <c r="G136" s="104">
        <f t="shared" si="273"/>
        <v>0</v>
      </c>
      <c r="H136" s="104">
        <f t="shared" si="273"/>
        <v>0</v>
      </c>
      <c r="I136" s="104">
        <f t="shared" si="273"/>
        <v>0</v>
      </c>
      <c r="J136" s="142">
        <f t="shared" si="273"/>
        <v>0.75</v>
      </c>
      <c r="K136" s="104">
        <f t="shared" si="273"/>
        <v>0</v>
      </c>
      <c r="L136" s="104">
        <f t="shared" si="273"/>
        <v>0</v>
      </c>
      <c r="M136" s="104">
        <f t="shared" si="273"/>
        <v>0</v>
      </c>
      <c r="N136" s="104">
        <f t="shared" si="273"/>
        <v>0</v>
      </c>
      <c r="O136" s="104">
        <f t="shared" si="246"/>
        <v>1</v>
      </c>
      <c r="P136" s="104" cm="1">
        <f t="array" ref="P136">2024+MATCH(1,0/AB136:BG136)</f>
        <v>2027</v>
      </c>
      <c r="Q136" s="104"/>
      <c r="R136" s="104"/>
      <c r="S136" s="104"/>
      <c r="T136" s="104"/>
      <c r="U136" s="104"/>
      <c r="V136" s="104"/>
      <c r="W136" s="104"/>
      <c r="X136" s="104"/>
      <c r="Y136" s="104"/>
      <c r="Z136" s="104"/>
      <c r="AA136" s="104"/>
      <c r="AB136" s="149">
        <f t="shared" ref="AB136:BG136" si="274">AB21</f>
        <v>0.33333333333333331</v>
      </c>
      <c r="AC136" s="149">
        <f t="shared" si="274"/>
        <v>0.33333333333333331</v>
      </c>
      <c r="AD136" s="149">
        <f t="shared" si="274"/>
        <v>0.33333333333333331</v>
      </c>
      <c r="AE136" s="149">
        <f t="shared" si="274"/>
        <v>0</v>
      </c>
      <c r="AF136" s="149">
        <f t="shared" si="274"/>
        <v>0</v>
      </c>
      <c r="AG136" s="149">
        <f t="shared" si="274"/>
        <v>0</v>
      </c>
      <c r="AH136" s="149">
        <f t="shared" si="274"/>
        <v>0</v>
      </c>
      <c r="AI136" s="149">
        <f t="shared" si="274"/>
        <v>0</v>
      </c>
      <c r="AJ136" s="149">
        <f t="shared" si="274"/>
        <v>0</v>
      </c>
      <c r="AK136" s="149">
        <f t="shared" si="274"/>
        <v>0</v>
      </c>
      <c r="AL136" s="149">
        <f t="shared" si="274"/>
        <v>0</v>
      </c>
      <c r="AM136" s="149">
        <f t="shared" si="274"/>
        <v>0</v>
      </c>
      <c r="AN136" s="149">
        <f t="shared" si="274"/>
        <v>0</v>
      </c>
      <c r="AO136" s="149">
        <f t="shared" si="274"/>
        <v>0</v>
      </c>
      <c r="AP136" s="149">
        <f t="shared" si="274"/>
        <v>0</v>
      </c>
      <c r="AQ136" s="149">
        <f t="shared" si="274"/>
        <v>0</v>
      </c>
      <c r="AR136" s="149">
        <f t="shared" si="274"/>
        <v>0</v>
      </c>
      <c r="AS136" s="149">
        <f t="shared" si="274"/>
        <v>0</v>
      </c>
      <c r="AT136" s="149">
        <f t="shared" si="274"/>
        <v>0</v>
      </c>
      <c r="AU136" s="149">
        <f t="shared" si="274"/>
        <v>0</v>
      </c>
      <c r="AV136" s="149">
        <f t="shared" si="274"/>
        <v>0</v>
      </c>
      <c r="AW136" s="149">
        <f t="shared" si="274"/>
        <v>0</v>
      </c>
      <c r="AX136" s="149">
        <f t="shared" si="274"/>
        <v>0</v>
      </c>
      <c r="AY136" s="149">
        <f t="shared" si="274"/>
        <v>0</v>
      </c>
      <c r="AZ136" s="149">
        <f t="shared" si="274"/>
        <v>0</v>
      </c>
      <c r="BA136" s="149">
        <f t="shared" si="274"/>
        <v>0</v>
      </c>
      <c r="BB136" s="149">
        <f t="shared" si="274"/>
        <v>0</v>
      </c>
      <c r="BC136" s="149">
        <f t="shared" si="274"/>
        <v>0</v>
      </c>
      <c r="BD136" s="149">
        <f t="shared" si="274"/>
        <v>0</v>
      </c>
      <c r="BE136" s="149">
        <f t="shared" si="274"/>
        <v>0</v>
      </c>
      <c r="BF136" s="149">
        <f t="shared" si="274"/>
        <v>0</v>
      </c>
      <c r="BG136" s="149">
        <f t="shared" si="274"/>
        <v>0</v>
      </c>
      <c r="BH136" s="103"/>
      <c r="BI136" s="104"/>
      <c r="BJ136" s="104"/>
      <c r="BK136" s="104"/>
      <c r="BL136" s="154">
        <f>$O136*AB136*'Cost inputs'!F$12/1000000</f>
        <v>1.1205261899999997E-2</v>
      </c>
      <c r="BM136" s="154">
        <f>$O136*AC136*'Cost inputs'!G$12/1000000</f>
        <v>1.1575035542699995E-2</v>
      </c>
      <c r="BN136" s="154">
        <f>$O136*AD136*'Cost inputs'!H$12/1000000</f>
        <v>1.1945436680066396E-2</v>
      </c>
      <c r="BO136" s="154">
        <f>$O136*AE136*'Cost inputs'!I$12/1000000</f>
        <v>0</v>
      </c>
      <c r="BP136" s="154">
        <f>$O136*AF136*'Cost inputs'!J$12/1000000</f>
        <v>0</v>
      </c>
      <c r="BQ136" s="154">
        <f>$O136*AG136*'Cost inputs'!K$12/1000000</f>
        <v>0</v>
      </c>
      <c r="BR136" s="154">
        <f>$O136*AH136*'Cost inputs'!L$12/1000000</f>
        <v>0</v>
      </c>
      <c r="BS136" s="154">
        <f>$O136*AI136*'Cost inputs'!M$12/1000000</f>
        <v>0</v>
      </c>
      <c r="BT136" s="154">
        <f>$O136*AJ136*'Cost inputs'!N$12/1000000</f>
        <v>0</v>
      </c>
      <c r="BU136" s="154">
        <f>$O136*AK136*'Cost inputs'!O$12/1000000</f>
        <v>0</v>
      </c>
      <c r="BV136" s="154">
        <f>$O136*AL136*'Cost inputs'!P$12/1000000</f>
        <v>0</v>
      </c>
      <c r="BW136" s="154">
        <f>$O136*AM136*'Cost inputs'!Q$12/1000000</f>
        <v>0</v>
      </c>
      <c r="BX136" s="154">
        <f>$O136*AN136*'Cost inputs'!R$12/1000000</f>
        <v>0</v>
      </c>
      <c r="BY136" s="154">
        <f>$O136*AO136*'Cost inputs'!S$12/1000000</f>
        <v>0</v>
      </c>
      <c r="BZ136" s="154">
        <f>$O136*AP136*'Cost inputs'!T$12/1000000</f>
        <v>0</v>
      </c>
      <c r="CA136" s="154">
        <f>$O136*AQ136*'Cost inputs'!U$12/1000000</f>
        <v>0</v>
      </c>
      <c r="CB136" s="154">
        <f>$O136*AR136*'Cost inputs'!V$12/1000000</f>
        <v>0</v>
      </c>
      <c r="CC136" s="154">
        <f>$O136*AS136*'Cost inputs'!W$12/1000000</f>
        <v>0</v>
      </c>
      <c r="CD136" s="154">
        <f>$O136*AT136*'Cost inputs'!X$12/1000000</f>
        <v>0</v>
      </c>
      <c r="CE136" s="154">
        <f>$O136*AU136*'Cost inputs'!Y$12/1000000</f>
        <v>0</v>
      </c>
      <c r="CF136" s="154">
        <f>$O136*AV136*'Cost inputs'!Z$12/1000000</f>
        <v>0</v>
      </c>
      <c r="CG136" s="154">
        <f>$O136*AW136*'Cost inputs'!AA$12/1000000</f>
        <v>0</v>
      </c>
      <c r="CH136" s="154">
        <f>$O136*AX136*'Cost inputs'!AB$12/1000000</f>
        <v>0</v>
      </c>
      <c r="CI136" s="154">
        <f>$O136*AY136*'Cost inputs'!AC$12/1000000</f>
        <v>0</v>
      </c>
      <c r="CJ136" s="154">
        <f>$O136*AZ136*'Cost inputs'!AD$12/1000000</f>
        <v>0</v>
      </c>
      <c r="CK136" s="154">
        <f>$O136*BA136*'Cost inputs'!AE$12/1000000</f>
        <v>0</v>
      </c>
      <c r="CL136" s="154">
        <f>$O136*BB136*'Cost inputs'!AF$12/1000000</f>
        <v>0</v>
      </c>
      <c r="CM136" s="154">
        <f>$O136*BC136*'Cost inputs'!AG$12/1000000</f>
        <v>0</v>
      </c>
      <c r="CN136" s="154">
        <f>$O136*BD136*'Cost inputs'!AH$12/1000000</f>
        <v>0</v>
      </c>
      <c r="CO136" s="154">
        <f>$O136*BE136*'Cost inputs'!AI$12/1000000</f>
        <v>0</v>
      </c>
      <c r="CP136" s="154">
        <f>$O136*BF136*'Cost inputs'!AJ$12/1000000</f>
        <v>0</v>
      </c>
      <c r="CQ136" s="154">
        <f>$O136*BG136*'Cost inputs'!AK$12/1000000</f>
        <v>0</v>
      </c>
      <c r="CR136" s="155">
        <f t="shared" si="252"/>
        <v>3.4725734122766388E-2</v>
      </c>
      <c r="CS136" s="26"/>
    </row>
    <row r="137" spans="1:97" x14ac:dyDescent="0.3">
      <c r="A137" s="104" t="str">
        <f t="shared" ref="A137:N137" si="275">A22</f>
        <v>Gulf Harbour</v>
      </c>
      <c r="B137" s="104" t="str">
        <f t="shared" si="275"/>
        <v>Hibiscus</v>
      </c>
      <c r="C137" s="104">
        <f t="shared" si="275"/>
        <v>0</v>
      </c>
      <c r="D137" s="104" t="str">
        <f t="shared" si="275"/>
        <v xml:space="preserve">Gulf Harbour </v>
      </c>
      <c r="E137" s="104" t="str">
        <f t="shared" si="275"/>
        <v>outside LTP to delivere 71% constraint for Hibiscus</v>
      </c>
      <c r="F137" s="104">
        <f t="shared" si="275"/>
        <v>1</v>
      </c>
      <c r="G137" s="104">
        <f t="shared" si="275"/>
        <v>0</v>
      </c>
      <c r="H137" s="104">
        <f t="shared" si="275"/>
        <v>0</v>
      </c>
      <c r="I137" s="104">
        <f t="shared" si="275"/>
        <v>0</v>
      </c>
      <c r="J137" s="104">
        <f t="shared" si="275"/>
        <v>1</v>
      </c>
      <c r="K137" s="104">
        <f t="shared" si="275"/>
        <v>0</v>
      </c>
      <c r="L137" s="104">
        <f t="shared" si="275"/>
        <v>0</v>
      </c>
      <c r="M137" s="104">
        <f t="shared" si="275"/>
        <v>0</v>
      </c>
      <c r="N137" s="104">
        <f t="shared" si="275"/>
        <v>0</v>
      </c>
      <c r="O137" s="104">
        <f t="shared" ref="O137" si="276">ROUND(SUM(F137:I137),0)</f>
        <v>1</v>
      </c>
      <c r="P137" s="104" cm="1">
        <f t="array" ref="P137">2024+MATCH(1,0/AB137:BG137)</f>
        <v>2042</v>
      </c>
      <c r="Q137" s="104"/>
      <c r="R137" s="104"/>
      <c r="S137" s="104"/>
      <c r="T137" s="104"/>
      <c r="U137" s="104"/>
      <c r="V137" s="104"/>
      <c r="W137" s="104"/>
      <c r="X137" s="104"/>
      <c r="Y137" s="104"/>
      <c r="Z137" s="104"/>
      <c r="AA137" s="104"/>
      <c r="AB137" s="103">
        <f t="shared" ref="AB137:BG137" si="277">AB22</f>
        <v>0</v>
      </c>
      <c r="AC137" s="103">
        <f t="shared" si="277"/>
        <v>0</v>
      </c>
      <c r="AD137" s="103">
        <f t="shared" si="277"/>
        <v>0</v>
      </c>
      <c r="AE137" s="103">
        <f t="shared" si="277"/>
        <v>0</v>
      </c>
      <c r="AF137" s="103">
        <f t="shared" si="277"/>
        <v>0</v>
      </c>
      <c r="AG137" s="103">
        <f t="shared" si="277"/>
        <v>0</v>
      </c>
      <c r="AH137" s="103">
        <f t="shared" si="277"/>
        <v>0</v>
      </c>
      <c r="AI137" s="103">
        <f t="shared" si="277"/>
        <v>0</v>
      </c>
      <c r="AJ137" s="103">
        <f t="shared" si="277"/>
        <v>0</v>
      </c>
      <c r="AK137" s="103">
        <f t="shared" si="277"/>
        <v>0</v>
      </c>
      <c r="AL137" s="103">
        <f t="shared" si="277"/>
        <v>0.10472734996525389</v>
      </c>
      <c r="AM137" s="103">
        <f t="shared" si="277"/>
        <v>0.10601471966704468</v>
      </c>
      <c r="AN137" s="103">
        <f t="shared" si="277"/>
        <v>0.10750477164694536</v>
      </c>
      <c r="AO137" s="103">
        <f t="shared" si="277"/>
        <v>0.10314837920794254</v>
      </c>
      <c r="AP137" s="103">
        <f t="shared" si="277"/>
        <v>4.8886873976350477E-2</v>
      </c>
      <c r="AQ137" s="103">
        <f t="shared" si="277"/>
        <v>5.2554477979523215E-2</v>
      </c>
      <c r="AR137" s="103">
        <f t="shared" si="277"/>
        <v>0.23858171377846993</v>
      </c>
      <c r="AS137" s="103">
        <f t="shared" si="277"/>
        <v>0.23858171377846993</v>
      </c>
      <c r="AT137" s="103">
        <f t="shared" si="277"/>
        <v>0</v>
      </c>
      <c r="AU137" s="103">
        <f t="shared" si="277"/>
        <v>0</v>
      </c>
      <c r="AV137" s="103">
        <f t="shared" si="277"/>
        <v>0</v>
      </c>
      <c r="AW137" s="103">
        <f t="shared" si="277"/>
        <v>0</v>
      </c>
      <c r="AX137" s="103">
        <f t="shared" si="277"/>
        <v>0</v>
      </c>
      <c r="AY137" s="103">
        <f t="shared" si="277"/>
        <v>0</v>
      </c>
      <c r="AZ137" s="103">
        <f t="shared" si="277"/>
        <v>0</v>
      </c>
      <c r="BA137" s="103">
        <f t="shared" si="277"/>
        <v>0</v>
      </c>
      <c r="BB137" s="103">
        <f t="shared" si="277"/>
        <v>0</v>
      </c>
      <c r="BC137" s="103">
        <f t="shared" si="277"/>
        <v>0</v>
      </c>
      <c r="BD137" s="103">
        <f t="shared" si="277"/>
        <v>0</v>
      </c>
      <c r="BE137" s="103">
        <f t="shared" si="277"/>
        <v>0</v>
      </c>
      <c r="BF137" s="103">
        <f t="shared" si="277"/>
        <v>0</v>
      </c>
      <c r="BG137" s="103">
        <f t="shared" si="277"/>
        <v>0</v>
      </c>
      <c r="BH137" s="103"/>
      <c r="BI137" s="104"/>
      <c r="BJ137" s="104"/>
      <c r="BK137" s="104"/>
      <c r="BL137" s="110">
        <f>$O137*AB137*'Cost inputs'!F$12/1000000</f>
        <v>0</v>
      </c>
      <c r="BM137" s="110">
        <f>$O137*AC137*'Cost inputs'!G$12/1000000</f>
        <v>0</v>
      </c>
      <c r="BN137" s="110">
        <f>$O137*AD137*'Cost inputs'!H$12/1000000</f>
        <v>0</v>
      </c>
      <c r="BO137" s="110">
        <f>$O137*AE137*'Cost inputs'!I$12/1000000</f>
        <v>0</v>
      </c>
      <c r="BP137" s="110">
        <f>$O137*AF137*'Cost inputs'!J$12/1000000</f>
        <v>0</v>
      </c>
      <c r="BQ137" s="110">
        <f>$O137*AG137*'Cost inputs'!K$12/1000000</f>
        <v>0</v>
      </c>
      <c r="BR137" s="110">
        <f>$O137*AH137*'Cost inputs'!L$12/1000000</f>
        <v>0</v>
      </c>
      <c r="BS137" s="110">
        <f>$O137*AI137*'Cost inputs'!M$12/1000000</f>
        <v>0</v>
      </c>
      <c r="BT137" s="110">
        <f>$O137*AJ137*'Cost inputs'!N$12/1000000</f>
        <v>0</v>
      </c>
      <c r="BU137" s="110">
        <f>$O137*AK137*'Cost inputs'!O$12/1000000</f>
        <v>0</v>
      </c>
      <c r="BV137" s="110">
        <f>$O137*AL137*'Cost inputs'!P$12/1000000</f>
        <v>4.4667388900905772E-3</v>
      </c>
      <c r="BW137" s="110">
        <f>$O137*AM137*'Cost inputs'!Q$12/1000000</f>
        <v>4.6211228775205259E-3</v>
      </c>
      <c r="BX137" s="110">
        <f>$O137*AN137*'Cost inputs'!R$12/1000000</f>
        <v>4.7891670327319166E-3</v>
      </c>
      <c r="BY137" s="110">
        <f>$O137*AO137*'Cost inputs'!S$12/1000000</f>
        <v>4.6961887870282911E-3</v>
      </c>
      <c r="BZ137" s="110">
        <f>$O137*AP137*'Cost inputs'!T$12/1000000</f>
        <v>2.27471139119313E-3</v>
      </c>
      <c r="CA137" s="110">
        <f>$O137*AQ137*'Cost inputs'!U$12/1000000</f>
        <v>2.499163430067855E-3</v>
      </c>
      <c r="CB137" s="110">
        <f>$O137*AR137*'Cost inputs'!V$12/1000000</f>
        <v>1.1595059466996804E-2</v>
      </c>
      <c r="CC137" s="110">
        <f>$O137*AS137*'Cost inputs'!W$12/1000000</f>
        <v>1.1850150775270733E-2</v>
      </c>
      <c r="CD137" s="110">
        <f>$O137*AT137*'Cost inputs'!X$12/1000000</f>
        <v>0</v>
      </c>
      <c r="CE137" s="110">
        <f>$O137*AU137*'Cost inputs'!Y$12/1000000</f>
        <v>0</v>
      </c>
      <c r="CF137" s="110">
        <f>$O137*AV137*'Cost inputs'!Z$12/1000000</f>
        <v>0</v>
      </c>
      <c r="CG137" s="110">
        <f>$O137*AW137*'Cost inputs'!AA$12/1000000</f>
        <v>0</v>
      </c>
      <c r="CH137" s="110">
        <f>$O137*AX137*'Cost inputs'!AB$12/1000000</f>
        <v>0</v>
      </c>
      <c r="CI137" s="110">
        <f>$O137*AY137*'Cost inputs'!AC$12/1000000</f>
        <v>0</v>
      </c>
      <c r="CJ137" s="110">
        <f>$O137*AZ137*'Cost inputs'!AD$12/1000000</f>
        <v>0</v>
      </c>
      <c r="CK137" s="110">
        <f>$O137*BA137*'Cost inputs'!AE$12/1000000</f>
        <v>0</v>
      </c>
      <c r="CL137" s="110">
        <f>$O137*BB137*'Cost inputs'!AF$12/1000000</f>
        <v>0</v>
      </c>
      <c r="CM137" s="110">
        <f>$O137*BC137*'Cost inputs'!AG$12/1000000</f>
        <v>0</v>
      </c>
      <c r="CN137" s="110">
        <f>$O137*BD137*'Cost inputs'!AH$12/1000000</f>
        <v>0</v>
      </c>
      <c r="CO137" s="110">
        <f>$O137*BE137*'Cost inputs'!AI$12/1000000</f>
        <v>0</v>
      </c>
      <c r="CP137" s="110">
        <f>$O137*BF137*'Cost inputs'!AJ$12/1000000</f>
        <v>0</v>
      </c>
      <c r="CQ137" s="110">
        <f>$O137*BG137*'Cost inputs'!AK$12/1000000</f>
        <v>0</v>
      </c>
      <c r="CR137" s="131">
        <f t="shared" ref="CR137" si="278">SUM(BL137:CQ137)</f>
        <v>4.6792302650899835E-2</v>
      </c>
      <c r="CS137" s="26"/>
    </row>
    <row r="138" spans="1:97" x14ac:dyDescent="0.3">
      <c r="A138" s="104" t="str">
        <f t="shared" ref="A138:N138" si="279">A23</f>
        <v>Orewa-Hibiscus</v>
      </c>
      <c r="B138" s="104" t="str">
        <f t="shared" si="279"/>
        <v>Dairy Flat (incl W.East new)</v>
      </c>
      <c r="C138" s="104">
        <f t="shared" si="279"/>
        <v>0</v>
      </c>
      <c r="D138" s="104" t="str">
        <f t="shared" si="279"/>
        <v>Upper Orewa</v>
      </c>
      <c r="E138" s="104">
        <f t="shared" si="279"/>
        <v>0</v>
      </c>
      <c r="F138" s="104">
        <f t="shared" si="279"/>
        <v>11</v>
      </c>
      <c r="G138" s="104">
        <f t="shared" si="279"/>
        <v>0</v>
      </c>
      <c r="H138" s="104">
        <f t="shared" si="279"/>
        <v>0</v>
      </c>
      <c r="I138" s="104">
        <f t="shared" si="279"/>
        <v>0</v>
      </c>
      <c r="J138" s="104">
        <f t="shared" si="279"/>
        <v>11</v>
      </c>
      <c r="K138" s="104">
        <f t="shared" si="279"/>
        <v>0</v>
      </c>
      <c r="L138" s="104">
        <f t="shared" si="279"/>
        <v>0</v>
      </c>
      <c r="M138" s="104">
        <f t="shared" si="279"/>
        <v>0</v>
      </c>
      <c r="N138" s="104">
        <f t="shared" si="279"/>
        <v>0</v>
      </c>
      <c r="O138" s="104">
        <f t="shared" si="246"/>
        <v>11</v>
      </c>
      <c r="P138" s="104" cm="1">
        <f t="array" ref="P138">2024+MATCH(1,0/AB138:BG138)</f>
        <v>2056</v>
      </c>
      <c r="Q138" s="104"/>
      <c r="R138" s="104"/>
      <c r="S138" s="104"/>
      <c r="T138" s="104"/>
      <c r="U138" s="104"/>
      <c r="V138" s="104"/>
      <c r="W138" s="104"/>
      <c r="X138" s="104"/>
      <c r="Y138" s="104"/>
      <c r="Z138" s="104"/>
      <c r="AA138" s="104"/>
      <c r="AB138" s="103">
        <f t="shared" ref="AB138:BG138" si="280">AB23</f>
        <v>0</v>
      </c>
      <c r="AC138" s="103">
        <f t="shared" si="280"/>
        <v>0</v>
      </c>
      <c r="AD138" s="103">
        <f t="shared" si="280"/>
        <v>0</v>
      </c>
      <c r="AE138" s="103">
        <f t="shared" si="280"/>
        <v>0</v>
      </c>
      <c r="AF138" s="103">
        <f t="shared" si="280"/>
        <v>0</v>
      </c>
      <c r="AG138" s="103">
        <f t="shared" si="280"/>
        <v>0</v>
      </c>
      <c r="AH138" s="103">
        <f t="shared" si="280"/>
        <v>0</v>
      </c>
      <c r="AI138" s="103">
        <f t="shared" si="280"/>
        <v>0</v>
      </c>
      <c r="AJ138" s="103">
        <f t="shared" si="280"/>
        <v>0</v>
      </c>
      <c r="AK138" s="103">
        <f t="shared" si="280"/>
        <v>0</v>
      </c>
      <c r="AL138" s="103">
        <f t="shared" si="280"/>
        <v>0</v>
      </c>
      <c r="AM138" s="103">
        <f t="shared" si="280"/>
        <v>0</v>
      </c>
      <c r="AN138" s="103">
        <f t="shared" si="280"/>
        <v>0</v>
      </c>
      <c r="AO138" s="103">
        <f t="shared" si="280"/>
        <v>0</v>
      </c>
      <c r="AP138" s="103">
        <f t="shared" si="280"/>
        <v>0</v>
      </c>
      <c r="AQ138" s="103">
        <f t="shared" si="280"/>
        <v>0</v>
      </c>
      <c r="AR138" s="103">
        <f t="shared" si="280"/>
        <v>0</v>
      </c>
      <c r="AS138" s="103">
        <f t="shared" si="280"/>
        <v>0</v>
      </c>
      <c r="AT138" s="103">
        <f t="shared" si="280"/>
        <v>0</v>
      </c>
      <c r="AU138" s="103">
        <f t="shared" si="280"/>
        <v>0</v>
      </c>
      <c r="AV138" s="103">
        <f t="shared" si="280"/>
        <v>0</v>
      </c>
      <c r="AW138" s="103">
        <f t="shared" si="280"/>
        <v>0.05</v>
      </c>
      <c r="AX138" s="103">
        <f t="shared" si="280"/>
        <v>0.05</v>
      </c>
      <c r="AY138" s="103">
        <f t="shared" si="280"/>
        <v>0.05</v>
      </c>
      <c r="AZ138" s="103">
        <f t="shared" si="280"/>
        <v>0.05</v>
      </c>
      <c r="BA138" s="103">
        <f t="shared" si="280"/>
        <v>7.4999999999999997E-2</v>
      </c>
      <c r="BB138" s="103">
        <f t="shared" si="280"/>
        <v>7.4999999999999997E-2</v>
      </c>
      <c r="BC138" s="103">
        <f t="shared" si="280"/>
        <v>7.4999999999999997E-2</v>
      </c>
      <c r="BD138" s="103">
        <f t="shared" si="280"/>
        <v>7.4999999999999997E-2</v>
      </c>
      <c r="BE138" s="103">
        <f t="shared" si="280"/>
        <v>0.16666666666666666</v>
      </c>
      <c r="BF138" s="103">
        <f t="shared" si="280"/>
        <v>0.16666666666666666</v>
      </c>
      <c r="BG138" s="103">
        <f t="shared" si="280"/>
        <v>0.16666666666666666</v>
      </c>
      <c r="BH138" s="103"/>
      <c r="BI138" s="104"/>
      <c r="BJ138" s="104"/>
      <c r="BK138" s="104"/>
      <c r="BL138" s="110">
        <f>$O138*AB138*'Cost inputs'!F$12/1000000</f>
        <v>0</v>
      </c>
      <c r="BM138" s="110">
        <f>$O138*AC138*'Cost inputs'!G$12/1000000</f>
        <v>0</v>
      </c>
      <c r="BN138" s="110">
        <f>$O138*AD138*'Cost inputs'!H$12/1000000</f>
        <v>0</v>
      </c>
      <c r="BO138" s="110">
        <f>$O138*AE138*'Cost inputs'!I$12/1000000</f>
        <v>0</v>
      </c>
      <c r="BP138" s="110">
        <f>$O138*AF138*'Cost inputs'!J$12/1000000</f>
        <v>0</v>
      </c>
      <c r="BQ138" s="110">
        <f>$O138*AG138*'Cost inputs'!K$12/1000000</f>
        <v>0</v>
      </c>
      <c r="BR138" s="110">
        <f>$O138*AH138*'Cost inputs'!L$12/1000000</f>
        <v>0</v>
      </c>
      <c r="BS138" s="110">
        <f>$O138*AI138*'Cost inputs'!M$12/1000000</f>
        <v>0</v>
      </c>
      <c r="BT138" s="110">
        <f>$O138*AJ138*'Cost inputs'!N$12/1000000</f>
        <v>0</v>
      </c>
      <c r="BU138" s="110">
        <f>$O138*AK138*'Cost inputs'!O$12/1000000</f>
        <v>0</v>
      </c>
      <c r="BV138" s="110">
        <f>$O138*AL138*'Cost inputs'!P$12/1000000</f>
        <v>0</v>
      </c>
      <c r="BW138" s="110">
        <f>$O138*AM138*'Cost inputs'!Q$12/1000000</f>
        <v>0</v>
      </c>
      <c r="BX138" s="110">
        <f>$O138*AN138*'Cost inputs'!R$12/1000000</f>
        <v>0</v>
      </c>
      <c r="BY138" s="110">
        <f>$O138*AO138*'Cost inputs'!S$12/1000000</f>
        <v>0</v>
      </c>
      <c r="BZ138" s="110">
        <f>$O138*AP138*'Cost inputs'!T$12/1000000</f>
        <v>0</v>
      </c>
      <c r="CA138" s="110">
        <f>$O138*AQ138*'Cost inputs'!U$12/1000000</f>
        <v>0</v>
      </c>
      <c r="CB138" s="110">
        <f>$O138*AR138*'Cost inputs'!V$12/1000000</f>
        <v>0</v>
      </c>
      <c r="CC138" s="110">
        <f>$O138*AS138*'Cost inputs'!W$12/1000000</f>
        <v>0</v>
      </c>
      <c r="CD138" s="110">
        <f>$O138*AT138*'Cost inputs'!X$12/1000000</f>
        <v>0</v>
      </c>
      <c r="CE138" s="110">
        <f>$O138*AU138*'Cost inputs'!Y$12/1000000</f>
        <v>0</v>
      </c>
      <c r="CF138" s="110">
        <f>$O138*AV138*'Cost inputs'!Z$12/1000000</f>
        <v>0</v>
      </c>
      <c r="CG138" s="110">
        <f>$O138*AW138*'Cost inputs'!AA$12/1000000</f>
        <v>2.9802520469013532E-2</v>
      </c>
      <c r="CH138" s="110">
        <f>$O138*AX138*'Cost inputs'!AB$12/1000000</f>
        <v>3.0458175919331833E-2</v>
      </c>
      <c r="CI138" s="110">
        <f>$O138*AY138*'Cost inputs'!AC$12/1000000</f>
        <v>3.1128255789557132E-2</v>
      </c>
      <c r="CJ138" s="110">
        <f>$O138*AZ138*'Cost inputs'!AD$12/1000000</f>
        <v>3.1813077416927391E-2</v>
      </c>
      <c r="CK138" s="110">
        <f>$O138*BA138*'Cost inputs'!AE$12/1000000</f>
        <v>4.876944768014968E-2</v>
      </c>
      <c r="CL138" s="110">
        <f>$O138*BB138*'Cost inputs'!AF$12/1000000</f>
        <v>4.984237552911297E-2</v>
      </c>
      <c r="CM138" s="110">
        <f>$O138*BC138*'Cost inputs'!AG$12/1000000</f>
        <v>5.0938907790753461E-2</v>
      </c>
      <c r="CN138" s="110">
        <f>$O138*BD138*'Cost inputs'!AH$12/1000000</f>
        <v>5.2059563762150034E-2</v>
      </c>
      <c r="CO138" s="110">
        <f>$O138*BE138*'Cost inputs'!AI$12/1000000</f>
        <v>0.11823305369981631</v>
      </c>
      <c r="CP138" s="110">
        <f>$O138*BF138*'Cost inputs'!AJ$12/1000000</f>
        <v>0.12083418088121226</v>
      </c>
      <c r="CQ138" s="110">
        <f>$O138*BG138*'Cost inputs'!AK$12/1000000</f>
        <v>0.12349253286059891</v>
      </c>
      <c r="CR138" s="131">
        <f t="shared" si="252"/>
        <v>0.68737209179862346</v>
      </c>
      <c r="CS138" s="26"/>
    </row>
    <row r="139" spans="1:97" x14ac:dyDescent="0.3">
      <c r="A139" s="104" t="str">
        <f t="shared" ref="A139:N139" si="281">A24</f>
        <v>Orewa-Hibiscus</v>
      </c>
      <c r="B139" s="104" t="str">
        <f t="shared" si="281"/>
        <v>Dairy Flat (incl W.East new)</v>
      </c>
      <c r="C139" s="104">
        <f t="shared" si="281"/>
        <v>0</v>
      </c>
      <c r="D139" s="104" t="str">
        <f t="shared" si="281"/>
        <v>Wainui East</v>
      </c>
      <c r="E139" s="104">
        <f t="shared" si="281"/>
        <v>0</v>
      </c>
      <c r="F139" s="104">
        <f t="shared" si="281"/>
        <v>8</v>
      </c>
      <c r="G139" s="104">
        <f t="shared" si="281"/>
        <v>0</v>
      </c>
      <c r="H139" s="104">
        <f t="shared" si="281"/>
        <v>0</v>
      </c>
      <c r="I139" s="104">
        <f t="shared" si="281"/>
        <v>0</v>
      </c>
      <c r="J139" s="104">
        <f t="shared" si="281"/>
        <v>8</v>
      </c>
      <c r="K139" s="104">
        <f t="shared" si="281"/>
        <v>0</v>
      </c>
      <c r="L139" s="104">
        <f t="shared" si="281"/>
        <v>0</v>
      </c>
      <c r="M139" s="104">
        <f t="shared" si="281"/>
        <v>0</v>
      </c>
      <c r="N139" s="104">
        <f t="shared" si="281"/>
        <v>0</v>
      </c>
      <c r="O139" s="104">
        <f t="shared" si="246"/>
        <v>8</v>
      </c>
      <c r="P139" s="104" cm="1">
        <f t="array" ref="P139">2024+MATCH(1,0/AB139:BG139)</f>
        <v>2056</v>
      </c>
      <c r="Q139" s="104"/>
      <c r="R139" s="104"/>
      <c r="S139" s="104"/>
      <c r="T139" s="104"/>
      <c r="U139" s="104"/>
      <c r="V139" s="104"/>
      <c r="W139" s="104"/>
      <c r="X139" s="104"/>
      <c r="Y139" s="104"/>
      <c r="Z139" s="104"/>
      <c r="AA139" s="104"/>
      <c r="AB139" s="103">
        <f t="shared" ref="AB139:BG139" si="282">AB24</f>
        <v>0</v>
      </c>
      <c r="AC139" s="103">
        <f t="shared" si="282"/>
        <v>0</v>
      </c>
      <c r="AD139" s="103">
        <f t="shared" si="282"/>
        <v>0</v>
      </c>
      <c r="AE139" s="103">
        <f t="shared" si="282"/>
        <v>0</v>
      </c>
      <c r="AF139" s="103">
        <f t="shared" si="282"/>
        <v>0</v>
      </c>
      <c r="AG139" s="103">
        <f t="shared" si="282"/>
        <v>0</v>
      </c>
      <c r="AH139" s="103">
        <f t="shared" si="282"/>
        <v>0</v>
      </c>
      <c r="AI139" s="103">
        <f t="shared" si="282"/>
        <v>0</v>
      </c>
      <c r="AJ139" s="103">
        <f t="shared" si="282"/>
        <v>0</v>
      </c>
      <c r="AK139" s="103">
        <f t="shared" si="282"/>
        <v>0</v>
      </c>
      <c r="AL139" s="103">
        <f t="shared" si="282"/>
        <v>0</v>
      </c>
      <c r="AM139" s="103">
        <f t="shared" si="282"/>
        <v>0</v>
      </c>
      <c r="AN139" s="103">
        <f t="shared" si="282"/>
        <v>0</v>
      </c>
      <c r="AO139" s="103">
        <f t="shared" si="282"/>
        <v>0</v>
      </c>
      <c r="AP139" s="103">
        <f t="shared" si="282"/>
        <v>0</v>
      </c>
      <c r="AQ139" s="103">
        <f t="shared" si="282"/>
        <v>0</v>
      </c>
      <c r="AR139" s="103">
        <f t="shared" si="282"/>
        <v>0</v>
      </c>
      <c r="AS139" s="103">
        <f t="shared" si="282"/>
        <v>0</v>
      </c>
      <c r="AT139" s="103">
        <f t="shared" si="282"/>
        <v>0</v>
      </c>
      <c r="AU139" s="103">
        <f t="shared" si="282"/>
        <v>0</v>
      </c>
      <c r="AV139" s="103">
        <f t="shared" si="282"/>
        <v>0</v>
      </c>
      <c r="AW139" s="103">
        <f t="shared" si="282"/>
        <v>0.05</v>
      </c>
      <c r="AX139" s="103">
        <f t="shared" si="282"/>
        <v>0.05</v>
      </c>
      <c r="AY139" s="103">
        <f t="shared" si="282"/>
        <v>0.05</v>
      </c>
      <c r="AZ139" s="103">
        <f t="shared" si="282"/>
        <v>0.05</v>
      </c>
      <c r="BA139" s="103">
        <f t="shared" si="282"/>
        <v>7.4999999999999997E-2</v>
      </c>
      <c r="BB139" s="103">
        <f t="shared" si="282"/>
        <v>7.4999999999999997E-2</v>
      </c>
      <c r="BC139" s="103">
        <f t="shared" si="282"/>
        <v>7.4999999999999997E-2</v>
      </c>
      <c r="BD139" s="103">
        <f t="shared" si="282"/>
        <v>7.4999999999999997E-2</v>
      </c>
      <c r="BE139" s="103">
        <f t="shared" si="282"/>
        <v>0.16666666666666666</v>
      </c>
      <c r="BF139" s="103">
        <f t="shared" si="282"/>
        <v>0.16666666666666666</v>
      </c>
      <c r="BG139" s="103">
        <f t="shared" si="282"/>
        <v>0.16666666666666666</v>
      </c>
      <c r="BH139" s="103"/>
      <c r="BI139" s="104"/>
      <c r="BJ139" s="104"/>
      <c r="BK139" s="104"/>
      <c r="BL139" s="110">
        <f>$O139*AB139*'Cost inputs'!F$12/1000000</f>
        <v>0</v>
      </c>
      <c r="BM139" s="110">
        <f>$O139*AC139*'Cost inputs'!G$12/1000000</f>
        <v>0</v>
      </c>
      <c r="BN139" s="110">
        <f>$O139*AD139*'Cost inputs'!H$12/1000000</f>
        <v>0</v>
      </c>
      <c r="BO139" s="110">
        <f>$O139*AE139*'Cost inputs'!I$12/1000000</f>
        <v>0</v>
      </c>
      <c r="BP139" s="110">
        <f>$O139*AF139*'Cost inputs'!J$12/1000000</f>
        <v>0</v>
      </c>
      <c r="BQ139" s="110">
        <f>$O139*AG139*'Cost inputs'!K$12/1000000</f>
        <v>0</v>
      </c>
      <c r="BR139" s="110">
        <f>$O139*AH139*'Cost inputs'!L$12/1000000</f>
        <v>0</v>
      </c>
      <c r="BS139" s="110">
        <f>$O139*AI139*'Cost inputs'!M$12/1000000</f>
        <v>0</v>
      </c>
      <c r="BT139" s="110">
        <f>$O139*AJ139*'Cost inputs'!N$12/1000000</f>
        <v>0</v>
      </c>
      <c r="BU139" s="110">
        <f>$O139*AK139*'Cost inputs'!O$12/1000000</f>
        <v>0</v>
      </c>
      <c r="BV139" s="110">
        <f>$O139*AL139*'Cost inputs'!P$12/1000000</f>
        <v>0</v>
      </c>
      <c r="BW139" s="110">
        <f>$O139*AM139*'Cost inputs'!Q$12/1000000</f>
        <v>0</v>
      </c>
      <c r="BX139" s="110">
        <f>$O139*AN139*'Cost inputs'!R$12/1000000</f>
        <v>0</v>
      </c>
      <c r="BY139" s="110">
        <f>$O139*AO139*'Cost inputs'!S$12/1000000</f>
        <v>0</v>
      </c>
      <c r="BZ139" s="110">
        <f>$O139*AP139*'Cost inputs'!T$12/1000000</f>
        <v>0</v>
      </c>
      <c r="CA139" s="110">
        <f>$O139*AQ139*'Cost inputs'!U$12/1000000</f>
        <v>0</v>
      </c>
      <c r="CB139" s="110">
        <f>$O139*AR139*'Cost inputs'!V$12/1000000</f>
        <v>0</v>
      </c>
      <c r="CC139" s="110">
        <f>$O139*AS139*'Cost inputs'!W$12/1000000</f>
        <v>0</v>
      </c>
      <c r="CD139" s="110">
        <f>$O139*AT139*'Cost inputs'!X$12/1000000</f>
        <v>0</v>
      </c>
      <c r="CE139" s="110">
        <f>$O139*AU139*'Cost inputs'!Y$12/1000000</f>
        <v>0</v>
      </c>
      <c r="CF139" s="110">
        <f>$O139*AV139*'Cost inputs'!Z$12/1000000</f>
        <v>0</v>
      </c>
      <c r="CG139" s="110">
        <f>$O139*AW139*'Cost inputs'!AA$12/1000000</f>
        <v>2.1674560341100751E-2</v>
      </c>
      <c r="CH139" s="110">
        <f>$O139*AX139*'Cost inputs'!AB$12/1000000</f>
        <v>2.2151400668604968E-2</v>
      </c>
      <c r="CI139" s="110">
        <f>$O139*AY139*'Cost inputs'!AC$12/1000000</f>
        <v>2.2638731483314276E-2</v>
      </c>
      <c r="CJ139" s="110">
        <f>$O139*AZ139*'Cost inputs'!AD$12/1000000</f>
        <v>2.3136783575947194E-2</v>
      </c>
      <c r="CK139" s="110">
        <f>$O139*BA139*'Cost inputs'!AE$12/1000000</f>
        <v>3.5468689221927044E-2</v>
      </c>
      <c r="CL139" s="110">
        <f>$O139*BB139*'Cost inputs'!AF$12/1000000</f>
        <v>3.6249000384809438E-2</v>
      </c>
      <c r="CM139" s="110">
        <f>$O139*BC139*'Cost inputs'!AG$12/1000000</f>
        <v>3.7046478393275246E-2</v>
      </c>
      <c r="CN139" s="110">
        <f>$O139*BD139*'Cost inputs'!AH$12/1000000</f>
        <v>3.7861500917927296E-2</v>
      </c>
      <c r="CO139" s="110">
        <f>$O139*BE139*'Cost inputs'!AI$12/1000000</f>
        <v>8.5987675418048221E-2</v>
      </c>
      <c r="CP139" s="110">
        <f>$O139*BF139*'Cost inputs'!AJ$12/1000000</f>
        <v>8.7879404277245277E-2</v>
      </c>
      <c r="CQ139" s="110">
        <f>$O139*BG139*'Cost inputs'!AK$12/1000000</f>
        <v>8.9812751171344671E-2</v>
      </c>
      <c r="CR139" s="131">
        <f t="shared" si="252"/>
        <v>0.49990697585354438</v>
      </c>
      <c r="CS139" s="26"/>
    </row>
    <row r="140" spans="1:97" x14ac:dyDescent="0.3">
      <c r="A140" s="104" t="str">
        <f t="shared" ref="A140:N140" si="283">A25</f>
        <v>Orewa-Hibiscus</v>
      </c>
      <c r="B140" s="104" t="str">
        <f t="shared" si="283"/>
        <v>Dairy Flat (incl W.East new)</v>
      </c>
      <c r="C140" s="104">
        <f t="shared" si="283"/>
        <v>0</v>
      </c>
      <c r="D140" s="104" t="str">
        <f t="shared" si="283"/>
        <v>Wainui East</v>
      </c>
      <c r="E140" s="104">
        <f t="shared" si="283"/>
        <v>0</v>
      </c>
      <c r="F140" s="104">
        <f t="shared" si="283"/>
        <v>0</v>
      </c>
      <c r="G140" s="104">
        <f t="shared" si="283"/>
        <v>2</v>
      </c>
      <c r="H140" s="104">
        <f t="shared" si="283"/>
        <v>0</v>
      </c>
      <c r="I140" s="104">
        <f t="shared" si="283"/>
        <v>0</v>
      </c>
      <c r="J140" s="104">
        <f t="shared" si="283"/>
        <v>0</v>
      </c>
      <c r="K140" s="104">
        <f t="shared" si="283"/>
        <v>2</v>
      </c>
      <c r="L140" s="104">
        <f t="shared" si="283"/>
        <v>0</v>
      </c>
      <c r="M140" s="104">
        <f t="shared" si="283"/>
        <v>0</v>
      </c>
      <c r="N140" s="104">
        <f t="shared" si="283"/>
        <v>0</v>
      </c>
      <c r="O140" s="104">
        <f t="shared" si="246"/>
        <v>2</v>
      </c>
      <c r="P140" s="104" cm="1">
        <f t="array" ref="P140">2024+MATCH(1,0/AB140:BG140)</f>
        <v>2056</v>
      </c>
      <c r="Q140" s="104"/>
      <c r="R140" s="104"/>
      <c r="S140" s="104"/>
      <c r="T140" s="104"/>
      <c r="U140" s="104"/>
      <c r="V140" s="104"/>
      <c r="W140" s="104"/>
      <c r="X140" s="104"/>
      <c r="Y140" s="104"/>
      <c r="Z140" s="104"/>
      <c r="AA140" s="104"/>
      <c r="AB140" s="103">
        <f t="shared" ref="AB140:BG140" si="284">AB25</f>
        <v>0</v>
      </c>
      <c r="AC140" s="103">
        <f t="shared" si="284"/>
        <v>0</v>
      </c>
      <c r="AD140" s="103">
        <f t="shared" si="284"/>
        <v>0</v>
      </c>
      <c r="AE140" s="103">
        <f t="shared" si="284"/>
        <v>0</v>
      </c>
      <c r="AF140" s="103">
        <f t="shared" si="284"/>
        <v>0</v>
      </c>
      <c r="AG140" s="103">
        <f t="shared" si="284"/>
        <v>0</v>
      </c>
      <c r="AH140" s="103">
        <f t="shared" si="284"/>
        <v>0</v>
      </c>
      <c r="AI140" s="103">
        <f t="shared" si="284"/>
        <v>0</v>
      </c>
      <c r="AJ140" s="103">
        <f t="shared" si="284"/>
        <v>0</v>
      </c>
      <c r="AK140" s="103">
        <f t="shared" si="284"/>
        <v>0</v>
      </c>
      <c r="AL140" s="103">
        <f t="shared" si="284"/>
        <v>0</v>
      </c>
      <c r="AM140" s="103">
        <f t="shared" si="284"/>
        <v>0</v>
      </c>
      <c r="AN140" s="103">
        <f t="shared" si="284"/>
        <v>0</v>
      </c>
      <c r="AO140" s="103">
        <f t="shared" si="284"/>
        <v>0</v>
      </c>
      <c r="AP140" s="103">
        <f t="shared" si="284"/>
        <v>0</v>
      </c>
      <c r="AQ140" s="103">
        <f t="shared" si="284"/>
        <v>0</v>
      </c>
      <c r="AR140" s="103">
        <f t="shared" si="284"/>
        <v>0</v>
      </c>
      <c r="AS140" s="103">
        <f t="shared" si="284"/>
        <v>0</v>
      </c>
      <c r="AT140" s="103">
        <f t="shared" si="284"/>
        <v>4.9999999999999996E-2</v>
      </c>
      <c r="AU140" s="103">
        <f t="shared" si="284"/>
        <v>4.9999999999999996E-2</v>
      </c>
      <c r="AV140" s="103">
        <f t="shared" si="284"/>
        <v>4.9999999999999996E-2</v>
      </c>
      <c r="AW140" s="103">
        <f t="shared" si="284"/>
        <v>0.125</v>
      </c>
      <c r="AX140" s="103">
        <f t="shared" si="284"/>
        <v>0.125</v>
      </c>
      <c r="AY140" s="103">
        <f t="shared" si="284"/>
        <v>0.125</v>
      </c>
      <c r="AZ140" s="103">
        <f t="shared" si="284"/>
        <v>0.125</v>
      </c>
      <c r="BA140" s="103">
        <f t="shared" si="284"/>
        <v>6.25E-2</v>
      </c>
      <c r="BB140" s="103">
        <f t="shared" si="284"/>
        <v>6.25E-2</v>
      </c>
      <c r="BC140" s="103">
        <f t="shared" si="284"/>
        <v>6.25E-2</v>
      </c>
      <c r="BD140" s="103">
        <f t="shared" si="284"/>
        <v>6.25E-2</v>
      </c>
      <c r="BE140" s="103">
        <f t="shared" si="284"/>
        <v>3.3333333333333333E-2</v>
      </c>
      <c r="BF140" s="103">
        <f t="shared" si="284"/>
        <v>3.3333333333333333E-2</v>
      </c>
      <c r="BG140" s="103">
        <f t="shared" si="284"/>
        <v>3.3333333333333333E-2</v>
      </c>
      <c r="BH140" s="103"/>
      <c r="BI140" s="104"/>
      <c r="BJ140" s="104"/>
      <c r="BK140" s="104"/>
      <c r="BL140" s="110">
        <f>$O140*AB140*'Cost inputs'!F$12/1000000</f>
        <v>0</v>
      </c>
      <c r="BM140" s="110">
        <f>$O140*AC140*'Cost inputs'!G$12/1000000</f>
        <v>0</v>
      </c>
      <c r="BN140" s="110">
        <f>$O140*AD140*'Cost inputs'!H$12/1000000</f>
        <v>0</v>
      </c>
      <c r="BO140" s="110">
        <f>$O140*AE140*'Cost inputs'!I$12/1000000</f>
        <v>0</v>
      </c>
      <c r="BP140" s="110">
        <f>$O140*AF140*'Cost inputs'!J$12/1000000</f>
        <v>0</v>
      </c>
      <c r="BQ140" s="110">
        <f>$O140*AG140*'Cost inputs'!K$12/1000000</f>
        <v>0</v>
      </c>
      <c r="BR140" s="110">
        <f>$O140*AH140*'Cost inputs'!L$12/1000000</f>
        <v>0</v>
      </c>
      <c r="BS140" s="110">
        <f>$O140*AI140*'Cost inputs'!M$12/1000000</f>
        <v>0</v>
      </c>
      <c r="BT140" s="110">
        <f>$O140*AJ140*'Cost inputs'!N$12/1000000</f>
        <v>0</v>
      </c>
      <c r="BU140" s="110">
        <f>$O140*AK140*'Cost inputs'!O$12/1000000</f>
        <v>0</v>
      </c>
      <c r="BV140" s="110">
        <f>$O140*AL140*'Cost inputs'!P$12/1000000</f>
        <v>0</v>
      </c>
      <c r="BW140" s="110">
        <f>$O140*AM140*'Cost inputs'!Q$12/1000000</f>
        <v>0</v>
      </c>
      <c r="BX140" s="110">
        <f>$O140*AN140*'Cost inputs'!R$12/1000000</f>
        <v>0</v>
      </c>
      <c r="BY140" s="110">
        <f>$O140*AO140*'Cost inputs'!S$12/1000000</f>
        <v>0</v>
      </c>
      <c r="BZ140" s="110">
        <f>$O140*AP140*'Cost inputs'!T$12/1000000</f>
        <v>0</v>
      </c>
      <c r="CA140" s="110">
        <f>$O140*AQ140*'Cost inputs'!U$12/1000000</f>
        <v>0</v>
      </c>
      <c r="CB140" s="110">
        <f>$O140*AR140*'Cost inputs'!V$12/1000000</f>
        <v>0</v>
      </c>
      <c r="CC140" s="110">
        <f>$O140*AS140*'Cost inputs'!W$12/1000000</f>
        <v>0</v>
      </c>
      <c r="CD140" s="110">
        <f>$O140*AT140*'Cost inputs'!X$12/1000000</f>
        <v>5.0761870641821147E-3</v>
      </c>
      <c r="CE140" s="110">
        <f>$O140*AU140*'Cost inputs'!Y$12/1000000</f>
        <v>5.1878631795941217E-3</v>
      </c>
      <c r="CF140" s="110">
        <f>$O140*AV140*'Cost inputs'!Z$12/1000000</f>
        <v>5.3019961695451928E-3</v>
      </c>
      <c r="CG140" s="110">
        <f>$O140*AW140*'Cost inputs'!AA$12/1000000</f>
        <v>1.3546600213187968E-2</v>
      </c>
      <c r="CH140" s="110">
        <f>$O140*AX140*'Cost inputs'!AB$12/1000000</f>
        <v>1.3844625417878103E-2</v>
      </c>
      <c r="CI140" s="110">
        <f>$O140*AY140*'Cost inputs'!AC$12/1000000</f>
        <v>1.4149207177071422E-2</v>
      </c>
      <c r="CJ140" s="110">
        <f>$O140*AZ140*'Cost inputs'!AD$12/1000000</f>
        <v>1.4460489734966993E-2</v>
      </c>
      <c r="CK140" s="110">
        <f>$O140*BA140*'Cost inputs'!AE$12/1000000</f>
        <v>7.3893102545681344E-3</v>
      </c>
      <c r="CL140" s="110">
        <f>$O140*BB140*'Cost inputs'!AF$12/1000000</f>
        <v>7.5518750801686326E-3</v>
      </c>
      <c r="CM140" s="110">
        <f>$O140*BC140*'Cost inputs'!AG$12/1000000</f>
        <v>7.718016331932343E-3</v>
      </c>
      <c r="CN140" s="110">
        <f>$O140*BD140*'Cost inputs'!AH$12/1000000</f>
        <v>7.8878126912348551E-3</v>
      </c>
      <c r="CO140" s="110">
        <f>$O140*BE140*'Cost inputs'!AI$12/1000000</f>
        <v>4.2993837709024109E-3</v>
      </c>
      <c r="CP140" s="110">
        <f>$O140*BF140*'Cost inputs'!AJ$12/1000000</f>
        <v>4.3939702138622643E-3</v>
      </c>
      <c r="CQ140" s="110">
        <f>$O140*BG140*'Cost inputs'!AK$12/1000000</f>
        <v>4.4906375585672337E-3</v>
      </c>
      <c r="CR140" s="131">
        <f t="shared" si="252"/>
        <v>0.1152979748576618</v>
      </c>
      <c r="CS140" s="26"/>
    </row>
    <row r="141" spans="1:97" x14ac:dyDescent="0.3">
      <c r="A141" s="104" t="str">
        <f t="shared" ref="A141:N141" si="285">A26</f>
        <v>Orewa-Hibiscus</v>
      </c>
      <c r="B141" s="104" t="str">
        <f t="shared" si="285"/>
        <v>Wainui east MD</v>
      </c>
      <c r="C141" s="104">
        <f t="shared" si="285"/>
        <v>0</v>
      </c>
      <c r="D141" s="104" t="str">
        <f t="shared" si="285"/>
        <v>Milldale LZ</v>
      </c>
      <c r="E141" s="104" t="str">
        <f t="shared" si="285"/>
        <v>to be acq, assume SULs</v>
      </c>
      <c r="F141" s="104">
        <f t="shared" si="285"/>
        <v>7</v>
      </c>
      <c r="G141" s="104">
        <f t="shared" si="285"/>
        <v>0</v>
      </c>
      <c r="H141" s="104">
        <f t="shared" si="285"/>
        <v>0</v>
      </c>
      <c r="I141" s="104">
        <f t="shared" si="285"/>
        <v>0</v>
      </c>
      <c r="J141" s="104">
        <f t="shared" si="285"/>
        <v>7</v>
      </c>
      <c r="K141" s="104">
        <f t="shared" si="285"/>
        <v>0</v>
      </c>
      <c r="L141" s="104">
        <f t="shared" si="285"/>
        <v>0</v>
      </c>
      <c r="M141" s="104">
        <f t="shared" si="285"/>
        <v>0</v>
      </c>
      <c r="N141" s="104">
        <f t="shared" si="285"/>
        <v>0</v>
      </c>
      <c r="O141" s="104">
        <f t="shared" si="246"/>
        <v>7</v>
      </c>
      <c r="P141" s="104" cm="1">
        <f t="array" ref="P141">2024+MATCH(1,0/AB141:BG141)</f>
        <v>2041</v>
      </c>
      <c r="Q141" s="104"/>
      <c r="R141" s="104"/>
      <c r="S141" s="104"/>
      <c r="T141" s="104"/>
      <c r="U141" s="104"/>
      <c r="V141" s="104"/>
      <c r="W141" s="104"/>
      <c r="X141" s="104"/>
      <c r="Y141" s="104"/>
      <c r="Z141" s="104"/>
      <c r="AA141" s="104"/>
      <c r="AB141" s="103">
        <f t="shared" ref="AB141:BG141" si="286">AB26</f>
        <v>7.2277777590649045E-2</v>
      </c>
      <c r="AC141" s="103">
        <f t="shared" si="286"/>
        <v>3.7144039148275132E-2</v>
      </c>
      <c r="AD141" s="103">
        <f t="shared" si="286"/>
        <v>4.693886925000864E-2</v>
      </c>
      <c r="AE141" s="103">
        <f t="shared" si="286"/>
        <v>1.9207251627271639E-2</v>
      </c>
      <c r="AF141" s="103">
        <f t="shared" si="286"/>
        <v>3.0671470308457977E-2</v>
      </c>
      <c r="AG141" s="103">
        <f t="shared" si="286"/>
        <v>7.0574517253221988E-2</v>
      </c>
      <c r="AH141" s="103">
        <f t="shared" si="286"/>
        <v>5.784797696261839E-2</v>
      </c>
      <c r="AI141" s="103">
        <f t="shared" si="286"/>
        <v>6.2267232328672428E-2</v>
      </c>
      <c r="AJ141" s="103">
        <f t="shared" si="286"/>
        <v>4.8241630734504208E-2</v>
      </c>
      <c r="AK141" s="103">
        <f t="shared" si="286"/>
        <v>1.4129803340614668E-2</v>
      </c>
      <c r="AL141" s="103">
        <f t="shared" si="286"/>
        <v>0.10472734996525389</v>
      </c>
      <c r="AM141" s="103">
        <f t="shared" si="286"/>
        <v>0.10601471966704468</v>
      </c>
      <c r="AN141" s="103">
        <f t="shared" si="286"/>
        <v>0.10750477164694536</v>
      </c>
      <c r="AO141" s="103">
        <f t="shared" si="286"/>
        <v>0.10314837920794254</v>
      </c>
      <c r="AP141" s="103">
        <f t="shared" si="286"/>
        <v>4.8886873976350477E-2</v>
      </c>
      <c r="AQ141" s="103">
        <f t="shared" si="286"/>
        <v>5.2554477979523215E-2</v>
      </c>
      <c r="AR141" s="103">
        <f t="shared" si="286"/>
        <v>1.7862859012645727E-2</v>
      </c>
      <c r="AS141" s="103">
        <f t="shared" si="286"/>
        <v>0</v>
      </c>
      <c r="AT141" s="103">
        <f t="shared" si="286"/>
        <v>0</v>
      </c>
      <c r="AU141" s="103">
        <f t="shared" si="286"/>
        <v>0</v>
      </c>
      <c r="AV141" s="103">
        <f t="shared" si="286"/>
        <v>0</v>
      </c>
      <c r="AW141" s="103">
        <f t="shared" si="286"/>
        <v>0</v>
      </c>
      <c r="AX141" s="103">
        <f t="shared" si="286"/>
        <v>0</v>
      </c>
      <c r="AY141" s="103">
        <f t="shared" si="286"/>
        <v>0</v>
      </c>
      <c r="AZ141" s="103">
        <f t="shared" si="286"/>
        <v>0</v>
      </c>
      <c r="BA141" s="103">
        <f t="shared" si="286"/>
        <v>0</v>
      </c>
      <c r="BB141" s="103">
        <f t="shared" si="286"/>
        <v>0</v>
      </c>
      <c r="BC141" s="103">
        <f t="shared" si="286"/>
        <v>0</v>
      </c>
      <c r="BD141" s="103">
        <f t="shared" si="286"/>
        <v>0</v>
      </c>
      <c r="BE141" s="103">
        <f t="shared" si="286"/>
        <v>0</v>
      </c>
      <c r="BF141" s="103">
        <f t="shared" si="286"/>
        <v>0</v>
      </c>
      <c r="BG141" s="103">
        <f t="shared" si="286"/>
        <v>0</v>
      </c>
      <c r="BH141" s="103"/>
      <c r="BI141" s="104"/>
      <c r="BJ141" s="104"/>
      <c r="BK141" s="104"/>
      <c r="BL141" s="110">
        <f>$O141*AB141*'Cost inputs'!F$12/1000000</f>
        <v>1.7007719976516639E-2</v>
      </c>
      <c r="BM141" s="110">
        <f>$O141*AC141*'Cost inputs'!G$12/1000000</f>
        <v>9.0288150401552185E-3</v>
      </c>
      <c r="BN141" s="110">
        <f>$O141*AD141*'Cost inputs'!H$12/1000000</f>
        <v>1.1774811099657773E-2</v>
      </c>
      <c r="BO141" s="110">
        <f>$O141*AE141*'Cost inputs'!I$12/1000000</f>
        <v>4.9242199920927826E-3</v>
      </c>
      <c r="BP141" s="110">
        <f>$O141*AF141*'Cost inputs'!J$12/1000000</f>
        <v>8.0363290779603483E-3</v>
      </c>
      <c r="BQ141" s="110">
        <f>$O141*AG141*'Cost inputs'!K$12/1000000</f>
        <v>1.889826474992537E-2</v>
      </c>
      <c r="BR141" s="110">
        <f>$O141*AH141*'Cost inputs'!L$12/1000000</f>
        <v>1.583117260758387E-2</v>
      </c>
      <c r="BS141" s="110">
        <f>$O141*AI141*'Cost inputs'!M$12/1000000</f>
        <v>1.7415476708963849E-2</v>
      </c>
      <c r="BT141" s="110">
        <f>$O141*AJ141*'Cost inputs'!N$12/1000000</f>
        <v>1.3789505109992118E-2</v>
      </c>
      <c r="BU141" s="110">
        <f>$O141*AK141*'Cost inputs'!O$12/1000000</f>
        <v>4.1277531093963163E-3</v>
      </c>
      <c r="BV141" s="110">
        <f>$O141*AL141*'Cost inputs'!P$12/1000000</f>
        <v>3.1267172230634036E-2</v>
      </c>
      <c r="BW141" s="110">
        <f>$O141*AM141*'Cost inputs'!Q$12/1000000</f>
        <v>3.2347860142643688E-2</v>
      </c>
      <c r="BX141" s="110">
        <f>$O141*AN141*'Cost inputs'!R$12/1000000</f>
        <v>3.3524169229123414E-2</v>
      </c>
      <c r="BY141" s="110">
        <f>$O141*AO141*'Cost inputs'!S$12/1000000</f>
        <v>3.2873321509198028E-2</v>
      </c>
      <c r="BZ141" s="110">
        <f>$O141*AP141*'Cost inputs'!T$12/1000000</f>
        <v>1.5922979738351908E-2</v>
      </c>
      <c r="CA141" s="110">
        <f>$O141*AQ141*'Cost inputs'!U$12/1000000</f>
        <v>1.7494144010474985E-2</v>
      </c>
      <c r="CB141" s="110">
        <f>$O141*AR141*'Cost inputs'!V$12/1000000</f>
        <v>6.0769384398909696E-3</v>
      </c>
      <c r="CC141" s="110">
        <f>$O141*AS141*'Cost inputs'!W$12/1000000</f>
        <v>0</v>
      </c>
      <c r="CD141" s="110">
        <f>$O141*AT141*'Cost inputs'!X$12/1000000</f>
        <v>0</v>
      </c>
      <c r="CE141" s="110">
        <f>$O141*AU141*'Cost inputs'!Y$12/1000000</f>
        <v>0</v>
      </c>
      <c r="CF141" s="110">
        <f>$O141*AV141*'Cost inputs'!Z$12/1000000</f>
        <v>0</v>
      </c>
      <c r="CG141" s="110">
        <f>$O141*AW141*'Cost inputs'!AA$12/1000000</f>
        <v>0</v>
      </c>
      <c r="CH141" s="110">
        <f>$O141*AX141*'Cost inputs'!AB$12/1000000</f>
        <v>0</v>
      </c>
      <c r="CI141" s="110">
        <f>$O141*AY141*'Cost inputs'!AC$12/1000000</f>
        <v>0</v>
      </c>
      <c r="CJ141" s="110">
        <f>$O141*AZ141*'Cost inputs'!AD$12/1000000</f>
        <v>0</v>
      </c>
      <c r="CK141" s="110">
        <f>$O141*BA141*'Cost inputs'!AE$12/1000000</f>
        <v>0</v>
      </c>
      <c r="CL141" s="110">
        <f>$O141*BB141*'Cost inputs'!AF$12/1000000</f>
        <v>0</v>
      </c>
      <c r="CM141" s="110">
        <f>$O141*BC141*'Cost inputs'!AG$12/1000000</f>
        <v>0</v>
      </c>
      <c r="CN141" s="110">
        <f>$O141*BD141*'Cost inputs'!AH$12/1000000</f>
        <v>0</v>
      </c>
      <c r="CO141" s="110">
        <f>$O141*BE141*'Cost inputs'!AI$12/1000000</f>
        <v>0</v>
      </c>
      <c r="CP141" s="110">
        <f>$O141*BF141*'Cost inputs'!AJ$12/1000000</f>
        <v>0</v>
      </c>
      <c r="CQ141" s="110">
        <f>$O141*BG141*'Cost inputs'!AK$12/1000000</f>
        <v>0</v>
      </c>
      <c r="CR141" s="131">
        <f t="shared" si="252"/>
        <v>0.29034065277256127</v>
      </c>
      <c r="CS141" s="26"/>
    </row>
    <row r="142" spans="1:97" x14ac:dyDescent="0.3">
      <c r="A142" s="104" t="str">
        <f t="shared" ref="A142:N142" si="287">A27</f>
        <v>Orewa-Hibiscus</v>
      </c>
      <c r="B142" s="104" t="str">
        <f t="shared" si="287"/>
        <v>Wainui east MD</v>
      </c>
      <c r="C142" s="104" t="str">
        <f t="shared" si="287"/>
        <v>N.009960.16.05 - Waterloo res Milldale-dvp new subrb prk</v>
      </c>
      <c r="D142" s="104" t="str">
        <f t="shared" si="287"/>
        <v>Milldale LZ</v>
      </c>
      <c r="E142" s="104" t="str">
        <f t="shared" si="287"/>
        <v>CCS budgeted development; to be acq, assume SULs</v>
      </c>
      <c r="F142" s="104">
        <f t="shared" si="287"/>
        <v>0</v>
      </c>
      <c r="G142" s="104">
        <f t="shared" si="287"/>
        <v>1</v>
      </c>
      <c r="H142" s="104">
        <f t="shared" si="287"/>
        <v>0</v>
      </c>
      <c r="I142" s="104">
        <f t="shared" si="287"/>
        <v>0</v>
      </c>
      <c r="J142" s="104">
        <f t="shared" si="287"/>
        <v>0</v>
      </c>
      <c r="K142" s="104">
        <f t="shared" si="287"/>
        <v>1</v>
      </c>
      <c r="L142" s="104">
        <f t="shared" si="287"/>
        <v>0</v>
      </c>
      <c r="M142" s="104">
        <f t="shared" si="287"/>
        <v>0</v>
      </c>
      <c r="N142" s="104">
        <f t="shared" si="287"/>
        <v>0</v>
      </c>
      <c r="O142" s="104">
        <f t="shared" si="246"/>
        <v>1</v>
      </c>
      <c r="P142" s="104" cm="1">
        <f t="array" ref="P142">2024+MATCH(1,0/AB142:BG142)</f>
        <v>2041</v>
      </c>
      <c r="Q142" s="104"/>
      <c r="R142" s="104"/>
      <c r="S142" s="104"/>
      <c r="T142" s="104"/>
      <c r="U142" s="104"/>
      <c r="V142" s="104"/>
      <c r="W142" s="104"/>
      <c r="X142" s="104"/>
      <c r="Y142" s="104"/>
      <c r="Z142" s="104"/>
      <c r="AA142" s="104"/>
      <c r="AB142" s="103">
        <f t="shared" ref="AB142:BG142" si="288">AB27</f>
        <v>7.2277777590649045E-2</v>
      </c>
      <c r="AC142" s="103">
        <f t="shared" si="288"/>
        <v>3.7144039148275132E-2</v>
      </c>
      <c r="AD142" s="103">
        <f t="shared" si="288"/>
        <v>4.693886925000864E-2</v>
      </c>
      <c r="AE142" s="103">
        <f t="shared" si="288"/>
        <v>1.9207251627271639E-2</v>
      </c>
      <c r="AF142" s="103">
        <f t="shared" si="288"/>
        <v>3.0671470308457977E-2</v>
      </c>
      <c r="AG142" s="103">
        <f t="shared" si="288"/>
        <v>7.0574517253221988E-2</v>
      </c>
      <c r="AH142" s="103">
        <f t="shared" si="288"/>
        <v>5.784797696261839E-2</v>
      </c>
      <c r="AI142" s="103">
        <f t="shared" si="288"/>
        <v>6.2267232328672428E-2</v>
      </c>
      <c r="AJ142" s="103">
        <f t="shared" si="288"/>
        <v>4.8241630734504208E-2</v>
      </c>
      <c r="AK142" s="103">
        <f t="shared" si="288"/>
        <v>1.4129803340614668E-2</v>
      </c>
      <c r="AL142" s="103">
        <f t="shared" si="288"/>
        <v>0.10472734996525389</v>
      </c>
      <c r="AM142" s="103">
        <f t="shared" si="288"/>
        <v>0.10601471966704468</v>
      </c>
      <c r="AN142" s="103">
        <f t="shared" si="288"/>
        <v>0.10750477164694536</v>
      </c>
      <c r="AO142" s="103">
        <f t="shared" si="288"/>
        <v>0.10314837920794254</v>
      </c>
      <c r="AP142" s="103">
        <f t="shared" si="288"/>
        <v>4.8886873976350477E-2</v>
      </c>
      <c r="AQ142" s="103">
        <f t="shared" si="288"/>
        <v>5.2554477979523215E-2</v>
      </c>
      <c r="AR142" s="103">
        <f t="shared" si="288"/>
        <v>1.7862859012645727E-2</v>
      </c>
      <c r="AS142" s="103">
        <f t="shared" si="288"/>
        <v>0</v>
      </c>
      <c r="AT142" s="103">
        <f t="shared" si="288"/>
        <v>0</v>
      </c>
      <c r="AU142" s="103">
        <f t="shared" si="288"/>
        <v>0</v>
      </c>
      <c r="AV142" s="103">
        <f t="shared" si="288"/>
        <v>0</v>
      </c>
      <c r="AW142" s="103">
        <f t="shared" si="288"/>
        <v>0</v>
      </c>
      <c r="AX142" s="103">
        <f t="shared" si="288"/>
        <v>0</v>
      </c>
      <c r="AY142" s="103">
        <f t="shared" si="288"/>
        <v>0</v>
      </c>
      <c r="AZ142" s="103">
        <f t="shared" si="288"/>
        <v>0</v>
      </c>
      <c r="BA142" s="103">
        <f t="shared" si="288"/>
        <v>0</v>
      </c>
      <c r="BB142" s="103">
        <f t="shared" si="288"/>
        <v>0</v>
      </c>
      <c r="BC142" s="103">
        <f t="shared" si="288"/>
        <v>0</v>
      </c>
      <c r="BD142" s="103">
        <f t="shared" si="288"/>
        <v>0</v>
      </c>
      <c r="BE142" s="103">
        <f t="shared" si="288"/>
        <v>0</v>
      </c>
      <c r="BF142" s="103">
        <f t="shared" si="288"/>
        <v>0</v>
      </c>
      <c r="BG142" s="103">
        <f t="shared" si="288"/>
        <v>0</v>
      </c>
      <c r="BH142" s="103"/>
      <c r="BI142" s="104"/>
      <c r="BJ142" s="104"/>
      <c r="BK142" s="104"/>
      <c r="BL142" s="110">
        <f>$O142*AB142*'Cost inputs'!F$12/1000000</f>
        <v>2.42967428235952E-3</v>
      </c>
      <c r="BM142" s="110">
        <f>$O142*AC142*'Cost inputs'!G$12/1000000</f>
        <v>1.2898307200221741E-3</v>
      </c>
      <c r="BN142" s="110">
        <f>$O142*AD142*'Cost inputs'!H$12/1000000</f>
        <v>1.6821158713796818E-3</v>
      </c>
      <c r="BO142" s="110">
        <f>$O142*AE142*'Cost inputs'!I$12/1000000</f>
        <v>7.0345999887039734E-4</v>
      </c>
      <c r="BP142" s="110">
        <f>$O142*AF142*'Cost inputs'!J$12/1000000</f>
        <v>1.1480470111371926E-3</v>
      </c>
      <c r="BQ142" s="110">
        <f>$O142*AG142*'Cost inputs'!K$12/1000000</f>
        <v>2.6997521071321956E-3</v>
      </c>
      <c r="BR142" s="110">
        <f>$O142*AH142*'Cost inputs'!L$12/1000000</f>
        <v>2.2615960867976956E-3</v>
      </c>
      <c r="BS142" s="110">
        <f>$O142*AI142*'Cost inputs'!M$12/1000000</f>
        <v>2.4879252441376929E-3</v>
      </c>
      <c r="BT142" s="110">
        <f>$O142*AJ142*'Cost inputs'!N$12/1000000</f>
        <v>1.9699293014274455E-3</v>
      </c>
      <c r="BU142" s="110">
        <f>$O142*AK142*'Cost inputs'!O$12/1000000</f>
        <v>5.8967901562804515E-4</v>
      </c>
      <c r="BV142" s="110">
        <f>$O142*AL142*'Cost inputs'!P$12/1000000</f>
        <v>4.4667388900905772E-3</v>
      </c>
      <c r="BW142" s="110">
        <f>$O142*AM142*'Cost inputs'!Q$12/1000000</f>
        <v>4.6211228775205259E-3</v>
      </c>
      <c r="BX142" s="110">
        <f>$O142*AN142*'Cost inputs'!R$12/1000000</f>
        <v>4.7891670327319166E-3</v>
      </c>
      <c r="BY142" s="110">
        <f>$O142*AO142*'Cost inputs'!S$12/1000000</f>
        <v>4.6961887870282911E-3</v>
      </c>
      <c r="BZ142" s="110">
        <f>$O142*AP142*'Cost inputs'!T$12/1000000</f>
        <v>2.27471139119313E-3</v>
      </c>
      <c r="CA142" s="110">
        <f>$O142*AQ142*'Cost inputs'!U$12/1000000</f>
        <v>2.499163430067855E-3</v>
      </c>
      <c r="CB142" s="110">
        <f>$O142*AR142*'Cost inputs'!V$12/1000000</f>
        <v>8.6813406284156713E-4</v>
      </c>
      <c r="CC142" s="110">
        <f>$O142*AS142*'Cost inputs'!W$12/1000000</f>
        <v>0</v>
      </c>
      <c r="CD142" s="110">
        <f>$O142*AT142*'Cost inputs'!X$12/1000000</f>
        <v>0</v>
      </c>
      <c r="CE142" s="110">
        <f>$O142*AU142*'Cost inputs'!Y$12/1000000</f>
        <v>0</v>
      </c>
      <c r="CF142" s="110">
        <f>$O142*AV142*'Cost inputs'!Z$12/1000000</f>
        <v>0</v>
      </c>
      <c r="CG142" s="110">
        <f>$O142*AW142*'Cost inputs'!AA$12/1000000</f>
        <v>0</v>
      </c>
      <c r="CH142" s="110">
        <f>$O142*AX142*'Cost inputs'!AB$12/1000000</f>
        <v>0</v>
      </c>
      <c r="CI142" s="110">
        <f>$O142*AY142*'Cost inputs'!AC$12/1000000</f>
        <v>0</v>
      </c>
      <c r="CJ142" s="110">
        <f>$O142*AZ142*'Cost inputs'!AD$12/1000000</f>
        <v>0</v>
      </c>
      <c r="CK142" s="110">
        <f>$O142*BA142*'Cost inputs'!AE$12/1000000</f>
        <v>0</v>
      </c>
      <c r="CL142" s="110">
        <f>$O142*BB142*'Cost inputs'!AF$12/1000000</f>
        <v>0</v>
      </c>
      <c r="CM142" s="110">
        <f>$O142*BC142*'Cost inputs'!AG$12/1000000</f>
        <v>0</v>
      </c>
      <c r="CN142" s="110">
        <f>$O142*BD142*'Cost inputs'!AH$12/1000000</f>
        <v>0</v>
      </c>
      <c r="CO142" s="110">
        <f>$O142*BE142*'Cost inputs'!AI$12/1000000</f>
        <v>0</v>
      </c>
      <c r="CP142" s="110">
        <f>$O142*BF142*'Cost inputs'!AJ$12/1000000</f>
        <v>0</v>
      </c>
      <c r="CQ142" s="110">
        <f>$O142*BG142*'Cost inputs'!AK$12/1000000</f>
        <v>0</v>
      </c>
      <c r="CR142" s="131">
        <f t="shared" si="252"/>
        <v>4.1477236110365912E-2</v>
      </c>
      <c r="CS142" s="26"/>
    </row>
    <row r="143" spans="1:97" x14ac:dyDescent="0.3">
      <c r="A143" s="104" t="str">
        <f t="shared" ref="A143:N143" si="289">A28</f>
        <v>Dairy Flat</v>
      </c>
      <c r="B143" s="104" t="str">
        <f t="shared" si="289"/>
        <v>Dairy Flat (incl W.East new)</v>
      </c>
      <c r="C143" s="104">
        <f t="shared" si="289"/>
        <v>0</v>
      </c>
      <c r="D143" s="104" t="str">
        <f t="shared" si="289"/>
        <v>Weiti</v>
      </c>
      <c r="E143" s="104">
        <f t="shared" si="289"/>
        <v>0</v>
      </c>
      <c r="F143" s="104">
        <f t="shared" si="289"/>
        <v>6</v>
      </c>
      <c r="G143" s="104">
        <f t="shared" si="289"/>
        <v>0</v>
      </c>
      <c r="H143" s="104">
        <f t="shared" si="289"/>
        <v>0</v>
      </c>
      <c r="I143" s="104">
        <f t="shared" si="289"/>
        <v>0</v>
      </c>
      <c r="J143" s="104">
        <f t="shared" si="289"/>
        <v>6</v>
      </c>
      <c r="K143" s="104">
        <f t="shared" si="289"/>
        <v>0</v>
      </c>
      <c r="L143" s="104">
        <f t="shared" si="289"/>
        <v>0</v>
      </c>
      <c r="M143" s="104">
        <f t="shared" si="289"/>
        <v>0</v>
      </c>
      <c r="N143" s="104">
        <f t="shared" si="289"/>
        <v>0</v>
      </c>
      <c r="O143" s="104">
        <f t="shared" si="246"/>
        <v>6</v>
      </c>
      <c r="P143" s="104" cm="1">
        <f t="array" ref="P143">2024+MATCH(1,0/AB143:BG143)</f>
        <v>2044</v>
      </c>
      <c r="Q143" s="104"/>
      <c r="R143" s="104"/>
      <c r="S143" s="104"/>
      <c r="T143" s="104"/>
      <c r="U143" s="104"/>
      <c r="V143" s="104"/>
      <c r="W143" s="104"/>
      <c r="X143" s="104"/>
      <c r="Y143" s="104"/>
      <c r="Z143" s="104"/>
      <c r="AA143" s="104"/>
      <c r="AB143" s="103">
        <f t="shared" ref="AB143:BG143" si="290">AB28</f>
        <v>0</v>
      </c>
      <c r="AC143" s="103">
        <f t="shared" si="290"/>
        <v>0</v>
      </c>
      <c r="AD143" s="103">
        <f t="shared" si="290"/>
        <v>0</v>
      </c>
      <c r="AE143" s="103">
        <f t="shared" si="290"/>
        <v>0</v>
      </c>
      <c r="AF143" s="103">
        <f t="shared" si="290"/>
        <v>0</v>
      </c>
      <c r="AG143" s="103">
        <f t="shared" si="290"/>
        <v>0</v>
      </c>
      <c r="AH143" s="103">
        <f t="shared" si="290"/>
        <v>0</v>
      </c>
      <c r="AI143" s="103">
        <f t="shared" si="290"/>
        <v>0</v>
      </c>
      <c r="AJ143" s="103">
        <f t="shared" si="290"/>
        <v>0</v>
      </c>
      <c r="AK143" s="103">
        <f t="shared" si="290"/>
        <v>0.05</v>
      </c>
      <c r="AL143" s="103">
        <f t="shared" si="290"/>
        <v>0.05</v>
      </c>
      <c r="AM143" s="103">
        <f t="shared" si="290"/>
        <v>0.05</v>
      </c>
      <c r="AN143" s="103">
        <f t="shared" si="290"/>
        <v>0.05</v>
      </c>
      <c r="AO143" s="103">
        <f t="shared" si="290"/>
        <v>7.4999999999999997E-2</v>
      </c>
      <c r="AP143" s="103">
        <f t="shared" si="290"/>
        <v>7.4999999999999997E-2</v>
      </c>
      <c r="AQ143" s="103">
        <f t="shared" si="290"/>
        <v>7.4999999999999997E-2</v>
      </c>
      <c r="AR143" s="103">
        <f t="shared" si="290"/>
        <v>7.4999999999999997E-2</v>
      </c>
      <c r="AS143" s="103">
        <f t="shared" si="290"/>
        <v>0.16666666666666666</v>
      </c>
      <c r="AT143" s="103">
        <f t="shared" si="290"/>
        <v>0.16666666666666666</v>
      </c>
      <c r="AU143" s="103">
        <f t="shared" si="290"/>
        <v>0.16666666666666666</v>
      </c>
      <c r="AV143" s="103">
        <f t="shared" si="290"/>
        <v>0</v>
      </c>
      <c r="AW143" s="103">
        <f t="shared" si="290"/>
        <v>0</v>
      </c>
      <c r="AX143" s="103">
        <f t="shared" si="290"/>
        <v>0</v>
      </c>
      <c r="AY143" s="103">
        <f t="shared" si="290"/>
        <v>0</v>
      </c>
      <c r="AZ143" s="103">
        <f t="shared" si="290"/>
        <v>0</v>
      </c>
      <c r="BA143" s="103">
        <f t="shared" si="290"/>
        <v>0</v>
      </c>
      <c r="BB143" s="103">
        <f t="shared" si="290"/>
        <v>0</v>
      </c>
      <c r="BC143" s="103">
        <f t="shared" si="290"/>
        <v>0</v>
      </c>
      <c r="BD143" s="103">
        <f t="shared" si="290"/>
        <v>0</v>
      </c>
      <c r="BE143" s="103">
        <f t="shared" si="290"/>
        <v>0</v>
      </c>
      <c r="BF143" s="103">
        <f t="shared" si="290"/>
        <v>0</v>
      </c>
      <c r="BG143" s="103">
        <f t="shared" si="290"/>
        <v>0</v>
      </c>
      <c r="BH143" s="103"/>
      <c r="BI143" s="104"/>
      <c r="BJ143" s="104"/>
      <c r="BK143" s="104"/>
      <c r="BL143" s="110">
        <f>$O143*AB143*'Cost inputs'!F$12/1000000</f>
        <v>0</v>
      </c>
      <c r="BM143" s="110">
        <f>$O143*AC143*'Cost inputs'!G$12/1000000</f>
        <v>0</v>
      </c>
      <c r="BN143" s="110">
        <f>$O143*AD143*'Cost inputs'!H$12/1000000</f>
        <v>0</v>
      </c>
      <c r="BO143" s="110">
        <f>$O143*AE143*'Cost inputs'!I$12/1000000</f>
        <v>0</v>
      </c>
      <c r="BP143" s="110">
        <f>$O143*AF143*'Cost inputs'!J$12/1000000</f>
        <v>0</v>
      </c>
      <c r="BQ143" s="110">
        <f>$O143*AG143*'Cost inputs'!K$12/1000000</f>
        <v>0</v>
      </c>
      <c r="BR143" s="110">
        <f>$O143*AH143*'Cost inputs'!L$12/1000000</f>
        <v>0</v>
      </c>
      <c r="BS143" s="110">
        <f>$O143*AI143*'Cost inputs'!M$12/1000000</f>
        <v>0</v>
      </c>
      <c r="BT143" s="110">
        <f>$O143*AJ143*'Cost inputs'!N$12/1000000</f>
        <v>0</v>
      </c>
      <c r="BU143" s="110">
        <f>$O143*AK143*'Cost inputs'!O$12/1000000</f>
        <v>1.2519898573529474E-2</v>
      </c>
      <c r="BV143" s="110">
        <f>$O143*AL143*'Cost inputs'!P$12/1000000</f>
        <v>1.2795336342147122E-2</v>
      </c>
      <c r="BW143" s="110">
        <f>$O143*AM143*'Cost inputs'!Q$12/1000000</f>
        <v>1.307683374167436E-2</v>
      </c>
      <c r="BX143" s="110">
        <f>$O143*AN143*'Cost inputs'!R$12/1000000</f>
        <v>1.3364524083991195E-2</v>
      </c>
      <c r="BY143" s="110">
        <f>$O143*AO143*'Cost inputs'!S$12/1000000</f>
        <v>2.04878154207585E-2</v>
      </c>
      <c r="BZ143" s="110">
        <f>$O143*AP143*'Cost inputs'!T$12/1000000</f>
        <v>2.0938547360015186E-2</v>
      </c>
      <c r="CA143" s="110">
        <f>$O143*AQ143*'Cost inputs'!U$12/1000000</f>
        <v>2.1399195401935519E-2</v>
      </c>
      <c r="CB143" s="110">
        <f>$O143*AR143*'Cost inputs'!V$12/1000000</f>
        <v>2.1869977700778101E-2</v>
      </c>
      <c r="CC143" s="110">
        <f>$O143*AS143*'Cost inputs'!W$12/1000000</f>
        <v>4.9669149355989387E-2</v>
      </c>
      <c r="CD143" s="110">
        <f>$O143*AT143*'Cost inputs'!X$12/1000000</f>
        <v>5.0761870641821152E-2</v>
      </c>
      <c r="CE143" s="110">
        <f>$O143*AU143*'Cost inputs'!Y$12/1000000</f>
        <v>5.1878631795941217E-2</v>
      </c>
      <c r="CF143" s="110">
        <f>$O143*AV143*'Cost inputs'!Z$12/1000000</f>
        <v>0</v>
      </c>
      <c r="CG143" s="110">
        <f>$O143*AW143*'Cost inputs'!AA$12/1000000</f>
        <v>0</v>
      </c>
      <c r="CH143" s="110">
        <f>$O143*AX143*'Cost inputs'!AB$12/1000000</f>
        <v>0</v>
      </c>
      <c r="CI143" s="110">
        <f>$O143*AY143*'Cost inputs'!AC$12/1000000</f>
        <v>0</v>
      </c>
      <c r="CJ143" s="110">
        <f>$O143*AZ143*'Cost inputs'!AD$12/1000000</f>
        <v>0</v>
      </c>
      <c r="CK143" s="110">
        <f>$O143*BA143*'Cost inputs'!AE$12/1000000</f>
        <v>0</v>
      </c>
      <c r="CL143" s="110">
        <f>$O143*BB143*'Cost inputs'!AF$12/1000000</f>
        <v>0</v>
      </c>
      <c r="CM143" s="110">
        <f>$O143*BC143*'Cost inputs'!AG$12/1000000</f>
        <v>0</v>
      </c>
      <c r="CN143" s="110">
        <f>$O143*BD143*'Cost inputs'!AH$12/1000000</f>
        <v>0</v>
      </c>
      <c r="CO143" s="110">
        <f>$O143*BE143*'Cost inputs'!AI$12/1000000</f>
        <v>0</v>
      </c>
      <c r="CP143" s="110">
        <f>$O143*BF143*'Cost inputs'!AJ$12/1000000</f>
        <v>0</v>
      </c>
      <c r="CQ143" s="110">
        <f>$O143*BG143*'Cost inputs'!AK$12/1000000</f>
        <v>0</v>
      </c>
      <c r="CR143" s="131">
        <f t="shared" si="252"/>
        <v>0.28876178041858119</v>
      </c>
      <c r="CS143" s="26"/>
    </row>
    <row r="144" spans="1:97" x14ac:dyDescent="0.3">
      <c r="A144" s="104" t="str">
        <f t="shared" ref="A144:N144" si="291">A29</f>
        <v>Dairy Flat</v>
      </c>
      <c r="B144" s="104" t="str">
        <f t="shared" si="291"/>
        <v>Dairy Flat (incl W.East new)</v>
      </c>
      <c r="C144" s="104">
        <f t="shared" si="291"/>
        <v>0</v>
      </c>
      <c r="D144" s="104" t="str">
        <f t="shared" si="291"/>
        <v>Weiti</v>
      </c>
      <c r="E144" s="104">
        <f t="shared" si="291"/>
        <v>0</v>
      </c>
      <c r="F144" s="104">
        <f t="shared" si="291"/>
        <v>0</v>
      </c>
      <c r="G144" s="104">
        <f t="shared" si="291"/>
        <v>1</v>
      </c>
      <c r="H144" s="104">
        <f t="shared" si="291"/>
        <v>0</v>
      </c>
      <c r="I144" s="104">
        <f t="shared" si="291"/>
        <v>0</v>
      </c>
      <c r="J144" s="104">
        <f t="shared" si="291"/>
        <v>0</v>
      </c>
      <c r="K144" s="104">
        <f t="shared" si="291"/>
        <v>1</v>
      </c>
      <c r="L144" s="104">
        <f t="shared" si="291"/>
        <v>0</v>
      </c>
      <c r="M144" s="104">
        <f t="shared" si="291"/>
        <v>0</v>
      </c>
      <c r="N144" s="104">
        <f t="shared" si="291"/>
        <v>0</v>
      </c>
      <c r="O144" s="104">
        <f t="shared" si="246"/>
        <v>1</v>
      </c>
      <c r="P144" s="104" cm="1">
        <f t="array" ref="P144">2024+MATCH(1,0/AB144:BG144)</f>
        <v>2046</v>
      </c>
      <c r="Q144" s="104"/>
      <c r="R144" s="104"/>
      <c r="S144" s="104"/>
      <c r="T144" s="104"/>
      <c r="U144" s="104"/>
      <c r="V144" s="104"/>
      <c r="W144" s="104"/>
      <c r="X144" s="104"/>
      <c r="Y144" s="104"/>
      <c r="Z144" s="104"/>
      <c r="AA144" s="104"/>
      <c r="AB144" s="103">
        <f t="shared" ref="AB144:BG144" si="292">AB29</f>
        <v>0</v>
      </c>
      <c r="AC144" s="103">
        <f t="shared" si="292"/>
        <v>0</v>
      </c>
      <c r="AD144" s="103">
        <f t="shared" si="292"/>
        <v>0</v>
      </c>
      <c r="AE144" s="103">
        <f t="shared" si="292"/>
        <v>0</v>
      </c>
      <c r="AF144" s="103">
        <f t="shared" si="292"/>
        <v>0</v>
      </c>
      <c r="AG144" s="103">
        <f t="shared" si="292"/>
        <v>0</v>
      </c>
      <c r="AH144" s="103">
        <f t="shared" si="292"/>
        <v>0</v>
      </c>
      <c r="AI144" s="103">
        <f t="shared" si="292"/>
        <v>0</v>
      </c>
      <c r="AJ144" s="103">
        <f t="shared" si="292"/>
        <v>4.9999999999999996E-2</v>
      </c>
      <c r="AK144" s="103">
        <f t="shared" si="292"/>
        <v>4.9999999999999996E-2</v>
      </c>
      <c r="AL144" s="103">
        <f t="shared" si="292"/>
        <v>4.9999999999999996E-2</v>
      </c>
      <c r="AM144" s="103">
        <f t="shared" si="292"/>
        <v>0.125</v>
      </c>
      <c r="AN144" s="103">
        <f t="shared" si="292"/>
        <v>0.125</v>
      </c>
      <c r="AO144" s="103">
        <f t="shared" si="292"/>
        <v>0.125</v>
      </c>
      <c r="AP144" s="103">
        <f t="shared" si="292"/>
        <v>0.125</v>
      </c>
      <c r="AQ144" s="103">
        <f t="shared" si="292"/>
        <v>6.25E-2</v>
      </c>
      <c r="AR144" s="103">
        <f t="shared" si="292"/>
        <v>6.25E-2</v>
      </c>
      <c r="AS144" s="103">
        <f t="shared" si="292"/>
        <v>6.25E-2</v>
      </c>
      <c r="AT144" s="103">
        <f t="shared" si="292"/>
        <v>6.25E-2</v>
      </c>
      <c r="AU144" s="103">
        <f t="shared" si="292"/>
        <v>3.3333333333333333E-2</v>
      </c>
      <c r="AV144" s="103">
        <f t="shared" si="292"/>
        <v>3.3333333333333333E-2</v>
      </c>
      <c r="AW144" s="103">
        <f t="shared" si="292"/>
        <v>3.3333333333333333E-2</v>
      </c>
      <c r="AX144" s="103">
        <f t="shared" si="292"/>
        <v>0</v>
      </c>
      <c r="AY144" s="103">
        <f t="shared" si="292"/>
        <v>0</v>
      </c>
      <c r="AZ144" s="103">
        <f t="shared" si="292"/>
        <v>0</v>
      </c>
      <c r="BA144" s="103">
        <f t="shared" si="292"/>
        <v>0</v>
      </c>
      <c r="BB144" s="103">
        <f t="shared" si="292"/>
        <v>0</v>
      </c>
      <c r="BC144" s="103">
        <f t="shared" si="292"/>
        <v>0</v>
      </c>
      <c r="BD144" s="103">
        <f t="shared" si="292"/>
        <v>0</v>
      </c>
      <c r="BE144" s="103">
        <f t="shared" si="292"/>
        <v>0</v>
      </c>
      <c r="BF144" s="103">
        <f t="shared" si="292"/>
        <v>0</v>
      </c>
      <c r="BG144" s="103">
        <f t="shared" si="292"/>
        <v>0</v>
      </c>
      <c r="BH144" s="103"/>
      <c r="BI144" s="104"/>
      <c r="BJ144" s="104"/>
      <c r="BK144" s="104"/>
      <c r="BL144" s="110">
        <f>$O144*AB144*'Cost inputs'!F$12/1000000</f>
        <v>0</v>
      </c>
      <c r="BM144" s="110">
        <f>$O144*AC144*'Cost inputs'!G$12/1000000</f>
        <v>0</v>
      </c>
      <c r="BN144" s="110">
        <f>$O144*AD144*'Cost inputs'!H$12/1000000</f>
        <v>0</v>
      </c>
      <c r="BO144" s="110">
        <f>$O144*AE144*'Cost inputs'!I$12/1000000</f>
        <v>0</v>
      </c>
      <c r="BP144" s="110">
        <f>$O144*AF144*'Cost inputs'!J$12/1000000</f>
        <v>0</v>
      </c>
      <c r="BQ144" s="110">
        <f>$O144*AG144*'Cost inputs'!K$12/1000000</f>
        <v>0</v>
      </c>
      <c r="BR144" s="110">
        <f>$O144*AH144*'Cost inputs'!L$12/1000000</f>
        <v>0</v>
      </c>
      <c r="BS144" s="110">
        <f>$O144*AI144*'Cost inputs'!M$12/1000000</f>
        <v>0</v>
      </c>
      <c r="BT144" s="110">
        <f>$O144*AJ144*'Cost inputs'!N$12/1000000</f>
        <v>2.0417316656114598E-3</v>
      </c>
      <c r="BU144" s="110">
        <f>$O144*AK144*'Cost inputs'!O$12/1000000</f>
        <v>2.0866497622549119E-3</v>
      </c>
      <c r="BV144" s="110">
        <f>$O144*AL144*'Cost inputs'!P$12/1000000</f>
        <v>2.13255605702452E-3</v>
      </c>
      <c r="BW144" s="110">
        <f>$O144*AM144*'Cost inputs'!Q$12/1000000</f>
        <v>5.4486807256976487E-3</v>
      </c>
      <c r="BX144" s="110">
        <f>$O144*AN144*'Cost inputs'!R$12/1000000</f>
        <v>5.5685517016629974E-3</v>
      </c>
      <c r="BY144" s="110">
        <f>$O144*AO144*'Cost inputs'!S$12/1000000</f>
        <v>5.6910598390995841E-3</v>
      </c>
      <c r="BZ144" s="110">
        <f>$O144*AP144*'Cost inputs'!T$12/1000000</f>
        <v>5.8162631555597746E-3</v>
      </c>
      <c r="CA144" s="110">
        <f>$O144*AQ144*'Cost inputs'!U$12/1000000</f>
        <v>2.9721104724910446E-3</v>
      </c>
      <c r="CB144" s="110">
        <f>$O144*AR144*'Cost inputs'!V$12/1000000</f>
        <v>3.0374969028858479E-3</v>
      </c>
      <c r="CC144" s="110">
        <f>$O144*AS144*'Cost inputs'!W$12/1000000</f>
        <v>3.1043218347493367E-3</v>
      </c>
      <c r="CD144" s="110">
        <f>$O144*AT144*'Cost inputs'!X$12/1000000</f>
        <v>3.172616915113822E-3</v>
      </c>
      <c r="CE144" s="110">
        <f>$O144*AU144*'Cost inputs'!Y$12/1000000</f>
        <v>1.7292877265313738E-3</v>
      </c>
      <c r="CF144" s="110">
        <f>$O144*AV144*'Cost inputs'!Z$12/1000000</f>
        <v>1.7673320565150643E-3</v>
      </c>
      <c r="CG144" s="110">
        <f>$O144*AW144*'Cost inputs'!AA$12/1000000</f>
        <v>1.8062133617583959E-3</v>
      </c>
      <c r="CH144" s="110">
        <f>$O144*AX144*'Cost inputs'!AB$12/1000000</f>
        <v>0</v>
      </c>
      <c r="CI144" s="110">
        <f>$O144*AY144*'Cost inputs'!AC$12/1000000</f>
        <v>0</v>
      </c>
      <c r="CJ144" s="110">
        <f>$O144*AZ144*'Cost inputs'!AD$12/1000000</f>
        <v>0</v>
      </c>
      <c r="CK144" s="110">
        <f>$O144*BA144*'Cost inputs'!AE$12/1000000</f>
        <v>0</v>
      </c>
      <c r="CL144" s="110">
        <f>$O144*BB144*'Cost inputs'!AF$12/1000000</f>
        <v>0</v>
      </c>
      <c r="CM144" s="110">
        <f>$O144*BC144*'Cost inputs'!AG$12/1000000</f>
        <v>0</v>
      </c>
      <c r="CN144" s="110">
        <f>$O144*BD144*'Cost inputs'!AH$12/1000000</f>
        <v>0</v>
      </c>
      <c r="CO144" s="110">
        <f>$O144*BE144*'Cost inputs'!AI$12/1000000</f>
        <v>0</v>
      </c>
      <c r="CP144" s="110">
        <f>$O144*BF144*'Cost inputs'!AJ$12/1000000</f>
        <v>0</v>
      </c>
      <c r="CQ144" s="110">
        <f>$O144*BG144*'Cost inputs'!AK$12/1000000</f>
        <v>0</v>
      </c>
      <c r="CR144" s="131">
        <f t="shared" si="252"/>
        <v>4.6374872176955788E-2</v>
      </c>
      <c r="CS144" s="26"/>
    </row>
    <row r="145" spans="1:97" x14ac:dyDescent="0.3">
      <c r="A145" s="104" t="str">
        <f t="shared" ref="A145:N145" si="293">A30</f>
        <v>Dairy Flat</v>
      </c>
      <c r="B145" s="104" t="str">
        <f t="shared" si="293"/>
        <v>Dairy Flat (incl W.East new)</v>
      </c>
      <c r="C145" s="104">
        <f t="shared" si="293"/>
        <v>0</v>
      </c>
      <c r="D145" s="104" t="str">
        <f t="shared" si="293"/>
        <v>Dairy Flat</v>
      </c>
      <c r="E145" s="104">
        <f t="shared" si="293"/>
        <v>0</v>
      </c>
      <c r="F145" s="104">
        <f t="shared" si="293"/>
        <v>24</v>
      </c>
      <c r="G145" s="104">
        <f t="shared" si="293"/>
        <v>0</v>
      </c>
      <c r="H145" s="104">
        <f t="shared" si="293"/>
        <v>0</v>
      </c>
      <c r="I145" s="104">
        <f t="shared" si="293"/>
        <v>0</v>
      </c>
      <c r="J145" s="104">
        <f t="shared" si="293"/>
        <v>24</v>
      </c>
      <c r="K145" s="104">
        <f t="shared" si="293"/>
        <v>0</v>
      </c>
      <c r="L145" s="104">
        <f t="shared" si="293"/>
        <v>0</v>
      </c>
      <c r="M145" s="104">
        <f t="shared" si="293"/>
        <v>0</v>
      </c>
      <c r="N145" s="104">
        <f t="shared" si="293"/>
        <v>0</v>
      </c>
      <c r="O145" s="104">
        <f t="shared" si="246"/>
        <v>24</v>
      </c>
      <c r="P145" s="104" cm="1">
        <f t="array" ref="P145">2024+MATCH(1,0/AB145:BG145)</f>
        <v>2056</v>
      </c>
      <c r="Q145" s="104"/>
      <c r="R145" s="104"/>
      <c r="S145" s="104"/>
      <c r="T145" s="104"/>
      <c r="U145" s="104"/>
      <c r="V145" s="104"/>
      <c r="W145" s="104"/>
      <c r="X145" s="104"/>
      <c r="Y145" s="104"/>
      <c r="Z145" s="104"/>
      <c r="AA145" s="104"/>
      <c r="AB145" s="103">
        <f t="shared" ref="AB145:BG145" si="294">AB30</f>
        <v>0</v>
      </c>
      <c r="AC145" s="103">
        <f t="shared" si="294"/>
        <v>0</v>
      </c>
      <c r="AD145" s="103">
        <f t="shared" si="294"/>
        <v>0</v>
      </c>
      <c r="AE145" s="103">
        <f t="shared" si="294"/>
        <v>0</v>
      </c>
      <c r="AF145" s="103">
        <f t="shared" si="294"/>
        <v>0</v>
      </c>
      <c r="AG145" s="103">
        <f t="shared" si="294"/>
        <v>0</v>
      </c>
      <c r="AH145" s="103">
        <f t="shared" si="294"/>
        <v>0</v>
      </c>
      <c r="AI145" s="103">
        <f t="shared" si="294"/>
        <v>0</v>
      </c>
      <c r="AJ145" s="103">
        <f t="shared" si="294"/>
        <v>0</v>
      </c>
      <c r="AK145" s="103">
        <f t="shared" si="294"/>
        <v>0</v>
      </c>
      <c r="AL145" s="103">
        <f t="shared" si="294"/>
        <v>0</v>
      </c>
      <c r="AM145" s="103">
        <f t="shared" si="294"/>
        <v>0</v>
      </c>
      <c r="AN145" s="103">
        <f t="shared" si="294"/>
        <v>0</v>
      </c>
      <c r="AO145" s="103">
        <f t="shared" si="294"/>
        <v>0</v>
      </c>
      <c r="AP145" s="103">
        <f t="shared" si="294"/>
        <v>0</v>
      </c>
      <c r="AQ145" s="103">
        <f t="shared" si="294"/>
        <v>0</v>
      </c>
      <c r="AR145" s="103">
        <f t="shared" si="294"/>
        <v>0</v>
      </c>
      <c r="AS145" s="103">
        <f t="shared" si="294"/>
        <v>0</v>
      </c>
      <c r="AT145" s="103">
        <f t="shared" si="294"/>
        <v>0</v>
      </c>
      <c r="AU145" s="103">
        <f t="shared" si="294"/>
        <v>0</v>
      </c>
      <c r="AV145" s="103">
        <f t="shared" si="294"/>
        <v>0</v>
      </c>
      <c r="AW145" s="103">
        <f t="shared" si="294"/>
        <v>0.05</v>
      </c>
      <c r="AX145" s="103">
        <f t="shared" si="294"/>
        <v>0.05</v>
      </c>
      <c r="AY145" s="103">
        <f t="shared" si="294"/>
        <v>0.05</v>
      </c>
      <c r="AZ145" s="103">
        <f t="shared" si="294"/>
        <v>0.05</v>
      </c>
      <c r="BA145" s="103">
        <f t="shared" si="294"/>
        <v>7.4999999999999997E-2</v>
      </c>
      <c r="BB145" s="103">
        <f t="shared" si="294"/>
        <v>7.4999999999999997E-2</v>
      </c>
      <c r="BC145" s="103">
        <f t="shared" si="294"/>
        <v>7.4999999999999997E-2</v>
      </c>
      <c r="BD145" s="103">
        <f t="shared" si="294"/>
        <v>7.4999999999999997E-2</v>
      </c>
      <c r="BE145" s="103">
        <f t="shared" si="294"/>
        <v>0.16666666666666666</v>
      </c>
      <c r="BF145" s="103">
        <f t="shared" si="294"/>
        <v>0.16666666666666666</v>
      </c>
      <c r="BG145" s="103">
        <f t="shared" si="294"/>
        <v>0.16666666666666666</v>
      </c>
      <c r="BH145" s="103"/>
      <c r="BI145" s="104"/>
      <c r="BJ145" s="104"/>
      <c r="BK145" s="104"/>
      <c r="BL145" s="110">
        <f>$O145*AB145*'Cost inputs'!F$12/1000000</f>
        <v>0</v>
      </c>
      <c r="BM145" s="110">
        <f>$O145*AC145*'Cost inputs'!G$12/1000000</f>
        <v>0</v>
      </c>
      <c r="BN145" s="110">
        <f>$O145*AD145*'Cost inputs'!H$12/1000000</f>
        <v>0</v>
      </c>
      <c r="BO145" s="110">
        <f>$O145*AE145*'Cost inputs'!I$12/1000000</f>
        <v>0</v>
      </c>
      <c r="BP145" s="110">
        <f>$O145*AF145*'Cost inputs'!J$12/1000000</f>
        <v>0</v>
      </c>
      <c r="BQ145" s="110">
        <f>$O145*AG145*'Cost inputs'!K$12/1000000</f>
        <v>0</v>
      </c>
      <c r="BR145" s="110">
        <f>$O145*AH145*'Cost inputs'!L$12/1000000</f>
        <v>0</v>
      </c>
      <c r="BS145" s="110">
        <f>$O145*AI145*'Cost inputs'!M$12/1000000</f>
        <v>0</v>
      </c>
      <c r="BT145" s="110">
        <f>$O145*AJ145*'Cost inputs'!N$12/1000000</f>
        <v>0</v>
      </c>
      <c r="BU145" s="110">
        <f>$O145*AK145*'Cost inputs'!O$12/1000000</f>
        <v>0</v>
      </c>
      <c r="BV145" s="110">
        <f>$O145*AL145*'Cost inputs'!P$12/1000000</f>
        <v>0</v>
      </c>
      <c r="BW145" s="110">
        <f>$O145*AM145*'Cost inputs'!Q$12/1000000</f>
        <v>0</v>
      </c>
      <c r="BX145" s="110">
        <f>$O145*AN145*'Cost inputs'!R$12/1000000</f>
        <v>0</v>
      </c>
      <c r="BY145" s="110">
        <f>$O145*AO145*'Cost inputs'!S$12/1000000</f>
        <v>0</v>
      </c>
      <c r="BZ145" s="110">
        <f>$O145*AP145*'Cost inputs'!T$12/1000000</f>
        <v>0</v>
      </c>
      <c r="CA145" s="110">
        <f>$O145*AQ145*'Cost inputs'!U$12/1000000</f>
        <v>0</v>
      </c>
      <c r="CB145" s="110">
        <f>$O145*AR145*'Cost inputs'!V$12/1000000</f>
        <v>0</v>
      </c>
      <c r="CC145" s="110">
        <f>$O145*AS145*'Cost inputs'!W$12/1000000</f>
        <v>0</v>
      </c>
      <c r="CD145" s="110">
        <f>$O145*AT145*'Cost inputs'!X$12/1000000</f>
        <v>0</v>
      </c>
      <c r="CE145" s="110">
        <f>$O145*AU145*'Cost inputs'!Y$12/1000000</f>
        <v>0</v>
      </c>
      <c r="CF145" s="110">
        <f>$O145*AV145*'Cost inputs'!Z$12/1000000</f>
        <v>0</v>
      </c>
      <c r="CG145" s="110">
        <f>$O145*AW145*'Cost inputs'!AA$12/1000000</f>
        <v>6.5023681023302263E-2</v>
      </c>
      <c r="CH145" s="110">
        <f>$O145*AX145*'Cost inputs'!AB$12/1000000</f>
        <v>6.6454202005814908E-2</v>
      </c>
      <c r="CI145" s="110">
        <f>$O145*AY145*'Cost inputs'!AC$12/1000000</f>
        <v>6.7916194449942832E-2</v>
      </c>
      <c r="CJ145" s="110">
        <f>$O145*AZ145*'Cost inputs'!AD$12/1000000</f>
        <v>6.9410350727841574E-2</v>
      </c>
      <c r="CK145" s="110">
        <f>$O145*BA145*'Cost inputs'!AE$12/1000000</f>
        <v>0.10640606766578112</v>
      </c>
      <c r="CL145" s="110">
        <f>$O145*BB145*'Cost inputs'!AF$12/1000000</f>
        <v>0.1087470011544283</v>
      </c>
      <c r="CM145" s="110">
        <f>$O145*BC145*'Cost inputs'!AG$12/1000000</f>
        <v>0.11113943517982573</v>
      </c>
      <c r="CN145" s="110">
        <f>$O145*BD145*'Cost inputs'!AH$12/1000000</f>
        <v>0.1135845027537819</v>
      </c>
      <c r="CO145" s="110">
        <f>$O145*BE145*'Cost inputs'!AI$12/1000000</f>
        <v>0.25796302625414469</v>
      </c>
      <c r="CP145" s="110">
        <f>$O145*BF145*'Cost inputs'!AJ$12/1000000</f>
        <v>0.26363821283173583</v>
      </c>
      <c r="CQ145" s="110">
        <f>$O145*BG145*'Cost inputs'!AK$12/1000000</f>
        <v>0.26943825351403405</v>
      </c>
      <c r="CR145" s="131">
        <f t="shared" si="252"/>
        <v>1.4997209275606334</v>
      </c>
      <c r="CS145" s="26"/>
    </row>
    <row r="146" spans="1:97" x14ac:dyDescent="0.3">
      <c r="A146" s="104" t="str">
        <f t="shared" ref="A146:N146" si="295">A31</f>
        <v>Dairy Flat</v>
      </c>
      <c r="B146" s="104" t="str">
        <f t="shared" si="295"/>
        <v>Dairy Flat (incl W.East new)</v>
      </c>
      <c r="C146" s="104">
        <f t="shared" si="295"/>
        <v>0</v>
      </c>
      <c r="D146" s="104" t="str">
        <f t="shared" si="295"/>
        <v>Dairy Flat</v>
      </c>
      <c r="E146" s="104">
        <f t="shared" si="295"/>
        <v>0</v>
      </c>
      <c r="F146" s="104">
        <f t="shared" si="295"/>
        <v>0</v>
      </c>
      <c r="G146" s="104">
        <f t="shared" si="295"/>
        <v>5</v>
      </c>
      <c r="H146" s="104">
        <f t="shared" si="295"/>
        <v>0</v>
      </c>
      <c r="I146" s="104">
        <f t="shared" si="295"/>
        <v>0</v>
      </c>
      <c r="J146" s="104">
        <f t="shared" si="295"/>
        <v>0</v>
      </c>
      <c r="K146" s="104">
        <f t="shared" si="295"/>
        <v>5</v>
      </c>
      <c r="L146" s="104">
        <f t="shared" si="295"/>
        <v>0</v>
      </c>
      <c r="M146" s="104">
        <f t="shared" si="295"/>
        <v>0</v>
      </c>
      <c r="N146" s="104">
        <f t="shared" si="295"/>
        <v>0</v>
      </c>
      <c r="O146" s="104">
        <f t="shared" si="246"/>
        <v>5</v>
      </c>
      <c r="P146" s="104" cm="1">
        <f t="array" ref="P146">2024+MATCH(1,0/AB146:BG146)</f>
        <v>2056</v>
      </c>
      <c r="Q146" s="104"/>
      <c r="R146" s="104"/>
      <c r="S146" s="104"/>
      <c r="T146" s="104"/>
      <c r="U146" s="125"/>
      <c r="V146" s="125"/>
      <c r="W146" s="125"/>
      <c r="X146" s="125"/>
      <c r="Y146" s="125"/>
      <c r="Z146" s="125"/>
      <c r="AA146" s="125"/>
      <c r="AB146" s="103">
        <f t="shared" ref="AB146:BG146" si="296">AB31</f>
        <v>0</v>
      </c>
      <c r="AC146" s="103">
        <f t="shared" si="296"/>
        <v>0</v>
      </c>
      <c r="AD146" s="103">
        <f t="shared" si="296"/>
        <v>0</v>
      </c>
      <c r="AE146" s="103">
        <f t="shared" si="296"/>
        <v>0</v>
      </c>
      <c r="AF146" s="103">
        <f t="shared" si="296"/>
        <v>0</v>
      </c>
      <c r="AG146" s="103">
        <f t="shared" si="296"/>
        <v>0</v>
      </c>
      <c r="AH146" s="103">
        <f t="shared" si="296"/>
        <v>0</v>
      </c>
      <c r="AI146" s="103">
        <f t="shared" si="296"/>
        <v>0</v>
      </c>
      <c r="AJ146" s="103">
        <f t="shared" si="296"/>
        <v>0</v>
      </c>
      <c r="AK146" s="103">
        <f t="shared" si="296"/>
        <v>0</v>
      </c>
      <c r="AL146" s="103">
        <f t="shared" si="296"/>
        <v>0</v>
      </c>
      <c r="AM146" s="103">
        <f t="shared" si="296"/>
        <v>0</v>
      </c>
      <c r="AN146" s="103">
        <f t="shared" si="296"/>
        <v>0</v>
      </c>
      <c r="AO146" s="103">
        <f t="shared" si="296"/>
        <v>0</v>
      </c>
      <c r="AP146" s="103">
        <f t="shared" si="296"/>
        <v>0</v>
      </c>
      <c r="AQ146" s="103">
        <f t="shared" si="296"/>
        <v>0</v>
      </c>
      <c r="AR146" s="103">
        <f t="shared" si="296"/>
        <v>0</v>
      </c>
      <c r="AS146" s="103">
        <f t="shared" si="296"/>
        <v>0</v>
      </c>
      <c r="AT146" s="103">
        <f t="shared" si="296"/>
        <v>4.9999999999999996E-2</v>
      </c>
      <c r="AU146" s="103">
        <f t="shared" si="296"/>
        <v>4.9999999999999996E-2</v>
      </c>
      <c r="AV146" s="103">
        <f t="shared" si="296"/>
        <v>4.9999999999999996E-2</v>
      </c>
      <c r="AW146" s="103">
        <f t="shared" si="296"/>
        <v>0.125</v>
      </c>
      <c r="AX146" s="103">
        <f t="shared" si="296"/>
        <v>0.125</v>
      </c>
      <c r="AY146" s="103">
        <f t="shared" si="296"/>
        <v>0.125</v>
      </c>
      <c r="AZ146" s="103">
        <f t="shared" si="296"/>
        <v>0.125</v>
      </c>
      <c r="BA146" s="103">
        <f t="shared" si="296"/>
        <v>6.25E-2</v>
      </c>
      <c r="BB146" s="103">
        <f t="shared" si="296"/>
        <v>6.25E-2</v>
      </c>
      <c r="BC146" s="103">
        <f t="shared" si="296"/>
        <v>6.25E-2</v>
      </c>
      <c r="BD146" s="103">
        <f t="shared" si="296"/>
        <v>6.25E-2</v>
      </c>
      <c r="BE146" s="103">
        <f t="shared" si="296"/>
        <v>3.3333333333333333E-2</v>
      </c>
      <c r="BF146" s="103">
        <f t="shared" si="296"/>
        <v>3.3333333333333333E-2</v>
      </c>
      <c r="BG146" s="103">
        <f t="shared" si="296"/>
        <v>3.3333333333333333E-2</v>
      </c>
      <c r="BH146" s="103"/>
      <c r="BI146" s="104"/>
      <c r="BJ146" s="104"/>
      <c r="BK146" s="104"/>
      <c r="BL146" s="110">
        <f>$O146*AB146*'Cost inputs'!F$12/1000000</f>
        <v>0</v>
      </c>
      <c r="BM146" s="110">
        <f>$O146*AC146*'Cost inputs'!G$12/1000000</f>
        <v>0</v>
      </c>
      <c r="BN146" s="110">
        <f>$O146*AD146*'Cost inputs'!H$12/1000000</f>
        <v>0</v>
      </c>
      <c r="BO146" s="110">
        <f>$O146*AE146*'Cost inputs'!I$12/1000000</f>
        <v>0</v>
      </c>
      <c r="BP146" s="110">
        <f>$O146*AF146*'Cost inputs'!J$12/1000000</f>
        <v>0</v>
      </c>
      <c r="BQ146" s="110">
        <f>$O146*AG146*'Cost inputs'!K$12/1000000</f>
        <v>0</v>
      </c>
      <c r="BR146" s="110">
        <f>$O146*AH146*'Cost inputs'!L$12/1000000</f>
        <v>0</v>
      </c>
      <c r="BS146" s="110">
        <f>$O146*AI146*'Cost inputs'!M$12/1000000</f>
        <v>0</v>
      </c>
      <c r="BT146" s="110">
        <f>$O146*AJ146*'Cost inputs'!N$12/1000000</f>
        <v>0</v>
      </c>
      <c r="BU146" s="110">
        <f>$O146*AK146*'Cost inputs'!O$12/1000000</f>
        <v>0</v>
      </c>
      <c r="BV146" s="110">
        <f>$O146*AL146*'Cost inputs'!P$12/1000000</f>
        <v>0</v>
      </c>
      <c r="BW146" s="110">
        <f>$O146*AM146*'Cost inputs'!Q$12/1000000</f>
        <v>0</v>
      </c>
      <c r="BX146" s="110">
        <f>$O146*AN146*'Cost inputs'!R$12/1000000</f>
        <v>0</v>
      </c>
      <c r="BY146" s="110">
        <f>$O146*AO146*'Cost inputs'!S$12/1000000</f>
        <v>0</v>
      </c>
      <c r="BZ146" s="110">
        <f>$O146*AP146*'Cost inputs'!T$12/1000000</f>
        <v>0</v>
      </c>
      <c r="CA146" s="110">
        <f>$O146*AQ146*'Cost inputs'!U$12/1000000</f>
        <v>0</v>
      </c>
      <c r="CB146" s="110">
        <f>$O146*AR146*'Cost inputs'!V$12/1000000</f>
        <v>0</v>
      </c>
      <c r="CC146" s="110">
        <f>$O146*AS146*'Cost inputs'!W$12/1000000</f>
        <v>0</v>
      </c>
      <c r="CD146" s="110">
        <f>$O146*AT146*'Cost inputs'!X$12/1000000</f>
        <v>1.2690467660455286E-2</v>
      </c>
      <c r="CE146" s="110">
        <f>$O146*AU146*'Cost inputs'!Y$12/1000000</f>
        <v>1.2969657948985303E-2</v>
      </c>
      <c r="CF146" s="110">
        <f>$O146*AV146*'Cost inputs'!Z$12/1000000</f>
        <v>1.3254990423862981E-2</v>
      </c>
      <c r="CG146" s="110">
        <f>$O146*AW146*'Cost inputs'!AA$12/1000000</f>
        <v>3.3866500532969919E-2</v>
      </c>
      <c r="CH146" s="110">
        <f>$O146*AX146*'Cost inputs'!AB$12/1000000</f>
        <v>3.4611563544695259E-2</v>
      </c>
      <c r="CI146" s="110">
        <f>$O146*AY146*'Cost inputs'!AC$12/1000000</f>
        <v>3.5373017942678553E-2</v>
      </c>
      <c r="CJ146" s="110">
        <f>$O146*AZ146*'Cost inputs'!AD$12/1000000</f>
        <v>3.6151224337417485E-2</v>
      </c>
      <c r="CK146" s="110">
        <f>$O146*BA146*'Cost inputs'!AE$12/1000000</f>
        <v>1.8473275636420334E-2</v>
      </c>
      <c r="CL146" s="110">
        <f>$O146*BB146*'Cost inputs'!AF$12/1000000</f>
        <v>1.8879687700421581E-2</v>
      </c>
      <c r="CM146" s="110">
        <f>$O146*BC146*'Cost inputs'!AG$12/1000000</f>
        <v>1.9295040829830856E-2</v>
      </c>
      <c r="CN146" s="110">
        <f>$O146*BD146*'Cost inputs'!AH$12/1000000</f>
        <v>1.9719531728087134E-2</v>
      </c>
      <c r="CO146" s="110">
        <f>$O146*BE146*'Cost inputs'!AI$12/1000000</f>
        <v>1.0748459427256028E-2</v>
      </c>
      <c r="CP146" s="110">
        <f>$O146*BF146*'Cost inputs'!AJ$12/1000000</f>
        <v>1.098492553465566E-2</v>
      </c>
      <c r="CQ146" s="110">
        <f>$O146*BG146*'Cost inputs'!AK$12/1000000</f>
        <v>1.1226593896418084E-2</v>
      </c>
      <c r="CR146" s="131">
        <f t="shared" si="252"/>
        <v>0.2882449371441545</v>
      </c>
      <c r="CS146" s="26"/>
    </row>
    <row r="147" spans="1:97" x14ac:dyDescent="0.3">
      <c r="A147" s="104" t="str">
        <f t="shared" ref="A147:N147" si="297">A32</f>
        <v>North Shore</v>
      </c>
      <c r="B147" s="104" t="str">
        <f t="shared" si="297"/>
        <v>North Shore</v>
      </c>
      <c r="C147" s="104">
        <f t="shared" si="297"/>
        <v>0</v>
      </c>
      <c r="D147" s="104" t="str">
        <f t="shared" si="297"/>
        <v>Albany Villlage</v>
      </c>
      <c r="E147" s="104">
        <f t="shared" si="297"/>
        <v>0</v>
      </c>
      <c r="F147" s="104">
        <f t="shared" si="297"/>
        <v>1</v>
      </c>
      <c r="G147" s="104">
        <f t="shared" si="297"/>
        <v>0</v>
      </c>
      <c r="H147" s="104">
        <f t="shared" si="297"/>
        <v>0</v>
      </c>
      <c r="I147" s="104">
        <f t="shared" si="297"/>
        <v>0</v>
      </c>
      <c r="J147" s="104">
        <f t="shared" si="297"/>
        <v>1</v>
      </c>
      <c r="K147" s="104">
        <f t="shared" si="297"/>
        <v>0</v>
      </c>
      <c r="L147" s="104">
        <f t="shared" si="297"/>
        <v>0</v>
      </c>
      <c r="M147" s="104">
        <f t="shared" si="297"/>
        <v>0</v>
      </c>
      <c r="N147" s="104">
        <f t="shared" si="297"/>
        <v>0</v>
      </c>
      <c r="O147" s="104">
        <f t="shared" si="246"/>
        <v>1</v>
      </c>
      <c r="P147" s="104" cm="1">
        <f t="array" ref="P147">2024+MATCH(1,0/AB147:BG147)</f>
        <v>2041</v>
      </c>
      <c r="Q147" s="104"/>
      <c r="R147" s="104"/>
      <c r="S147" s="104"/>
      <c r="T147" s="104"/>
      <c r="U147" s="125"/>
      <c r="V147" s="125"/>
      <c r="W147" s="125"/>
      <c r="X147" s="125"/>
      <c r="Y147" s="125"/>
      <c r="Z147" s="125"/>
      <c r="AA147" s="125"/>
      <c r="AB147" s="103">
        <f t="shared" ref="AB147:BG147" si="298">AB32</f>
        <v>0</v>
      </c>
      <c r="AC147" s="103">
        <f t="shared" si="298"/>
        <v>0</v>
      </c>
      <c r="AD147" s="103">
        <f t="shared" si="298"/>
        <v>0</v>
      </c>
      <c r="AE147" s="103">
        <f t="shared" si="298"/>
        <v>0</v>
      </c>
      <c r="AF147" s="103">
        <f t="shared" si="298"/>
        <v>0</v>
      </c>
      <c r="AG147" s="103">
        <f t="shared" si="298"/>
        <v>0</v>
      </c>
      <c r="AH147" s="103">
        <f t="shared" si="298"/>
        <v>0</v>
      </c>
      <c r="AI147" s="103">
        <f t="shared" si="298"/>
        <v>0</v>
      </c>
      <c r="AJ147" s="103">
        <f t="shared" si="298"/>
        <v>0</v>
      </c>
      <c r="AK147" s="103">
        <f t="shared" si="298"/>
        <v>0.125</v>
      </c>
      <c r="AL147" s="103">
        <f t="shared" si="298"/>
        <v>0.125</v>
      </c>
      <c r="AM147" s="103">
        <f t="shared" si="298"/>
        <v>0.125</v>
      </c>
      <c r="AN147" s="103">
        <f t="shared" si="298"/>
        <v>0.125</v>
      </c>
      <c r="AO147" s="103">
        <f t="shared" si="298"/>
        <v>0.125</v>
      </c>
      <c r="AP147" s="103">
        <f t="shared" si="298"/>
        <v>0.125</v>
      </c>
      <c r="AQ147" s="103">
        <f t="shared" si="298"/>
        <v>0.125</v>
      </c>
      <c r="AR147" s="103">
        <f t="shared" si="298"/>
        <v>0.125</v>
      </c>
      <c r="AS147" s="103">
        <f t="shared" si="298"/>
        <v>0</v>
      </c>
      <c r="AT147" s="103">
        <f t="shared" si="298"/>
        <v>0</v>
      </c>
      <c r="AU147" s="103">
        <f t="shared" si="298"/>
        <v>0</v>
      </c>
      <c r="AV147" s="103">
        <f t="shared" si="298"/>
        <v>0</v>
      </c>
      <c r="AW147" s="103">
        <f t="shared" si="298"/>
        <v>0</v>
      </c>
      <c r="AX147" s="103">
        <f t="shared" si="298"/>
        <v>0</v>
      </c>
      <c r="AY147" s="103">
        <f t="shared" si="298"/>
        <v>0</v>
      </c>
      <c r="AZ147" s="103">
        <f t="shared" si="298"/>
        <v>0</v>
      </c>
      <c r="BA147" s="103">
        <f t="shared" si="298"/>
        <v>0</v>
      </c>
      <c r="BB147" s="103">
        <f t="shared" si="298"/>
        <v>0</v>
      </c>
      <c r="BC147" s="103">
        <f t="shared" si="298"/>
        <v>0</v>
      </c>
      <c r="BD147" s="103">
        <f t="shared" si="298"/>
        <v>0</v>
      </c>
      <c r="BE147" s="103">
        <f t="shared" si="298"/>
        <v>0</v>
      </c>
      <c r="BF147" s="103">
        <f t="shared" si="298"/>
        <v>0</v>
      </c>
      <c r="BG147" s="103">
        <f t="shared" si="298"/>
        <v>0</v>
      </c>
      <c r="BH147" s="103"/>
      <c r="BI147" s="104"/>
      <c r="BJ147" s="104"/>
      <c r="BK147" s="104"/>
      <c r="BL147" s="110">
        <f>$O147*AB147*'Cost inputs'!F$12/1000000</f>
        <v>0</v>
      </c>
      <c r="BM147" s="110">
        <f>$O147*AC147*'Cost inputs'!G$12/1000000</f>
        <v>0</v>
      </c>
      <c r="BN147" s="110">
        <f>$O147*AD147*'Cost inputs'!H$12/1000000</f>
        <v>0</v>
      </c>
      <c r="BO147" s="110">
        <f>$O147*AE147*'Cost inputs'!I$12/1000000</f>
        <v>0</v>
      </c>
      <c r="BP147" s="110">
        <f>$O147*AF147*'Cost inputs'!J$12/1000000</f>
        <v>0</v>
      </c>
      <c r="BQ147" s="110">
        <f>$O147*AG147*'Cost inputs'!K$12/1000000</f>
        <v>0</v>
      </c>
      <c r="BR147" s="110">
        <f>$O147*AH147*'Cost inputs'!L$12/1000000</f>
        <v>0</v>
      </c>
      <c r="BS147" s="110">
        <f>$O147*AI147*'Cost inputs'!M$12/1000000</f>
        <v>0</v>
      </c>
      <c r="BT147" s="110">
        <f>$O147*AJ147*'Cost inputs'!N$12/1000000</f>
        <v>0</v>
      </c>
      <c r="BU147" s="110">
        <f>$O147*AK147*'Cost inputs'!O$12/1000000</f>
        <v>5.2166244056372794E-3</v>
      </c>
      <c r="BV147" s="110">
        <f>$O147*AL147*'Cost inputs'!P$12/1000000</f>
        <v>5.3313901425613005E-3</v>
      </c>
      <c r="BW147" s="110">
        <f>$O147*AM147*'Cost inputs'!Q$12/1000000</f>
        <v>5.4486807256976487E-3</v>
      </c>
      <c r="BX147" s="110">
        <f>$O147*AN147*'Cost inputs'!R$12/1000000</f>
        <v>5.5685517016629974E-3</v>
      </c>
      <c r="BY147" s="110">
        <f>$O147*AO147*'Cost inputs'!S$12/1000000</f>
        <v>5.6910598390995841E-3</v>
      </c>
      <c r="BZ147" s="110">
        <f>$O147*AP147*'Cost inputs'!T$12/1000000</f>
        <v>5.8162631555597746E-3</v>
      </c>
      <c r="CA147" s="110">
        <f>$O147*AQ147*'Cost inputs'!U$12/1000000</f>
        <v>5.9442209449820892E-3</v>
      </c>
      <c r="CB147" s="110">
        <f>$O147*AR147*'Cost inputs'!V$12/1000000</f>
        <v>6.0749938057716958E-3</v>
      </c>
      <c r="CC147" s="110">
        <f>$O147*AS147*'Cost inputs'!W$12/1000000</f>
        <v>0</v>
      </c>
      <c r="CD147" s="110">
        <f>$O147*AT147*'Cost inputs'!X$12/1000000</f>
        <v>0</v>
      </c>
      <c r="CE147" s="110">
        <f>$O147*AU147*'Cost inputs'!Y$12/1000000</f>
        <v>0</v>
      </c>
      <c r="CF147" s="110">
        <f>$O147*AV147*'Cost inputs'!Z$12/1000000</f>
        <v>0</v>
      </c>
      <c r="CG147" s="110">
        <f>$O147*AW147*'Cost inputs'!AA$12/1000000</f>
        <v>0</v>
      </c>
      <c r="CH147" s="110">
        <f>$O147*AX147*'Cost inputs'!AB$12/1000000</f>
        <v>0</v>
      </c>
      <c r="CI147" s="110">
        <f>$O147*AY147*'Cost inputs'!AC$12/1000000</f>
        <v>0</v>
      </c>
      <c r="CJ147" s="110">
        <f>$O147*AZ147*'Cost inputs'!AD$12/1000000</f>
        <v>0</v>
      </c>
      <c r="CK147" s="110">
        <f>$O147*BA147*'Cost inputs'!AE$12/1000000</f>
        <v>0</v>
      </c>
      <c r="CL147" s="110">
        <f>$O147*BB147*'Cost inputs'!AF$12/1000000</f>
        <v>0</v>
      </c>
      <c r="CM147" s="110">
        <f>$O147*BC147*'Cost inputs'!AG$12/1000000</f>
        <v>0</v>
      </c>
      <c r="CN147" s="110">
        <f>$O147*BD147*'Cost inputs'!AH$12/1000000</f>
        <v>0</v>
      </c>
      <c r="CO147" s="110">
        <f>$O147*BE147*'Cost inputs'!AI$12/1000000</f>
        <v>0</v>
      </c>
      <c r="CP147" s="110">
        <f>$O147*BF147*'Cost inputs'!AJ$12/1000000</f>
        <v>0</v>
      </c>
      <c r="CQ147" s="110">
        <f>$O147*BG147*'Cost inputs'!AK$12/1000000</f>
        <v>0</v>
      </c>
      <c r="CR147" s="131">
        <f t="shared" si="252"/>
        <v>4.5091784720972368E-2</v>
      </c>
      <c r="CS147" s="26"/>
    </row>
    <row r="148" spans="1:97" x14ac:dyDescent="0.3">
      <c r="A148" s="104" t="str">
        <f t="shared" ref="A148:N148" si="299">A33</f>
        <v>North of Huapai</v>
      </c>
      <c r="B148" s="104" t="str">
        <f t="shared" si="299"/>
        <v>Rural NW</v>
      </c>
      <c r="C148" s="104">
        <f t="shared" si="299"/>
        <v>0</v>
      </c>
      <c r="D148" s="104" t="str">
        <f t="shared" si="299"/>
        <v xml:space="preserve">Helensville </v>
      </c>
      <c r="E148" s="104">
        <f t="shared" si="299"/>
        <v>0</v>
      </c>
      <c r="F148" s="104">
        <f t="shared" si="299"/>
        <v>3</v>
      </c>
      <c r="G148" s="104">
        <f t="shared" si="299"/>
        <v>0</v>
      </c>
      <c r="H148" s="104">
        <f t="shared" si="299"/>
        <v>0</v>
      </c>
      <c r="I148" s="104">
        <f t="shared" si="299"/>
        <v>0</v>
      </c>
      <c r="J148" s="104">
        <f t="shared" si="299"/>
        <v>3</v>
      </c>
      <c r="K148" s="104">
        <f t="shared" si="299"/>
        <v>0</v>
      </c>
      <c r="L148" s="104">
        <f t="shared" si="299"/>
        <v>0</v>
      </c>
      <c r="M148" s="104">
        <f t="shared" si="299"/>
        <v>0</v>
      </c>
      <c r="N148" s="104">
        <f t="shared" si="299"/>
        <v>0</v>
      </c>
      <c r="O148" s="104">
        <f t="shared" si="246"/>
        <v>3</v>
      </c>
      <c r="P148" s="104" cm="1">
        <f t="array" ref="P148">2024+MATCH(1,0/AB148:BG148)</f>
        <v>2044</v>
      </c>
      <c r="Q148" s="104"/>
      <c r="R148" s="104"/>
      <c r="S148" s="104"/>
      <c r="T148" s="104"/>
      <c r="U148" s="125"/>
      <c r="V148" s="125"/>
      <c r="W148" s="125"/>
      <c r="X148" s="125"/>
      <c r="Y148" s="125"/>
      <c r="Z148" s="125"/>
      <c r="AA148" s="125"/>
      <c r="AB148" s="103">
        <f t="shared" ref="AB148:BG148" si="300">AB33</f>
        <v>0</v>
      </c>
      <c r="AC148" s="103">
        <f t="shared" si="300"/>
        <v>0</v>
      </c>
      <c r="AD148" s="103">
        <f t="shared" si="300"/>
        <v>0</v>
      </c>
      <c r="AE148" s="103">
        <f t="shared" si="300"/>
        <v>0</v>
      </c>
      <c r="AF148" s="103">
        <f t="shared" si="300"/>
        <v>0</v>
      </c>
      <c r="AG148" s="103">
        <f t="shared" si="300"/>
        <v>0</v>
      </c>
      <c r="AH148" s="103">
        <f t="shared" si="300"/>
        <v>0</v>
      </c>
      <c r="AI148" s="103">
        <f t="shared" si="300"/>
        <v>0</v>
      </c>
      <c r="AJ148" s="103">
        <f t="shared" si="300"/>
        <v>0</v>
      </c>
      <c r="AK148" s="103">
        <f t="shared" si="300"/>
        <v>0.05</v>
      </c>
      <c r="AL148" s="103">
        <f t="shared" si="300"/>
        <v>0.05</v>
      </c>
      <c r="AM148" s="103">
        <f t="shared" si="300"/>
        <v>0.05</v>
      </c>
      <c r="AN148" s="103">
        <f t="shared" si="300"/>
        <v>0.05</v>
      </c>
      <c r="AO148" s="103">
        <f t="shared" si="300"/>
        <v>7.4999999999999997E-2</v>
      </c>
      <c r="AP148" s="103">
        <f t="shared" si="300"/>
        <v>7.4999999999999997E-2</v>
      </c>
      <c r="AQ148" s="103">
        <f t="shared" si="300"/>
        <v>7.4999999999999997E-2</v>
      </c>
      <c r="AR148" s="103">
        <f t="shared" si="300"/>
        <v>7.4999999999999997E-2</v>
      </c>
      <c r="AS148" s="103">
        <f t="shared" si="300"/>
        <v>0.16666666666666666</v>
      </c>
      <c r="AT148" s="103">
        <f t="shared" si="300"/>
        <v>0.16666666666666666</v>
      </c>
      <c r="AU148" s="103">
        <f t="shared" si="300"/>
        <v>0.16666666666666666</v>
      </c>
      <c r="AV148" s="103">
        <f t="shared" si="300"/>
        <v>0</v>
      </c>
      <c r="AW148" s="103">
        <f t="shared" si="300"/>
        <v>0</v>
      </c>
      <c r="AX148" s="103">
        <f t="shared" si="300"/>
        <v>0</v>
      </c>
      <c r="AY148" s="103">
        <f t="shared" si="300"/>
        <v>0</v>
      </c>
      <c r="AZ148" s="103">
        <f t="shared" si="300"/>
        <v>0</v>
      </c>
      <c r="BA148" s="103">
        <f t="shared" si="300"/>
        <v>0</v>
      </c>
      <c r="BB148" s="103">
        <f t="shared" si="300"/>
        <v>0</v>
      </c>
      <c r="BC148" s="103">
        <f t="shared" si="300"/>
        <v>0</v>
      </c>
      <c r="BD148" s="103">
        <f t="shared" si="300"/>
        <v>0</v>
      </c>
      <c r="BE148" s="103">
        <f t="shared" si="300"/>
        <v>0</v>
      </c>
      <c r="BF148" s="103">
        <f t="shared" si="300"/>
        <v>0</v>
      </c>
      <c r="BG148" s="103">
        <f t="shared" si="300"/>
        <v>0</v>
      </c>
      <c r="BH148" s="103"/>
      <c r="BI148" s="104"/>
      <c r="BJ148" s="104"/>
      <c r="BK148" s="104"/>
      <c r="BL148" s="110">
        <f>$O148*AB148*'Cost inputs'!F$12/1000000</f>
        <v>0</v>
      </c>
      <c r="BM148" s="110">
        <f>$O148*AC148*'Cost inputs'!G$12/1000000</f>
        <v>0</v>
      </c>
      <c r="BN148" s="110">
        <f>$O148*AD148*'Cost inputs'!H$12/1000000</f>
        <v>0</v>
      </c>
      <c r="BO148" s="110">
        <f>$O148*AE148*'Cost inputs'!I$12/1000000</f>
        <v>0</v>
      </c>
      <c r="BP148" s="110">
        <f>$O148*AF148*'Cost inputs'!J$12/1000000</f>
        <v>0</v>
      </c>
      <c r="BQ148" s="110">
        <f>$O148*AG148*'Cost inputs'!K$12/1000000</f>
        <v>0</v>
      </c>
      <c r="BR148" s="110">
        <f>$O148*AH148*'Cost inputs'!L$12/1000000</f>
        <v>0</v>
      </c>
      <c r="BS148" s="110">
        <f>$O148*AI148*'Cost inputs'!M$12/1000000</f>
        <v>0</v>
      </c>
      <c r="BT148" s="110">
        <f>$O148*AJ148*'Cost inputs'!N$12/1000000</f>
        <v>0</v>
      </c>
      <c r="BU148" s="110">
        <f>$O148*AK148*'Cost inputs'!O$12/1000000</f>
        <v>6.2599492867647369E-3</v>
      </c>
      <c r="BV148" s="110">
        <f>$O148*AL148*'Cost inputs'!P$12/1000000</f>
        <v>6.3976681710735612E-3</v>
      </c>
      <c r="BW148" s="110">
        <f>$O148*AM148*'Cost inputs'!Q$12/1000000</f>
        <v>6.5384168708371802E-3</v>
      </c>
      <c r="BX148" s="110">
        <f>$O148*AN148*'Cost inputs'!R$12/1000000</f>
        <v>6.6822620419955975E-3</v>
      </c>
      <c r="BY148" s="110">
        <f>$O148*AO148*'Cost inputs'!S$12/1000000</f>
        <v>1.024390771037925E-2</v>
      </c>
      <c r="BZ148" s="110">
        <f>$O148*AP148*'Cost inputs'!T$12/1000000</f>
        <v>1.0469273680007593E-2</v>
      </c>
      <c r="CA148" s="110">
        <f>$O148*AQ148*'Cost inputs'!U$12/1000000</f>
        <v>1.0699597700967759E-2</v>
      </c>
      <c r="CB148" s="110">
        <f>$O148*AR148*'Cost inputs'!V$12/1000000</f>
        <v>1.093498885038905E-2</v>
      </c>
      <c r="CC148" s="110">
        <f>$O148*AS148*'Cost inputs'!W$12/1000000</f>
        <v>2.4834574677994693E-2</v>
      </c>
      <c r="CD148" s="110">
        <f>$O148*AT148*'Cost inputs'!X$12/1000000</f>
        <v>2.5380935320910576E-2</v>
      </c>
      <c r="CE148" s="110">
        <f>$O148*AU148*'Cost inputs'!Y$12/1000000</f>
        <v>2.5939315897970609E-2</v>
      </c>
      <c r="CF148" s="110">
        <f>$O148*AV148*'Cost inputs'!Z$12/1000000</f>
        <v>0</v>
      </c>
      <c r="CG148" s="110">
        <f>$O148*AW148*'Cost inputs'!AA$12/1000000</f>
        <v>0</v>
      </c>
      <c r="CH148" s="110">
        <f>$O148*AX148*'Cost inputs'!AB$12/1000000</f>
        <v>0</v>
      </c>
      <c r="CI148" s="110">
        <f>$O148*AY148*'Cost inputs'!AC$12/1000000</f>
        <v>0</v>
      </c>
      <c r="CJ148" s="110">
        <f>$O148*AZ148*'Cost inputs'!AD$12/1000000</f>
        <v>0</v>
      </c>
      <c r="CK148" s="110">
        <f>$O148*BA148*'Cost inputs'!AE$12/1000000</f>
        <v>0</v>
      </c>
      <c r="CL148" s="110">
        <f>$O148*BB148*'Cost inputs'!AF$12/1000000</f>
        <v>0</v>
      </c>
      <c r="CM148" s="110">
        <f>$O148*BC148*'Cost inputs'!AG$12/1000000</f>
        <v>0</v>
      </c>
      <c r="CN148" s="110">
        <f>$O148*BD148*'Cost inputs'!AH$12/1000000</f>
        <v>0</v>
      </c>
      <c r="CO148" s="110">
        <f>$O148*BE148*'Cost inputs'!AI$12/1000000</f>
        <v>0</v>
      </c>
      <c r="CP148" s="110">
        <f>$O148*BF148*'Cost inputs'!AJ$12/1000000</f>
        <v>0</v>
      </c>
      <c r="CQ148" s="110">
        <f>$O148*BG148*'Cost inputs'!AK$12/1000000</f>
        <v>0</v>
      </c>
      <c r="CR148" s="131">
        <f t="shared" si="252"/>
        <v>0.1443808902092906</v>
      </c>
      <c r="CS148" s="26"/>
    </row>
    <row r="149" spans="1:97" x14ac:dyDescent="0.3">
      <c r="A149" s="104" t="str">
        <f t="shared" ref="A149:N149" si="301">A34</f>
        <v>Riverhead-Huapai-Kumeu</v>
      </c>
      <c r="B149" s="104" t="str">
        <f t="shared" si="301"/>
        <v>Kumeu-Huapai-RH RedFlag</v>
      </c>
      <c r="C149" s="104">
        <f t="shared" si="301"/>
        <v>0</v>
      </c>
      <c r="D149" s="104" t="str">
        <f t="shared" si="301"/>
        <v>Kumeu-Huapai and Riverhead</v>
      </c>
      <c r="E149" s="104" t="str">
        <f t="shared" si="301"/>
        <v>3NHP In Huapai acq and full developed, 1 NHP in removal area, 20 others in Red flagged</v>
      </c>
      <c r="F149" s="104">
        <f t="shared" si="301"/>
        <v>21</v>
      </c>
      <c r="G149" s="104">
        <f t="shared" si="301"/>
        <v>0</v>
      </c>
      <c r="H149" s="104">
        <f t="shared" si="301"/>
        <v>0</v>
      </c>
      <c r="I149" s="104">
        <f t="shared" si="301"/>
        <v>0</v>
      </c>
      <c r="J149" s="104">
        <f t="shared" si="301"/>
        <v>21</v>
      </c>
      <c r="K149" s="104">
        <f t="shared" si="301"/>
        <v>0</v>
      </c>
      <c r="L149" s="104">
        <f t="shared" si="301"/>
        <v>0</v>
      </c>
      <c r="M149" s="104">
        <f t="shared" si="301"/>
        <v>0</v>
      </c>
      <c r="N149" s="104">
        <f t="shared" si="301"/>
        <v>0</v>
      </c>
      <c r="O149" s="104">
        <f t="shared" si="246"/>
        <v>21</v>
      </c>
      <c r="P149" s="104" cm="1">
        <f t="array" ref="P149">2024+MATCH(1,0/AB149:BG149)</f>
        <v>2056</v>
      </c>
      <c r="Q149" s="104"/>
      <c r="R149" s="104"/>
      <c r="S149" s="104"/>
      <c r="T149" s="104"/>
      <c r="U149" s="125"/>
      <c r="V149" s="125"/>
      <c r="W149" s="125"/>
      <c r="X149" s="125"/>
      <c r="Y149" s="125"/>
      <c r="Z149" s="125"/>
      <c r="AA149" s="125"/>
      <c r="AB149" s="103">
        <f t="shared" ref="AB149:BG149" si="302">AB34</f>
        <v>0</v>
      </c>
      <c r="AC149" s="103">
        <f t="shared" si="302"/>
        <v>0</v>
      </c>
      <c r="AD149" s="103">
        <f t="shared" si="302"/>
        <v>0</v>
      </c>
      <c r="AE149" s="103">
        <f t="shared" si="302"/>
        <v>0</v>
      </c>
      <c r="AF149" s="103">
        <f t="shared" si="302"/>
        <v>0</v>
      </c>
      <c r="AG149" s="103">
        <f t="shared" si="302"/>
        <v>0</v>
      </c>
      <c r="AH149" s="103">
        <f t="shared" si="302"/>
        <v>0</v>
      </c>
      <c r="AI149" s="103">
        <f t="shared" si="302"/>
        <v>0</v>
      </c>
      <c r="AJ149" s="103">
        <f t="shared" si="302"/>
        <v>0</v>
      </c>
      <c r="AK149" s="103">
        <f t="shared" si="302"/>
        <v>0</v>
      </c>
      <c r="AL149" s="103">
        <f t="shared" si="302"/>
        <v>0</v>
      </c>
      <c r="AM149" s="103">
        <f t="shared" si="302"/>
        <v>0</v>
      </c>
      <c r="AN149" s="103">
        <f t="shared" si="302"/>
        <v>0</v>
      </c>
      <c r="AO149" s="103">
        <f t="shared" si="302"/>
        <v>0</v>
      </c>
      <c r="AP149" s="103">
        <f t="shared" si="302"/>
        <v>0</v>
      </c>
      <c r="AQ149" s="103">
        <f t="shared" si="302"/>
        <v>0</v>
      </c>
      <c r="AR149" s="103">
        <f t="shared" si="302"/>
        <v>0</v>
      </c>
      <c r="AS149" s="103">
        <f t="shared" si="302"/>
        <v>0</v>
      </c>
      <c r="AT149" s="103">
        <f t="shared" si="302"/>
        <v>0</v>
      </c>
      <c r="AU149" s="103">
        <f t="shared" si="302"/>
        <v>0</v>
      </c>
      <c r="AV149" s="103">
        <f t="shared" si="302"/>
        <v>0</v>
      </c>
      <c r="AW149" s="103">
        <f t="shared" si="302"/>
        <v>0.05</v>
      </c>
      <c r="AX149" s="103">
        <f t="shared" si="302"/>
        <v>0.05</v>
      </c>
      <c r="AY149" s="103">
        <f t="shared" si="302"/>
        <v>0.05</v>
      </c>
      <c r="AZ149" s="103">
        <f t="shared" si="302"/>
        <v>0.05</v>
      </c>
      <c r="BA149" s="103">
        <f t="shared" si="302"/>
        <v>7.4999999999999997E-2</v>
      </c>
      <c r="BB149" s="103">
        <f t="shared" si="302"/>
        <v>7.4999999999999997E-2</v>
      </c>
      <c r="BC149" s="103">
        <f t="shared" si="302"/>
        <v>7.4999999999999997E-2</v>
      </c>
      <c r="BD149" s="103">
        <f t="shared" si="302"/>
        <v>7.4999999999999997E-2</v>
      </c>
      <c r="BE149" s="103">
        <f t="shared" si="302"/>
        <v>0.16666666666666666</v>
      </c>
      <c r="BF149" s="103">
        <f t="shared" si="302"/>
        <v>0.16666666666666666</v>
      </c>
      <c r="BG149" s="103">
        <f t="shared" si="302"/>
        <v>0.16666666666666666</v>
      </c>
      <c r="BH149" s="103"/>
      <c r="BI149" s="104"/>
      <c r="BJ149" s="104"/>
      <c r="BK149" s="104"/>
      <c r="BL149" s="110">
        <f>$O149*AB149*'Cost inputs'!F$12/1000000</f>
        <v>0</v>
      </c>
      <c r="BM149" s="110">
        <f>$O149*AC149*'Cost inputs'!G$12/1000000</f>
        <v>0</v>
      </c>
      <c r="BN149" s="110">
        <f>$O149*AD149*'Cost inputs'!H$12/1000000</f>
        <v>0</v>
      </c>
      <c r="BO149" s="110">
        <f>$O149*AE149*'Cost inputs'!I$12/1000000</f>
        <v>0</v>
      </c>
      <c r="BP149" s="110">
        <f>$O149*AF149*'Cost inputs'!J$12/1000000</f>
        <v>0</v>
      </c>
      <c r="BQ149" s="110">
        <f>$O149*AG149*'Cost inputs'!K$12/1000000</f>
        <v>0</v>
      </c>
      <c r="BR149" s="110">
        <f>$O149*AH149*'Cost inputs'!L$12/1000000</f>
        <v>0</v>
      </c>
      <c r="BS149" s="110">
        <f>$O149*AI149*'Cost inputs'!M$12/1000000</f>
        <v>0</v>
      </c>
      <c r="BT149" s="110">
        <f>$O149*AJ149*'Cost inputs'!N$12/1000000</f>
        <v>0</v>
      </c>
      <c r="BU149" s="110">
        <f>$O149*AK149*'Cost inputs'!O$12/1000000</f>
        <v>0</v>
      </c>
      <c r="BV149" s="110">
        <f>$O149*AL149*'Cost inputs'!P$12/1000000</f>
        <v>0</v>
      </c>
      <c r="BW149" s="110">
        <f>$O149*AM149*'Cost inputs'!Q$12/1000000</f>
        <v>0</v>
      </c>
      <c r="BX149" s="110">
        <f>$O149*AN149*'Cost inputs'!R$12/1000000</f>
        <v>0</v>
      </c>
      <c r="BY149" s="110">
        <f>$O149*AO149*'Cost inputs'!S$12/1000000</f>
        <v>0</v>
      </c>
      <c r="BZ149" s="110">
        <f>$O149*AP149*'Cost inputs'!T$12/1000000</f>
        <v>0</v>
      </c>
      <c r="CA149" s="110">
        <f>$O149*AQ149*'Cost inputs'!U$12/1000000</f>
        <v>0</v>
      </c>
      <c r="CB149" s="110">
        <f>$O149*AR149*'Cost inputs'!V$12/1000000</f>
        <v>0</v>
      </c>
      <c r="CC149" s="110">
        <f>$O149*AS149*'Cost inputs'!W$12/1000000</f>
        <v>0</v>
      </c>
      <c r="CD149" s="110">
        <f>$O149*AT149*'Cost inputs'!X$12/1000000</f>
        <v>0</v>
      </c>
      <c r="CE149" s="110">
        <f>$O149*AU149*'Cost inputs'!Y$12/1000000</f>
        <v>0</v>
      </c>
      <c r="CF149" s="110">
        <f>$O149*AV149*'Cost inputs'!Z$12/1000000</f>
        <v>0</v>
      </c>
      <c r="CG149" s="110">
        <f>$O149*AW149*'Cost inputs'!AA$12/1000000</f>
        <v>5.6895720895389475E-2</v>
      </c>
      <c r="CH149" s="110">
        <f>$O149*AX149*'Cost inputs'!AB$12/1000000</f>
        <v>5.8147426755088043E-2</v>
      </c>
      <c r="CI149" s="110">
        <f>$O149*AY149*'Cost inputs'!AC$12/1000000</f>
        <v>5.9426670143699976E-2</v>
      </c>
      <c r="CJ149" s="110">
        <f>$O149*AZ149*'Cost inputs'!AD$12/1000000</f>
        <v>6.0734056886861378E-2</v>
      </c>
      <c r="CK149" s="110">
        <f>$O149*BA149*'Cost inputs'!AE$12/1000000</f>
        <v>9.3105309207558481E-2</v>
      </c>
      <c r="CL149" s="110">
        <f>$O149*BB149*'Cost inputs'!AF$12/1000000</f>
        <v>9.5153626010124781E-2</v>
      </c>
      <c r="CM149" s="110">
        <f>$O149*BC149*'Cost inputs'!AG$12/1000000</f>
        <v>9.7247005782347518E-2</v>
      </c>
      <c r="CN149" s="110">
        <f>$O149*BD149*'Cost inputs'!AH$12/1000000</f>
        <v>9.9386439909559171E-2</v>
      </c>
      <c r="CO149" s="110">
        <f>$O149*BE149*'Cost inputs'!AI$12/1000000</f>
        <v>0.22571764797237659</v>
      </c>
      <c r="CP149" s="110">
        <f>$O149*BF149*'Cost inputs'!AJ$12/1000000</f>
        <v>0.23068343622776885</v>
      </c>
      <c r="CQ149" s="110">
        <f>$O149*BG149*'Cost inputs'!AK$12/1000000</f>
        <v>0.2357584718247798</v>
      </c>
      <c r="CR149" s="131">
        <f t="shared" si="252"/>
        <v>1.312255811615554</v>
      </c>
      <c r="CS149" s="26"/>
    </row>
    <row r="150" spans="1:97" x14ac:dyDescent="0.3">
      <c r="A150" s="104" t="str">
        <f t="shared" ref="A150:N150" si="303">A35</f>
        <v>Riverhead-Huapai-Kumeu</v>
      </c>
      <c r="B150" s="104" t="str">
        <f t="shared" si="303"/>
        <v>Kumeu-Huapai-RH RedFlag</v>
      </c>
      <c r="C150" s="104">
        <f t="shared" si="303"/>
        <v>0</v>
      </c>
      <c r="D150" s="104" t="str">
        <f t="shared" si="303"/>
        <v>Kumeu-Huapai and Riverhead</v>
      </c>
      <c r="E150" s="104" t="str">
        <f t="shared" si="303"/>
        <v>3NHP In Huapai settled, 1 NHP in removal area, 20 others in Red flagged</v>
      </c>
      <c r="F150" s="104">
        <f t="shared" si="303"/>
        <v>0</v>
      </c>
      <c r="G150" s="104">
        <f t="shared" si="303"/>
        <v>5</v>
      </c>
      <c r="H150" s="104">
        <f t="shared" si="303"/>
        <v>0</v>
      </c>
      <c r="I150" s="104">
        <f t="shared" si="303"/>
        <v>0</v>
      </c>
      <c r="J150" s="104">
        <f t="shared" si="303"/>
        <v>0</v>
      </c>
      <c r="K150" s="104">
        <f t="shared" si="303"/>
        <v>5</v>
      </c>
      <c r="L150" s="104">
        <f t="shared" si="303"/>
        <v>0</v>
      </c>
      <c r="M150" s="104">
        <f t="shared" si="303"/>
        <v>0</v>
      </c>
      <c r="N150" s="104">
        <f t="shared" si="303"/>
        <v>0</v>
      </c>
      <c r="O150" s="104">
        <f t="shared" si="246"/>
        <v>5</v>
      </c>
      <c r="P150" s="104" cm="1">
        <f t="array" ref="P150">2024+MATCH(1,0/AB150:BG150)</f>
        <v>2056</v>
      </c>
      <c r="Q150" s="104"/>
      <c r="R150" s="104"/>
      <c r="S150" s="104"/>
      <c r="T150" s="104"/>
      <c r="U150" s="125"/>
      <c r="V150" s="125"/>
      <c r="W150" s="125"/>
      <c r="X150" s="125"/>
      <c r="Y150" s="125"/>
      <c r="Z150" s="125"/>
      <c r="AA150" s="125"/>
      <c r="AB150" s="103">
        <f t="shared" ref="AB150:BG150" si="304">AB35</f>
        <v>0</v>
      </c>
      <c r="AC150" s="103">
        <f t="shared" si="304"/>
        <v>0</v>
      </c>
      <c r="AD150" s="103">
        <f t="shared" si="304"/>
        <v>0</v>
      </c>
      <c r="AE150" s="103">
        <f t="shared" si="304"/>
        <v>0</v>
      </c>
      <c r="AF150" s="103">
        <f t="shared" si="304"/>
        <v>0</v>
      </c>
      <c r="AG150" s="103">
        <f t="shared" si="304"/>
        <v>0</v>
      </c>
      <c r="AH150" s="103">
        <f t="shared" si="304"/>
        <v>0</v>
      </c>
      <c r="AI150" s="103">
        <f t="shared" si="304"/>
        <v>0</v>
      </c>
      <c r="AJ150" s="103">
        <f t="shared" si="304"/>
        <v>0</v>
      </c>
      <c r="AK150" s="103">
        <f t="shared" si="304"/>
        <v>0</v>
      </c>
      <c r="AL150" s="103">
        <f t="shared" si="304"/>
        <v>0</v>
      </c>
      <c r="AM150" s="103">
        <f t="shared" si="304"/>
        <v>0</v>
      </c>
      <c r="AN150" s="103">
        <f t="shared" si="304"/>
        <v>0</v>
      </c>
      <c r="AO150" s="103">
        <f t="shared" si="304"/>
        <v>0</v>
      </c>
      <c r="AP150" s="103">
        <f t="shared" si="304"/>
        <v>0</v>
      </c>
      <c r="AQ150" s="103">
        <f t="shared" si="304"/>
        <v>0</v>
      </c>
      <c r="AR150" s="103">
        <f t="shared" si="304"/>
        <v>0</v>
      </c>
      <c r="AS150" s="103">
        <f t="shared" si="304"/>
        <v>0</v>
      </c>
      <c r="AT150" s="103">
        <f t="shared" si="304"/>
        <v>4.9999999999999996E-2</v>
      </c>
      <c r="AU150" s="103">
        <f t="shared" si="304"/>
        <v>4.9999999999999996E-2</v>
      </c>
      <c r="AV150" s="103">
        <f t="shared" si="304"/>
        <v>4.9999999999999996E-2</v>
      </c>
      <c r="AW150" s="103">
        <f t="shared" si="304"/>
        <v>0.125</v>
      </c>
      <c r="AX150" s="103">
        <f t="shared" si="304"/>
        <v>0.125</v>
      </c>
      <c r="AY150" s="103">
        <f t="shared" si="304"/>
        <v>0.125</v>
      </c>
      <c r="AZ150" s="103">
        <f t="shared" si="304"/>
        <v>0.125</v>
      </c>
      <c r="BA150" s="103">
        <f t="shared" si="304"/>
        <v>6.25E-2</v>
      </c>
      <c r="BB150" s="103">
        <f t="shared" si="304"/>
        <v>6.25E-2</v>
      </c>
      <c r="BC150" s="103">
        <f t="shared" si="304"/>
        <v>6.25E-2</v>
      </c>
      <c r="BD150" s="103">
        <f t="shared" si="304"/>
        <v>6.25E-2</v>
      </c>
      <c r="BE150" s="103">
        <f t="shared" si="304"/>
        <v>3.3333333333333333E-2</v>
      </c>
      <c r="BF150" s="103">
        <f t="shared" si="304"/>
        <v>3.3333333333333333E-2</v>
      </c>
      <c r="BG150" s="103">
        <f t="shared" si="304"/>
        <v>3.3333333333333333E-2</v>
      </c>
      <c r="BH150" s="103"/>
      <c r="BI150" s="104"/>
      <c r="BJ150" s="104"/>
      <c r="BK150" s="104"/>
      <c r="BL150" s="110">
        <f>$O150*AB150*'Cost inputs'!F$12/1000000</f>
        <v>0</v>
      </c>
      <c r="BM150" s="110">
        <f>$O150*AC150*'Cost inputs'!G$12/1000000</f>
        <v>0</v>
      </c>
      <c r="BN150" s="110">
        <f>$O150*AD150*'Cost inputs'!H$12/1000000</f>
        <v>0</v>
      </c>
      <c r="BO150" s="110">
        <f>$O150*AE150*'Cost inputs'!I$12/1000000</f>
        <v>0</v>
      </c>
      <c r="BP150" s="110">
        <f>$O150*AF150*'Cost inputs'!J$12/1000000</f>
        <v>0</v>
      </c>
      <c r="BQ150" s="110">
        <f>$O150*AG150*'Cost inputs'!K$12/1000000</f>
        <v>0</v>
      </c>
      <c r="BR150" s="110">
        <f>$O150*AH150*'Cost inputs'!L$12/1000000</f>
        <v>0</v>
      </c>
      <c r="BS150" s="110">
        <f>$O150*AI150*'Cost inputs'!M$12/1000000</f>
        <v>0</v>
      </c>
      <c r="BT150" s="110">
        <f>$O150*AJ150*'Cost inputs'!N$12/1000000</f>
        <v>0</v>
      </c>
      <c r="BU150" s="110">
        <f>$O150*AK150*'Cost inputs'!O$12/1000000</f>
        <v>0</v>
      </c>
      <c r="BV150" s="110">
        <f>$O150*AL150*'Cost inputs'!P$12/1000000</f>
        <v>0</v>
      </c>
      <c r="BW150" s="110">
        <f>$O150*AM150*'Cost inputs'!Q$12/1000000</f>
        <v>0</v>
      </c>
      <c r="BX150" s="110">
        <f>$O150*AN150*'Cost inputs'!R$12/1000000</f>
        <v>0</v>
      </c>
      <c r="BY150" s="110">
        <f>$O150*AO150*'Cost inputs'!S$12/1000000</f>
        <v>0</v>
      </c>
      <c r="BZ150" s="110">
        <f>$O150*AP150*'Cost inputs'!T$12/1000000</f>
        <v>0</v>
      </c>
      <c r="CA150" s="110">
        <f>$O150*AQ150*'Cost inputs'!U$12/1000000</f>
        <v>0</v>
      </c>
      <c r="CB150" s="110">
        <f>$O150*AR150*'Cost inputs'!V$12/1000000</f>
        <v>0</v>
      </c>
      <c r="CC150" s="110">
        <f>$O150*AS150*'Cost inputs'!W$12/1000000</f>
        <v>0</v>
      </c>
      <c r="CD150" s="110">
        <f>$O150*AT150*'Cost inputs'!X$12/1000000</f>
        <v>1.2690467660455286E-2</v>
      </c>
      <c r="CE150" s="110">
        <f>$O150*AU150*'Cost inputs'!Y$12/1000000</f>
        <v>1.2969657948985303E-2</v>
      </c>
      <c r="CF150" s="110">
        <f>$O150*AV150*'Cost inputs'!Z$12/1000000</f>
        <v>1.3254990423862981E-2</v>
      </c>
      <c r="CG150" s="110">
        <f>$O150*AW150*'Cost inputs'!AA$12/1000000</f>
        <v>3.3866500532969919E-2</v>
      </c>
      <c r="CH150" s="110">
        <f>$O150*AX150*'Cost inputs'!AB$12/1000000</f>
        <v>3.4611563544695259E-2</v>
      </c>
      <c r="CI150" s="110">
        <f>$O150*AY150*'Cost inputs'!AC$12/1000000</f>
        <v>3.5373017942678553E-2</v>
      </c>
      <c r="CJ150" s="110">
        <f>$O150*AZ150*'Cost inputs'!AD$12/1000000</f>
        <v>3.6151224337417485E-2</v>
      </c>
      <c r="CK150" s="110">
        <f>$O150*BA150*'Cost inputs'!AE$12/1000000</f>
        <v>1.8473275636420334E-2</v>
      </c>
      <c r="CL150" s="110">
        <f>$O150*BB150*'Cost inputs'!AF$12/1000000</f>
        <v>1.8879687700421581E-2</v>
      </c>
      <c r="CM150" s="110">
        <f>$O150*BC150*'Cost inputs'!AG$12/1000000</f>
        <v>1.9295040829830856E-2</v>
      </c>
      <c r="CN150" s="110">
        <f>$O150*BD150*'Cost inputs'!AH$12/1000000</f>
        <v>1.9719531728087134E-2</v>
      </c>
      <c r="CO150" s="110">
        <f>$O150*BE150*'Cost inputs'!AI$12/1000000</f>
        <v>1.0748459427256028E-2</v>
      </c>
      <c r="CP150" s="110">
        <f>$O150*BF150*'Cost inputs'!AJ$12/1000000</f>
        <v>1.098492553465566E-2</v>
      </c>
      <c r="CQ150" s="110">
        <f>$O150*BG150*'Cost inputs'!AK$12/1000000</f>
        <v>1.1226593896418084E-2</v>
      </c>
      <c r="CR150" s="131">
        <f t="shared" si="252"/>
        <v>0.2882449371441545</v>
      </c>
      <c r="CS150" s="26"/>
    </row>
    <row r="151" spans="1:97" x14ac:dyDescent="0.3">
      <c r="A151" s="104" t="str">
        <f t="shared" ref="A151:N151" si="305">A36</f>
        <v>acquired</v>
      </c>
      <c r="B151" s="104" t="str">
        <f t="shared" si="305"/>
        <v>Reg Sportsfield</v>
      </c>
      <c r="C151" s="104" t="str">
        <f t="shared" si="305"/>
        <v>Redhills</v>
      </c>
      <c r="D151" s="104" t="str">
        <f t="shared" si="305"/>
        <v>Redhills</v>
      </c>
      <c r="E151" s="104" t="str">
        <f t="shared" si="305"/>
        <v>490E Don Buck, 51977m2</v>
      </c>
      <c r="F151" s="104">
        <f t="shared" si="305"/>
        <v>0</v>
      </c>
      <c r="G151" s="104">
        <f t="shared" si="305"/>
        <v>0</v>
      </c>
      <c r="H151" s="104">
        <f t="shared" si="305"/>
        <v>0</v>
      </c>
      <c r="I151" s="104">
        <f t="shared" si="305"/>
        <v>0</v>
      </c>
      <c r="J151" s="104">
        <f t="shared" si="305"/>
        <v>0</v>
      </c>
      <c r="K151" s="104">
        <f t="shared" si="305"/>
        <v>0</v>
      </c>
      <c r="L151" s="104">
        <f t="shared" si="305"/>
        <v>0.51976999999999995</v>
      </c>
      <c r="M151" s="104">
        <f t="shared" si="305"/>
        <v>0</v>
      </c>
      <c r="N151" s="104">
        <f t="shared" si="305"/>
        <v>0</v>
      </c>
      <c r="O151" s="104">
        <f t="shared" si="246"/>
        <v>0</v>
      </c>
      <c r="P151" s="104" t="e" cm="1">
        <f t="array" ref="P151">2024+MATCH(1,0/AB151:BG151)</f>
        <v>#N/A</v>
      </c>
      <c r="Q151" s="104"/>
      <c r="R151" s="104"/>
      <c r="S151" s="104"/>
      <c r="T151" s="104"/>
      <c r="U151" s="104"/>
      <c r="V151" s="104"/>
      <c r="W151" s="104"/>
      <c r="X151" s="104"/>
      <c r="Y151" s="104"/>
      <c r="Z151" s="104"/>
      <c r="AA151" s="104"/>
      <c r="AB151" s="103">
        <f t="shared" ref="AB151:BG151" si="306">AB36</f>
        <v>0</v>
      </c>
      <c r="AC151" s="103">
        <f t="shared" si="306"/>
        <v>0</v>
      </c>
      <c r="AD151" s="103">
        <f t="shared" si="306"/>
        <v>0</v>
      </c>
      <c r="AE151" s="103">
        <f t="shared" si="306"/>
        <v>0</v>
      </c>
      <c r="AF151" s="103">
        <f t="shared" si="306"/>
        <v>0</v>
      </c>
      <c r="AG151" s="103">
        <f t="shared" si="306"/>
        <v>0</v>
      </c>
      <c r="AH151" s="103">
        <f t="shared" si="306"/>
        <v>0</v>
      </c>
      <c r="AI151" s="103">
        <f t="shared" si="306"/>
        <v>0</v>
      </c>
      <c r="AJ151" s="103">
        <f t="shared" si="306"/>
        <v>0</v>
      </c>
      <c r="AK151" s="103">
        <f t="shared" si="306"/>
        <v>0</v>
      </c>
      <c r="AL151" s="103">
        <f t="shared" si="306"/>
        <v>0</v>
      </c>
      <c r="AM151" s="103">
        <f t="shared" si="306"/>
        <v>0</v>
      </c>
      <c r="AN151" s="103">
        <f t="shared" si="306"/>
        <v>0</v>
      </c>
      <c r="AO151" s="103">
        <f t="shared" si="306"/>
        <v>0</v>
      </c>
      <c r="AP151" s="103">
        <f t="shared" si="306"/>
        <v>0</v>
      </c>
      <c r="AQ151" s="103">
        <f t="shared" si="306"/>
        <v>0</v>
      </c>
      <c r="AR151" s="103">
        <f t="shared" si="306"/>
        <v>0</v>
      </c>
      <c r="AS151" s="103">
        <f t="shared" si="306"/>
        <v>0</v>
      </c>
      <c r="AT151" s="103">
        <f t="shared" si="306"/>
        <v>0</v>
      </c>
      <c r="AU151" s="103">
        <f t="shared" si="306"/>
        <v>0</v>
      </c>
      <c r="AV151" s="103">
        <f t="shared" si="306"/>
        <v>0</v>
      </c>
      <c r="AW151" s="103">
        <f t="shared" si="306"/>
        <v>0</v>
      </c>
      <c r="AX151" s="103">
        <f t="shared" si="306"/>
        <v>0</v>
      </c>
      <c r="AY151" s="103">
        <f t="shared" si="306"/>
        <v>0</v>
      </c>
      <c r="AZ151" s="103">
        <f t="shared" si="306"/>
        <v>0</v>
      </c>
      <c r="BA151" s="103">
        <f t="shared" si="306"/>
        <v>0</v>
      </c>
      <c r="BB151" s="103">
        <f t="shared" si="306"/>
        <v>0</v>
      </c>
      <c r="BC151" s="103">
        <f t="shared" si="306"/>
        <v>0</v>
      </c>
      <c r="BD151" s="103">
        <f t="shared" si="306"/>
        <v>0</v>
      </c>
      <c r="BE151" s="103">
        <f t="shared" si="306"/>
        <v>0</v>
      </c>
      <c r="BF151" s="103">
        <f t="shared" si="306"/>
        <v>0</v>
      </c>
      <c r="BG151" s="103">
        <f t="shared" si="306"/>
        <v>0</v>
      </c>
      <c r="BH151" s="103"/>
      <c r="BI151" s="104"/>
      <c r="BJ151" s="104"/>
      <c r="BK151" s="104"/>
      <c r="BL151" s="110">
        <f>$O151*AB151*'Cost inputs'!F$12/1000000</f>
        <v>0</v>
      </c>
      <c r="BM151" s="110">
        <f>$O151*AC151*'Cost inputs'!G$12/1000000</f>
        <v>0</v>
      </c>
      <c r="BN151" s="110">
        <f>$O151*AD151*'Cost inputs'!H$12/1000000</f>
        <v>0</v>
      </c>
      <c r="BO151" s="110">
        <f>$O151*AE151*'Cost inputs'!I$12/1000000</f>
        <v>0</v>
      </c>
      <c r="BP151" s="110">
        <f>$O151*AF151*'Cost inputs'!J$12/1000000</f>
        <v>0</v>
      </c>
      <c r="BQ151" s="110">
        <f>$O151*AG151*'Cost inputs'!K$12/1000000</f>
        <v>0</v>
      </c>
      <c r="BR151" s="110">
        <f>$O151*AH151*'Cost inputs'!L$12/1000000</f>
        <v>0</v>
      </c>
      <c r="BS151" s="110">
        <f>$O151*AI151*'Cost inputs'!M$12/1000000</f>
        <v>0</v>
      </c>
      <c r="BT151" s="110">
        <f>$O151*AJ151*'Cost inputs'!N$12/1000000</f>
        <v>0</v>
      </c>
      <c r="BU151" s="110">
        <f>$O151*AK151*'Cost inputs'!O$12/1000000</f>
        <v>0</v>
      </c>
      <c r="BV151" s="110">
        <f>$O151*AL151*'Cost inputs'!P$12/1000000</f>
        <v>0</v>
      </c>
      <c r="BW151" s="110">
        <f>$O151*AM151*'Cost inputs'!Q$12/1000000</f>
        <v>0</v>
      </c>
      <c r="BX151" s="110">
        <f>$O151*AN151*'Cost inputs'!R$12/1000000</f>
        <v>0</v>
      </c>
      <c r="BY151" s="110">
        <f>$O151*AO151*'Cost inputs'!S$12/1000000</f>
        <v>0</v>
      </c>
      <c r="BZ151" s="110">
        <f>$O151*AP151*'Cost inputs'!T$12/1000000</f>
        <v>0</v>
      </c>
      <c r="CA151" s="110">
        <f>$O151*AQ151*'Cost inputs'!U$12/1000000</f>
        <v>0</v>
      </c>
      <c r="CB151" s="110">
        <f>$O151*AR151*'Cost inputs'!V$12/1000000</f>
        <v>0</v>
      </c>
      <c r="CC151" s="110">
        <f>$O151*AS151*'Cost inputs'!W$12/1000000</f>
        <v>0</v>
      </c>
      <c r="CD151" s="110">
        <f>$O151*AT151*'Cost inputs'!X$12/1000000</f>
        <v>0</v>
      </c>
      <c r="CE151" s="110">
        <f>$O151*AU151*'Cost inputs'!Y$12/1000000</f>
        <v>0</v>
      </c>
      <c r="CF151" s="110">
        <f>$O151*AV151*'Cost inputs'!Z$12/1000000</f>
        <v>0</v>
      </c>
      <c r="CG151" s="110">
        <f>$O151*AW151*'Cost inputs'!AA$12/1000000</f>
        <v>0</v>
      </c>
      <c r="CH151" s="110">
        <f>$O151*AX151*'Cost inputs'!AB$12/1000000</f>
        <v>0</v>
      </c>
      <c r="CI151" s="110">
        <f>$O151*AY151*'Cost inputs'!AC$12/1000000</f>
        <v>0</v>
      </c>
      <c r="CJ151" s="110">
        <f>$O151*AZ151*'Cost inputs'!AD$12/1000000</f>
        <v>0</v>
      </c>
      <c r="CK151" s="110">
        <f>$O151*BA151*'Cost inputs'!AE$12/1000000</f>
        <v>0</v>
      </c>
      <c r="CL151" s="110">
        <f>$O151*BB151*'Cost inputs'!AF$12/1000000</f>
        <v>0</v>
      </c>
      <c r="CM151" s="110">
        <f>$O151*BC151*'Cost inputs'!AG$12/1000000</f>
        <v>0</v>
      </c>
      <c r="CN151" s="110">
        <f>$O151*BD151*'Cost inputs'!AH$12/1000000</f>
        <v>0</v>
      </c>
      <c r="CO151" s="110">
        <f>$O151*BE151*'Cost inputs'!AI$12/1000000</f>
        <v>0</v>
      </c>
      <c r="CP151" s="110">
        <f>$O151*BF151*'Cost inputs'!AJ$12/1000000</f>
        <v>0</v>
      </c>
      <c r="CQ151" s="110">
        <f>$O151*BG151*'Cost inputs'!AK$12/1000000</f>
        <v>0</v>
      </c>
      <c r="CR151" s="131">
        <f t="shared" ref="CR151:CR170" si="307">SUM(BL151:CQ151)</f>
        <v>0</v>
      </c>
      <c r="CS151" s="26"/>
    </row>
    <row r="152" spans="1:97" x14ac:dyDescent="0.3">
      <c r="A152" s="104" t="str">
        <f t="shared" ref="A152:N152" si="308">A37</f>
        <v>Redhills</v>
      </c>
      <c r="B152" s="104" t="str">
        <f t="shared" si="308"/>
        <v>Reg Sportsfield</v>
      </c>
      <c r="C152" s="104" t="str">
        <f t="shared" si="308"/>
        <v>Redhills</v>
      </c>
      <c r="D152" s="104" t="str">
        <f t="shared" si="308"/>
        <v>Redhills Precinct area</v>
      </c>
      <c r="E152" s="104" t="str">
        <f t="shared" si="308"/>
        <v>Remainder 1 less 490E Don Buck, 51977m2</v>
      </c>
      <c r="F152" s="104">
        <f t="shared" si="308"/>
        <v>0</v>
      </c>
      <c r="G152" s="104">
        <f t="shared" si="308"/>
        <v>0</v>
      </c>
      <c r="H152" s="104">
        <f t="shared" si="308"/>
        <v>0.48023000000000005</v>
      </c>
      <c r="I152" s="104">
        <f t="shared" si="308"/>
        <v>0</v>
      </c>
      <c r="J152" s="104">
        <f t="shared" si="308"/>
        <v>0</v>
      </c>
      <c r="K152" s="104">
        <f t="shared" si="308"/>
        <v>0</v>
      </c>
      <c r="L152" s="104">
        <f t="shared" si="308"/>
        <v>0.48023000000000005</v>
      </c>
      <c r="M152" s="104">
        <f t="shared" si="308"/>
        <v>0</v>
      </c>
      <c r="N152" s="104">
        <f t="shared" si="308"/>
        <v>0</v>
      </c>
      <c r="O152" s="104">
        <v>1</v>
      </c>
      <c r="P152" s="104" cm="1">
        <f t="array" ref="P152">2024+MATCH(1,0/AB152:BG152)</f>
        <v>2031</v>
      </c>
      <c r="Q152" s="104"/>
      <c r="R152" s="104"/>
      <c r="S152" s="104"/>
      <c r="T152" s="104"/>
      <c r="U152" s="104"/>
      <c r="V152" s="104"/>
      <c r="W152" s="104"/>
      <c r="X152" s="104"/>
      <c r="Y152" s="104"/>
      <c r="Z152" s="104"/>
      <c r="AA152" s="104"/>
      <c r="AB152" s="103">
        <f t="shared" ref="AB152:BG152" si="309">AB37</f>
        <v>0</v>
      </c>
      <c r="AC152" s="103">
        <f t="shared" si="309"/>
        <v>0.1</v>
      </c>
      <c r="AD152" s="103">
        <f t="shared" si="309"/>
        <v>0.2</v>
      </c>
      <c r="AE152" s="103">
        <f t="shared" si="309"/>
        <v>0.2</v>
      </c>
      <c r="AF152" s="103">
        <f t="shared" si="309"/>
        <v>0.2</v>
      </c>
      <c r="AG152" s="103">
        <f t="shared" si="309"/>
        <v>0.2</v>
      </c>
      <c r="AH152" s="103">
        <f t="shared" si="309"/>
        <v>0.1</v>
      </c>
      <c r="AI152" s="103">
        <f t="shared" si="309"/>
        <v>0</v>
      </c>
      <c r="AJ152" s="103">
        <f t="shared" si="309"/>
        <v>0</v>
      </c>
      <c r="AK152" s="103">
        <f t="shared" si="309"/>
        <v>0</v>
      </c>
      <c r="AL152" s="103">
        <f t="shared" si="309"/>
        <v>0</v>
      </c>
      <c r="AM152" s="103">
        <f t="shared" si="309"/>
        <v>0</v>
      </c>
      <c r="AN152" s="103">
        <f t="shared" si="309"/>
        <v>0</v>
      </c>
      <c r="AO152" s="103">
        <f t="shared" si="309"/>
        <v>0</v>
      </c>
      <c r="AP152" s="103">
        <f t="shared" si="309"/>
        <v>0</v>
      </c>
      <c r="AQ152" s="103">
        <f t="shared" si="309"/>
        <v>0</v>
      </c>
      <c r="AR152" s="103">
        <f t="shared" si="309"/>
        <v>0</v>
      </c>
      <c r="AS152" s="103">
        <f t="shared" si="309"/>
        <v>0</v>
      </c>
      <c r="AT152" s="103">
        <f t="shared" si="309"/>
        <v>0</v>
      </c>
      <c r="AU152" s="103">
        <f t="shared" si="309"/>
        <v>0</v>
      </c>
      <c r="AV152" s="103">
        <f t="shared" si="309"/>
        <v>0</v>
      </c>
      <c r="AW152" s="103">
        <f t="shared" si="309"/>
        <v>0</v>
      </c>
      <c r="AX152" s="103">
        <f t="shared" si="309"/>
        <v>0</v>
      </c>
      <c r="AY152" s="103">
        <f t="shared" si="309"/>
        <v>0</v>
      </c>
      <c r="AZ152" s="103">
        <f t="shared" si="309"/>
        <v>0</v>
      </c>
      <c r="BA152" s="103">
        <f t="shared" si="309"/>
        <v>0</v>
      </c>
      <c r="BB152" s="103">
        <f t="shared" si="309"/>
        <v>0</v>
      </c>
      <c r="BC152" s="103">
        <f t="shared" si="309"/>
        <v>0</v>
      </c>
      <c r="BD152" s="103">
        <f t="shared" si="309"/>
        <v>0</v>
      </c>
      <c r="BE152" s="103">
        <f t="shared" si="309"/>
        <v>0</v>
      </c>
      <c r="BF152" s="103">
        <f t="shared" si="309"/>
        <v>0</v>
      </c>
      <c r="BG152" s="103">
        <f t="shared" si="309"/>
        <v>0</v>
      </c>
      <c r="BH152" s="103"/>
      <c r="BI152" s="104"/>
      <c r="BJ152" s="104"/>
      <c r="BK152" s="104"/>
      <c r="BL152" s="110">
        <f>$O152*AB152*'Cost inputs'!F$12/1000000</f>
        <v>0</v>
      </c>
      <c r="BM152" s="110">
        <f>$O152*AC152*'Cost inputs'!G$12/1000000</f>
        <v>3.472510662809999E-3</v>
      </c>
      <c r="BN152" s="110">
        <f>$O152*AD152*'Cost inputs'!H$12/1000000</f>
        <v>7.1672620080398385E-3</v>
      </c>
      <c r="BO152" s="110">
        <f>$O152*AE152*'Cost inputs'!I$12/1000000</f>
        <v>7.3249417722167148E-3</v>
      </c>
      <c r="BP152" s="110">
        <f>$O152*AF152*'Cost inputs'!J$12/1000000</f>
        <v>7.4860904912054825E-3</v>
      </c>
      <c r="BQ152" s="110">
        <f>$O152*AG152*'Cost inputs'!K$12/1000000</f>
        <v>7.6507844820120022E-3</v>
      </c>
      <c r="BR152" s="110">
        <f>$O152*AH152*'Cost inputs'!L$12/1000000</f>
        <v>3.9095508703081332E-3</v>
      </c>
      <c r="BS152" s="110">
        <f>$O152*AI152*'Cost inputs'!M$12/1000000</f>
        <v>0</v>
      </c>
      <c r="BT152" s="110">
        <f>$O152*AJ152*'Cost inputs'!N$12/1000000</f>
        <v>0</v>
      </c>
      <c r="BU152" s="110">
        <f>$O152*AK152*'Cost inputs'!O$12/1000000</f>
        <v>0</v>
      </c>
      <c r="BV152" s="110">
        <f>$O152*AL152*'Cost inputs'!P$12/1000000</f>
        <v>0</v>
      </c>
      <c r="BW152" s="110">
        <f>$O152*AM152*'Cost inputs'!Q$12/1000000</f>
        <v>0</v>
      </c>
      <c r="BX152" s="110">
        <f>$O152*AN152*'Cost inputs'!R$12/1000000</f>
        <v>0</v>
      </c>
      <c r="BY152" s="110">
        <f>$O152*AO152*'Cost inputs'!S$12/1000000</f>
        <v>0</v>
      </c>
      <c r="BZ152" s="110">
        <f>$O152*AP152*'Cost inputs'!T$12/1000000</f>
        <v>0</v>
      </c>
      <c r="CA152" s="110">
        <f>$O152*AQ152*'Cost inputs'!U$12/1000000</f>
        <v>0</v>
      </c>
      <c r="CB152" s="110">
        <f>$O152*AR152*'Cost inputs'!V$12/1000000</f>
        <v>0</v>
      </c>
      <c r="CC152" s="110">
        <f>$O152*AS152*'Cost inputs'!W$12/1000000</f>
        <v>0</v>
      </c>
      <c r="CD152" s="110">
        <f>$O152*AT152*'Cost inputs'!X$12/1000000</f>
        <v>0</v>
      </c>
      <c r="CE152" s="110">
        <f>$O152*AU152*'Cost inputs'!Y$12/1000000</f>
        <v>0</v>
      </c>
      <c r="CF152" s="110">
        <f>$O152*AV152*'Cost inputs'!Z$12/1000000</f>
        <v>0</v>
      </c>
      <c r="CG152" s="110">
        <f>$O152*AW152*'Cost inputs'!AA$12/1000000</f>
        <v>0</v>
      </c>
      <c r="CH152" s="110">
        <f>$O152*AX152*'Cost inputs'!AB$12/1000000</f>
        <v>0</v>
      </c>
      <c r="CI152" s="110">
        <f>$O152*AY152*'Cost inputs'!AC$12/1000000</f>
        <v>0</v>
      </c>
      <c r="CJ152" s="110">
        <f>$O152*AZ152*'Cost inputs'!AD$12/1000000</f>
        <v>0</v>
      </c>
      <c r="CK152" s="110">
        <f>$O152*BA152*'Cost inputs'!AE$12/1000000</f>
        <v>0</v>
      </c>
      <c r="CL152" s="110">
        <f>$O152*BB152*'Cost inputs'!AF$12/1000000</f>
        <v>0</v>
      </c>
      <c r="CM152" s="110">
        <f>$O152*BC152*'Cost inputs'!AG$12/1000000</f>
        <v>0</v>
      </c>
      <c r="CN152" s="110">
        <f>$O152*BD152*'Cost inputs'!AH$12/1000000</f>
        <v>0</v>
      </c>
      <c r="CO152" s="110">
        <f>$O152*BE152*'Cost inputs'!AI$12/1000000</f>
        <v>0</v>
      </c>
      <c r="CP152" s="110">
        <f>$O152*BF152*'Cost inputs'!AJ$12/1000000</f>
        <v>0</v>
      </c>
      <c r="CQ152" s="110">
        <f>$O152*BG152*'Cost inputs'!AK$12/1000000</f>
        <v>0</v>
      </c>
      <c r="CR152" s="131">
        <f t="shared" si="307"/>
        <v>3.7011140286592172E-2</v>
      </c>
      <c r="CS152" s="26"/>
    </row>
    <row r="153" spans="1:97" x14ac:dyDescent="0.3">
      <c r="A153" s="104" t="str">
        <f t="shared" ref="A153:N153" si="310">A38</f>
        <v>Warkworth</v>
      </c>
      <c r="B153" s="104" t="str">
        <f t="shared" si="310"/>
        <v>Reg Sportsfield</v>
      </c>
      <c r="C153" s="104" t="str">
        <f t="shared" si="310"/>
        <v>Warkworth</v>
      </c>
      <c r="D153" s="104" t="str">
        <f t="shared" si="310"/>
        <v>Warkworth South-East, South-west</v>
      </c>
      <c r="E153" s="104">
        <f t="shared" si="310"/>
        <v>0</v>
      </c>
      <c r="F153" s="104">
        <f t="shared" si="310"/>
        <v>0</v>
      </c>
      <c r="G153" s="104">
        <f t="shared" si="310"/>
        <v>0</v>
      </c>
      <c r="H153" s="104">
        <f t="shared" si="310"/>
        <v>1</v>
      </c>
      <c r="I153" s="104">
        <f t="shared" si="310"/>
        <v>0</v>
      </c>
      <c r="J153" s="104">
        <f t="shared" si="310"/>
        <v>0</v>
      </c>
      <c r="K153" s="104">
        <f t="shared" si="310"/>
        <v>0</v>
      </c>
      <c r="L153" s="104">
        <f t="shared" si="310"/>
        <v>1</v>
      </c>
      <c r="M153" s="104">
        <f t="shared" si="310"/>
        <v>0</v>
      </c>
      <c r="N153" s="104">
        <f t="shared" si="310"/>
        <v>0</v>
      </c>
      <c r="O153" s="104">
        <f t="shared" ref="O153:O179" si="311">ROUND(SUM(F153:I153),0)</f>
        <v>1</v>
      </c>
      <c r="P153" s="104" cm="1">
        <f t="array" ref="P153">2024+MATCH(1,0/AB153:BG153)</f>
        <v>2048</v>
      </c>
      <c r="Q153" s="104"/>
      <c r="R153" s="104"/>
      <c r="S153" s="104"/>
      <c r="T153" s="104"/>
      <c r="U153" s="104"/>
      <c r="V153" s="104"/>
      <c r="W153" s="104"/>
      <c r="X153" s="104"/>
      <c r="Y153" s="104"/>
      <c r="Z153" s="104"/>
      <c r="AA153" s="104"/>
      <c r="AB153" s="103">
        <f t="shared" ref="AB153:BG153" si="312">AB38</f>
        <v>0</v>
      </c>
      <c r="AC153" s="103">
        <f t="shared" si="312"/>
        <v>0</v>
      </c>
      <c r="AD153" s="103">
        <f t="shared" si="312"/>
        <v>0</v>
      </c>
      <c r="AE153" s="103">
        <f t="shared" si="312"/>
        <v>0</v>
      </c>
      <c r="AF153" s="103">
        <f t="shared" si="312"/>
        <v>0</v>
      </c>
      <c r="AG153" s="103">
        <f t="shared" si="312"/>
        <v>0</v>
      </c>
      <c r="AH153" s="103">
        <f t="shared" si="312"/>
        <v>0</v>
      </c>
      <c r="AI153" s="103">
        <f t="shared" si="312"/>
        <v>0</v>
      </c>
      <c r="AJ153" s="103">
        <f t="shared" si="312"/>
        <v>0</v>
      </c>
      <c r="AK153" s="103">
        <f t="shared" si="312"/>
        <v>0</v>
      </c>
      <c r="AL153" s="103">
        <f t="shared" si="312"/>
        <v>0</v>
      </c>
      <c r="AM153" s="103">
        <f t="shared" si="312"/>
        <v>0</v>
      </c>
      <c r="AN153" s="103">
        <f t="shared" si="312"/>
        <v>0</v>
      </c>
      <c r="AO153" s="103">
        <f t="shared" si="312"/>
        <v>0.13333333333333333</v>
      </c>
      <c r="AP153" s="103">
        <f t="shared" si="312"/>
        <v>0.13333333333333333</v>
      </c>
      <c r="AQ153" s="103">
        <f t="shared" si="312"/>
        <v>0.13333333333333333</v>
      </c>
      <c r="AR153" s="103">
        <f t="shared" si="312"/>
        <v>0.1</v>
      </c>
      <c r="AS153" s="103">
        <f t="shared" si="312"/>
        <v>0.1</v>
      </c>
      <c r="AT153" s="103">
        <f t="shared" si="312"/>
        <v>0.1</v>
      </c>
      <c r="AU153" s="103">
        <f t="shared" si="312"/>
        <v>0.1</v>
      </c>
      <c r="AV153" s="103">
        <f t="shared" si="312"/>
        <v>0.05</v>
      </c>
      <c r="AW153" s="103">
        <f t="shared" si="312"/>
        <v>0.05</v>
      </c>
      <c r="AX153" s="103">
        <f t="shared" si="312"/>
        <v>0.05</v>
      </c>
      <c r="AY153" s="103">
        <f t="shared" si="312"/>
        <v>0.05</v>
      </c>
      <c r="AZ153" s="103">
        <f t="shared" si="312"/>
        <v>0</v>
      </c>
      <c r="BA153" s="103">
        <f t="shared" si="312"/>
        <v>0</v>
      </c>
      <c r="BB153" s="103">
        <f t="shared" si="312"/>
        <v>0</v>
      </c>
      <c r="BC153" s="103">
        <f t="shared" si="312"/>
        <v>0</v>
      </c>
      <c r="BD153" s="103">
        <f t="shared" si="312"/>
        <v>0</v>
      </c>
      <c r="BE153" s="103">
        <f t="shared" si="312"/>
        <v>0</v>
      </c>
      <c r="BF153" s="103">
        <f t="shared" si="312"/>
        <v>0</v>
      </c>
      <c r="BG153" s="103">
        <f t="shared" si="312"/>
        <v>0</v>
      </c>
      <c r="BH153" s="103"/>
      <c r="BI153" s="104"/>
      <c r="BJ153" s="104"/>
      <c r="BK153" s="104"/>
      <c r="BL153" s="110">
        <f>$O153*AB153*'Cost inputs'!F$12/1000000</f>
        <v>0</v>
      </c>
      <c r="BM153" s="110">
        <f>$O153*AC153*'Cost inputs'!G$12/1000000</f>
        <v>0</v>
      </c>
      <c r="BN153" s="110">
        <f>$O153*AD153*'Cost inputs'!H$12/1000000</f>
        <v>0</v>
      </c>
      <c r="BO153" s="110">
        <f>$O153*AE153*'Cost inputs'!I$12/1000000</f>
        <v>0</v>
      </c>
      <c r="BP153" s="110">
        <f>$O153*AF153*'Cost inputs'!J$12/1000000</f>
        <v>0</v>
      </c>
      <c r="BQ153" s="110">
        <f>$O153*AG153*'Cost inputs'!K$12/1000000</f>
        <v>0</v>
      </c>
      <c r="BR153" s="110">
        <f>$O153*AH153*'Cost inputs'!L$12/1000000</f>
        <v>0</v>
      </c>
      <c r="BS153" s="110">
        <f>$O153*AI153*'Cost inputs'!M$12/1000000</f>
        <v>0</v>
      </c>
      <c r="BT153" s="110">
        <f>$O153*AJ153*'Cost inputs'!N$12/1000000</f>
        <v>0</v>
      </c>
      <c r="BU153" s="110">
        <f>$O153*AK153*'Cost inputs'!O$12/1000000</f>
        <v>0</v>
      </c>
      <c r="BV153" s="110">
        <f>$O153*AL153*'Cost inputs'!P$12/1000000</f>
        <v>0</v>
      </c>
      <c r="BW153" s="110">
        <f>$O153*AM153*'Cost inputs'!Q$12/1000000</f>
        <v>0</v>
      </c>
      <c r="BX153" s="110">
        <f>$O153*AN153*'Cost inputs'!R$12/1000000</f>
        <v>0</v>
      </c>
      <c r="BY153" s="110">
        <f>$O153*AO153*'Cost inputs'!S$12/1000000</f>
        <v>6.0704638283728893E-3</v>
      </c>
      <c r="BZ153" s="110">
        <f>$O153*AP153*'Cost inputs'!T$12/1000000</f>
        <v>6.2040140325970924E-3</v>
      </c>
      <c r="CA153" s="110">
        <f>$O153*AQ153*'Cost inputs'!U$12/1000000</f>
        <v>6.3405023413142291E-3</v>
      </c>
      <c r="CB153" s="110">
        <f>$O153*AR153*'Cost inputs'!V$12/1000000</f>
        <v>4.8599950446173565E-3</v>
      </c>
      <c r="CC153" s="110">
        <f>$O153*AS153*'Cost inputs'!W$12/1000000</f>
        <v>4.9669149355989397E-3</v>
      </c>
      <c r="CD153" s="110">
        <f>$O153*AT153*'Cost inputs'!X$12/1000000</f>
        <v>5.0761870641821147E-3</v>
      </c>
      <c r="CE153" s="110">
        <f>$O153*AU153*'Cost inputs'!Y$12/1000000</f>
        <v>5.1878631795941217E-3</v>
      </c>
      <c r="CF153" s="110">
        <f>$O153*AV153*'Cost inputs'!Z$12/1000000</f>
        <v>2.6509980847725964E-3</v>
      </c>
      <c r="CG153" s="110">
        <f>$O153*AW153*'Cost inputs'!AA$12/1000000</f>
        <v>2.7093200426375938E-3</v>
      </c>
      <c r="CH153" s="110">
        <f>$O153*AX153*'Cost inputs'!AB$12/1000000</f>
        <v>2.768925083575621E-3</v>
      </c>
      <c r="CI153" s="110">
        <f>$O153*AY153*'Cost inputs'!AC$12/1000000</f>
        <v>2.8298414354142845E-3</v>
      </c>
      <c r="CJ153" s="110">
        <f>$O153*AZ153*'Cost inputs'!AD$12/1000000</f>
        <v>0</v>
      </c>
      <c r="CK153" s="110">
        <f>$O153*BA153*'Cost inputs'!AE$12/1000000</f>
        <v>0</v>
      </c>
      <c r="CL153" s="110">
        <f>$O153*BB153*'Cost inputs'!AF$12/1000000</f>
        <v>0</v>
      </c>
      <c r="CM153" s="110">
        <f>$O153*BC153*'Cost inputs'!AG$12/1000000</f>
        <v>0</v>
      </c>
      <c r="CN153" s="110">
        <f>$O153*BD153*'Cost inputs'!AH$12/1000000</f>
        <v>0</v>
      </c>
      <c r="CO153" s="110">
        <f>$O153*BE153*'Cost inputs'!AI$12/1000000</f>
        <v>0</v>
      </c>
      <c r="CP153" s="110">
        <f>$O153*BF153*'Cost inputs'!AJ$12/1000000</f>
        <v>0</v>
      </c>
      <c r="CQ153" s="110">
        <f>$O153*BG153*'Cost inputs'!AK$12/1000000</f>
        <v>0</v>
      </c>
      <c r="CR153" s="131">
        <f t="shared" si="307"/>
        <v>4.9665025072676845E-2</v>
      </c>
      <c r="CS153" s="26"/>
    </row>
    <row r="154" spans="1:97" x14ac:dyDescent="0.3">
      <c r="A154" s="104" t="str">
        <f t="shared" ref="A154:N154" si="313">A39</f>
        <v>acquired</v>
      </c>
      <c r="B154" s="104" t="str">
        <f t="shared" si="313"/>
        <v>Whenuapai</v>
      </c>
      <c r="C154" s="104">
        <f t="shared" si="313"/>
        <v>0</v>
      </c>
      <c r="D154" s="104" t="str">
        <f t="shared" si="313"/>
        <v>Whenuapai East/South</v>
      </c>
      <c r="E154" s="104" t="str">
        <f t="shared" si="313"/>
        <v>2555m2 already acq in trig Rd</v>
      </c>
      <c r="F154" s="104">
        <f t="shared" si="313"/>
        <v>0</v>
      </c>
      <c r="G154" s="104">
        <f t="shared" si="313"/>
        <v>0</v>
      </c>
      <c r="H154" s="104">
        <f t="shared" si="313"/>
        <v>0</v>
      </c>
      <c r="I154" s="104">
        <f t="shared" si="313"/>
        <v>0</v>
      </c>
      <c r="J154" s="104">
        <f t="shared" si="313"/>
        <v>0</v>
      </c>
      <c r="K154" s="104">
        <f t="shared" si="313"/>
        <v>8.5166666666666613E-2</v>
      </c>
      <c r="L154" s="104">
        <f t="shared" si="313"/>
        <v>0</v>
      </c>
      <c r="M154" s="104">
        <f t="shared" si="313"/>
        <v>0</v>
      </c>
      <c r="N154" s="104">
        <f t="shared" si="313"/>
        <v>0</v>
      </c>
      <c r="O154" s="104">
        <f t="shared" si="311"/>
        <v>0</v>
      </c>
      <c r="P154" s="104"/>
      <c r="Q154" s="104"/>
      <c r="R154" s="104"/>
      <c r="S154" s="104"/>
      <c r="T154" s="104"/>
      <c r="U154" s="104"/>
      <c r="V154" s="104"/>
      <c r="W154" s="104"/>
      <c r="X154" s="104"/>
      <c r="Y154" s="104"/>
      <c r="Z154" s="104"/>
      <c r="AA154" s="104"/>
      <c r="AB154" s="103">
        <f t="shared" ref="AB154:BG154" si="314">AB39</f>
        <v>0</v>
      </c>
      <c r="AC154" s="103">
        <f t="shared" si="314"/>
        <v>0</v>
      </c>
      <c r="AD154" s="103">
        <f t="shared" si="314"/>
        <v>0</v>
      </c>
      <c r="AE154" s="103">
        <f t="shared" si="314"/>
        <v>0</v>
      </c>
      <c r="AF154" s="103">
        <f t="shared" si="314"/>
        <v>0</v>
      </c>
      <c r="AG154" s="103">
        <f t="shared" si="314"/>
        <v>0</v>
      </c>
      <c r="AH154" s="103">
        <f t="shared" si="314"/>
        <v>0</v>
      </c>
      <c r="AI154" s="103">
        <f t="shared" si="314"/>
        <v>0</v>
      </c>
      <c r="AJ154" s="103">
        <f t="shared" si="314"/>
        <v>0</v>
      </c>
      <c r="AK154" s="103">
        <f t="shared" si="314"/>
        <v>0</v>
      </c>
      <c r="AL154" s="103">
        <f t="shared" si="314"/>
        <v>0</v>
      </c>
      <c r="AM154" s="103">
        <f t="shared" si="314"/>
        <v>0</v>
      </c>
      <c r="AN154" s="103">
        <f t="shared" si="314"/>
        <v>0</v>
      </c>
      <c r="AO154" s="103">
        <f t="shared" si="314"/>
        <v>0</v>
      </c>
      <c r="AP154" s="103">
        <f t="shared" si="314"/>
        <v>0</v>
      </c>
      <c r="AQ154" s="103">
        <f t="shared" si="314"/>
        <v>0</v>
      </c>
      <c r="AR154" s="103">
        <f t="shared" si="314"/>
        <v>0</v>
      </c>
      <c r="AS154" s="103">
        <f t="shared" si="314"/>
        <v>0</v>
      </c>
      <c r="AT154" s="103">
        <f t="shared" si="314"/>
        <v>0</v>
      </c>
      <c r="AU154" s="103">
        <f t="shared" si="314"/>
        <v>0</v>
      </c>
      <c r="AV154" s="103">
        <f t="shared" si="314"/>
        <v>0</v>
      </c>
      <c r="AW154" s="103">
        <f t="shared" si="314"/>
        <v>0</v>
      </c>
      <c r="AX154" s="103">
        <f t="shared" si="314"/>
        <v>0</v>
      </c>
      <c r="AY154" s="103">
        <f t="shared" si="314"/>
        <v>0</v>
      </c>
      <c r="AZ154" s="103">
        <f t="shared" si="314"/>
        <v>0</v>
      </c>
      <c r="BA154" s="103">
        <f t="shared" si="314"/>
        <v>0</v>
      </c>
      <c r="BB154" s="103">
        <f t="shared" si="314"/>
        <v>0</v>
      </c>
      <c r="BC154" s="103">
        <f t="shared" si="314"/>
        <v>0</v>
      </c>
      <c r="BD154" s="103">
        <f t="shared" si="314"/>
        <v>0</v>
      </c>
      <c r="BE154" s="103">
        <f t="shared" si="314"/>
        <v>0</v>
      </c>
      <c r="BF154" s="103">
        <f t="shared" si="314"/>
        <v>0</v>
      </c>
      <c r="BG154" s="103">
        <f t="shared" si="314"/>
        <v>0</v>
      </c>
      <c r="BH154" s="103"/>
      <c r="BI154" s="104"/>
      <c r="BJ154" s="104"/>
      <c r="BK154" s="104"/>
      <c r="BL154" s="110">
        <f>$O154*AB154*'Cost inputs'!F$12/1000000</f>
        <v>0</v>
      </c>
      <c r="BM154" s="110">
        <f>$O154*AC154*'Cost inputs'!G$12/1000000</f>
        <v>0</v>
      </c>
      <c r="BN154" s="110">
        <f>$O154*AD154*'Cost inputs'!H$12/1000000</f>
        <v>0</v>
      </c>
      <c r="BO154" s="110">
        <f>$O154*AE154*'Cost inputs'!I$12/1000000</f>
        <v>0</v>
      </c>
      <c r="BP154" s="110">
        <f>$O154*AF154*'Cost inputs'!J$12/1000000</f>
        <v>0</v>
      </c>
      <c r="BQ154" s="110">
        <f>$O154*AG154*'Cost inputs'!K$12/1000000</f>
        <v>0</v>
      </c>
      <c r="BR154" s="110">
        <f>$O154*AH154*'Cost inputs'!L$12/1000000</f>
        <v>0</v>
      </c>
      <c r="BS154" s="110">
        <f>$O154*AI154*'Cost inputs'!M$12/1000000</f>
        <v>0</v>
      </c>
      <c r="BT154" s="110">
        <f>$O154*AJ154*'Cost inputs'!N$12/1000000</f>
        <v>0</v>
      </c>
      <c r="BU154" s="110">
        <f>$O154*AK154*'Cost inputs'!O$12/1000000</f>
        <v>0</v>
      </c>
      <c r="BV154" s="110">
        <f>$O154*AL154*'Cost inputs'!P$12/1000000</f>
        <v>0</v>
      </c>
      <c r="BW154" s="110">
        <f>$O154*AM154*'Cost inputs'!Q$12/1000000</f>
        <v>0</v>
      </c>
      <c r="BX154" s="110">
        <f>$O154*AN154*'Cost inputs'!R$12/1000000</f>
        <v>0</v>
      </c>
      <c r="BY154" s="110">
        <f>$O154*AO154*'Cost inputs'!S$12/1000000</f>
        <v>0</v>
      </c>
      <c r="BZ154" s="110">
        <f>$O154*AP154*'Cost inputs'!T$12/1000000</f>
        <v>0</v>
      </c>
      <c r="CA154" s="110">
        <f>$O154*AQ154*'Cost inputs'!U$12/1000000</f>
        <v>0</v>
      </c>
      <c r="CB154" s="110">
        <f>$O154*AR154*'Cost inputs'!V$12/1000000</f>
        <v>0</v>
      </c>
      <c r="CC154" s="110">
        <f>$O154*AS154*'Cost inputs'!W$12/1000000</f>
        <v>0</v>
      </c>
      <c r="CD154" s="110">
        <f>$O154*AT154*'Cost inputs'!X$12/1000000</f>
        <v>0</v>
      </c>
      <c r="CE154" s="110">
        <f>$O154*AU154*'Cost inputs'!Y$12/1000000</f>
        <v>0</v>
      </c>
      <c r="CF154" s="110">
        <f>$O154*AV154*'Cost inputs'!Z$12/1000000</f>
        <v>0</v>
      </c>
      <c r="CG154" s="110">
        <f>$O154*AW154*'Cost inputs'!AA$12/1000000</f>
        <v>0</v>
      </c>
      <c r="CH154" s="110">
        <f>$O154*AX154*'Cost inputs'!AB$12/1000000</f>
        <v>0</v>
      </c>
      <c r="CI154" s="110">
        <f>$O154*AY154*'Cost inputs'!AC$12/1000000</f>
        <v>0</v>
      </c>
      <c r="CJ154" s="110">
        <f>$O154*AZ154*'Cost inputs'!AD$12/1000000</f>
        <v>0</v>
      </c>
      <c r="CK154" s="110">
        <f>$O154*BA154*'Cost inputs'!AE$12/1000000</f>
        <v>0</v>
      </c>
      <c r="CL154" s="110">
        <f>$O154*BB154*'Cost inputs'!AF$12/1000000</f>
        <v>0</v>
      </c>
      <c r="CM154" s="110">
        <f>$O154*BC154*'Cost inputs'!AG$12/1000000</f>
        <v>0</v>
      </c>
      <c r="CN154" s="110">
        <f>$O154*BD154*'Cost inputs'!AH$12/1000000</f>
        <v>0</v>
      </c>
      <c r="CO154" s="110">
        <f>$O154*BE154*'Cost inputs'!AI$12/1000000</f>
        <v>0</v>
      </c>
      <c r="CP154" s="110">
        <f>$O154*BF154*'Cost inputs'!AJ$12/1000000</f>
        <v>0</v>
      </c>
      <c r="CQ154" s="110">
        <f>$O154*BG154*'Cost inputs'!AK$12/1000000</f>
        <v>0</v>
      </c>
      <c r="CR154" s="131">
        <f t="shared" si="307"/>
        <v>0</v>
      </c>
      <c r="CS154" s="26"/>
    </row>
    <row r="155" spans="1:97" x14ac:dyDescent="0.3">
      <c r="A155" s="104" t="str">
        <f t="shared" ref="A155:N155" si="315">A40</f>
        <v>Whenuapai</v>
      </c>
      <c r="B155" s="104" t="str">
        <f t="shared" si="315"/>
        <v>ScottPt-BombPt</v>
      </c>
      <c r="C155" s="104">
        <f t="shared" si="315"/>
        <v>0</v>
      </c>
      <c r="D155" s="104" t="str">
        <f t="shared" si="315"/>
        <v>Scott Pt LZ</v>
      </c>
      <c r="E155" s="104" t="str">
        <f t="shared" si="315"/>
        <v>BombPt SBP, SULs</v>
      </c>
      <c r="F155" s="104">
        <f t="shared" si="315"/>
        <v>0</v>
      </c>
      <c r="G155" s="104">
        <f t="shared" si="315"/>
        <v>1</v>
      </c>
      <c r="H155" s="104">
        <f t="shared" si="315"/>
        <v>0</v>
      </c>
      <c r="I155" s="104">
        <f t="shared" si="315"/>
        <v>0</v>
      </c>
      <c r="J155" s="104">
        <f t="shared" si="315"/>
        <v>0</v>
      </c>
      <c r="K155" s="104">
        <f t="shared" si="315"/>
        <v>1</v>
      </c>
      <c r="L155" s="104">
        <f t="shared" si="315"/>
        <v>0</v>
      </c>
      <c r="M155" s="104">
        <f t="shared" si="315"/>
        <v>0</v>
      </c>
      <c r="N155" s="104">
        <f t="shared" si="315"/>
        <v>0</v>
      </c>
      <c r="O155" s="104">
        <f t="shared" si="311"/>
        <v>1</v>
      </c>
      <c r="P155" s="104" cm="1">
        <f t="array" ref="P155">2024+MATCH(1,0/AB155:BG155)</f>
        <v>2042</v>
      </c>
      <c r="Q155" s="104" t="str">
        <f>D155</f>
        <v>Scott Pt LZ</v>
      </c>
      <c r="R155" s="104" t="str">
        <f>E155</f>
        <v>BombPt SBP, SULs</v>
      </c>
      <c r="S155" s="104"/>
      <c r="T155" s="104"/>
      <c r="U155" s="104"/>
      <c r="V155" s="104"/>
      <c r="W155" s="104"/>
      <c r="X155" s="104"/>
      <c r="Y155" s="104"/>
      <c r="Z155" s="104"/>
      <c r="AA155" s="104"/>
      <c r="AB155" s="103">
        <f t="shared" ref="AB155:BG155" si="316">AB40</f>
        <v>0</v>
      </c>
      <c r="AC155" s="103">
        <f t="shared" si="316"/>
        <v>0</v>
      </c>
      <c r="AD155" s="103">
        <f t="shared" si="316"/>
        <v>0</v>
      </c>
      <c r="AE155" s="103">
        <f t="shared" si="316"/>
        <v>0</v>
      </c>
      <c r="AF155" s="103">
        <f t="shared" si="316"/>
        <v>0</v>
      </c>
      <c r="AG155" s="103">
        <f t="shared" si="316"/>
        <v>0</v>
      </c>
      <c r="AH155" s="103">
        <f t="shared" si="316"/>
        <v>0</v>
      </c>
      <c r="AI155" s="103">
        <f t="shared" si="316"/>
        <v>0</v>
      </c>
      <c r="AJ155" s="103">
        <f t="shared" si="316"/>
        <v>0</v>
      </c>
      <c r="AK155" s="103">
        <f t="shared" si="316"/>
        <v>0.06</v>
      </c>
      <c r="AL155" s="103">
        <f t="shared" si="316"/>
        <v>0.10472734996525389</v>
      </c>
      <c r="AM155" s="103">
        <f t="shared" si="316"/>
        <v>0.10601471966704468</v>
      </c>
      <c r="AN155" s="103">
        <f t="shared" si="316"/>
        <v>0.10750477164694536</v>
      </c>
      <c r="AO155" s="103">
        <f t="shared" si="316"/>
        <v>0.10314837920794254</v>
      </c>
      <c r="AP155" s="103">
        <f t="shared" si="316"/>
        <v>4.8886873976350477E-2</v>
      </c>
      <c r="AQ155" s="103">
        <f t="shared" si="316"/>
        <v>5.2554477979523215E-2</v>
      </c>
      <c r="AR155" s="103">
        <f t="shared" si="316"/>
        <v>0.20858171377846996</v>
      </c>
      <c r="AS155" s="103">
        <f t="shared" si="316"/>
        <v>0.20858171377846996</v>
      </c>
      <c r="AT155" s="103">
        <f t="shared" si="316"/>
        <v>0</v>
      </c>
      <c r="AU155" s="103">
        <f t="shared" si="316"/>
        <v>0</v>
      </c>
      <c r="AV155" s="103">
        <f t="shared" si="316"/>
        <v>0</v>
      </c>
      <c r="AW155" s="103">
        <f t="shared" si="316"/>
        <v>0</v>
      </c>
      <c r="AX155" s="103">
        <f t="shared" si="316"/>
        <v>0</v>
      </c>
      <c r="AY155" s="103">
        <f t="shared" si="316"/>
        <v>0</v>
      </c>
      <c r="AZ155" s="103">
        <f t="shared" si="316"/>
        <v>0</v>
      </c>
      <c r="BA155" s="103">
        <f t="shared" si="316"/>
        <v>0</v>
      </c>
      <c r="BB155" s="103">
        <f t="shared" si="316"/>
        <v>0</v>
      </c>
      <c r="BC155" s="103">
        <f t="shared" si="316"/>
        <v>0</v>
      </c>
      <c r="BD155" s="103">
        <f t="shared" si="316"/>
        <v>0</v>
      </c>
      <c r="BE155" s="103">
        <f t="shared" si="316"/>
        <v>0</v>
      </c>
      <c r="BF155" s="103">
        <f t="shared" si="316"/>
        <v>0</v>
      </c>
      <c r="BG155" s="103">
        <f t="shared" si="316"/>
        <v>0</v>
      </c>
      <c r="BH155" s="103"/>
      <c r="BI155" s="104"/>
      <c r="BJ155" s="104"/>
      <c r="BK155" s="104"/>
      <c r="BL155" s="110">
        <f>$O155*AB155*'Cost inputs'!F$12/1000000</f>
        <v>0</v>
      </c>
      <c r="BM155" s="110">
        <f>$O155*AC155*'Cost inputs'!G$12/1000000</f>
        <v>0</v>
      </c>
      <c r="BN155" s="110">
        <f>$O155*AD155*'Cost inputs'!H$12/1000000</f>
        <v>0</v>
      </c>
      <c r="BO155" s="110">
        <f>$O155*AE155*'Cost inputs'!I$12/1000000</f>
        <v>0</v>
      </c>
      <c r="BP155" s="110">
        <f>$O155*AF155*'Cost inputs'!J$12/1000000</f>
        <v>0</v>
      </c>
      <c r="BQ155" s="110">
        <f>$O155*AG155*'Cost inputs'!K$12/1000000</f>
        <v>0</v>
      </c>
      <c r="BR155" s="110">
        <f>$O155*AH155*'Cost inputs'!L$12/1000000</f>
        <v>0</v>
      </c>
      <c r="BS155" s="110">
        <f>$O155*AI155*'Cost inputs'!M$12/1000000</f>
        <v>0</v>
      </c>
      <c r="BT155" s="110">
        <f>$O155*AJ155*'Cost inputs'!N$12/1000000</f>
        <v>0</v>
      </c>
      <c r="BU155" s="110">
        <f>$O155*AK155*'Cost inputs'!O$12/1000000</f>
        <v>2.5039797147058942E-3</v>
      </c>
      <c r="BV155" s="110">
        <f>$O155*AL155*'Cost inputs'!P$12/1000000</f>
        <v>4.4667388900905772E-3</v>
      </c>
      <c r="BW155" s="110">
        <f>$O155*AM155*'Cost inputs'!Q$12/1000000</f>
        <v>4.6211228775205259E-3</v>
      </c>
      <c r="BX155" s="110">
        <f>$O155*AN155*'Cost inputs'!R$12/1000000</f>
        <v>4.7891670327319166E-3</v>
      </c>
      <c r="BY155" s="110">
        <f>$O155*AO155*'Cost inputs'!S$12/1000000</f>
        <v>4.6961887870282911E-3</v>
      </c>
      <c r="BZ155" s="110">
        <f>$O155*AP155*'Cost inputs'!T$12/1000000</f>
        <v>2.27471139119313E-3</v>
      </c>
      <c r="CA155" s="110">
        <f>$O155*AQ155*'Cost inputs'!U$12/1000000</f>
        <v>2.499163430067855E-3</v>
      </c>
      <c r="CB155" s="110">
        <f>$O155*AR155*'Cost inputs'!V$12/1000000</f>
        <v>1.0137060953611597E-2</v>
      </c>
      <c r="CC155" s="110">
        <f>$O155*AS155*'Cost inputs'!W$12/1000000</f>
        <v>1.0360076294591054E-2</v>
      </c>
      <c r="CD155" s="110">
        <f>$O155*AT155*'Cost inputs'!X$12/1000000</f>
        <v>0</v>
      </c>
      <c r="CE155" s="110">
        <f>$O155*AU155*'Cost inputs'!Y$12/1000000</f>
        <v>0</v>
      </c>
      <c r="CF155" s="110">
        <f>$O155*AV155*'Cost inputs'!Z$12/1000000</f>
        <v>0</v>
      </c>
      <c r="CG155" s="110">
        <f>$O155*AW155*'Cost inputs'!AA$12/1000000</f>
        <v>0</v>
      </c>
      <c r="CH155" s="110">
        <f>$O155*AX155*'Cost inputs'!AB$12/1000000</f>
        <v>0</v>
      </c>
      <c r="CI155" s="110">
        <f>$O155*AY155*'Cost inputs'!AC$12/1000000</f>
        <v>0</v>
      </c>
      <c r="CJ155" s="110">
        <f>$O155*AZ155*'Cost inputs'!AD$12/1000000</f>
        <v>0</v>
      </c>
      <c r="CK155" s="110">
        <f>$O155*BA155*'Cost inputs'!AE$12/1000000</f>
        <v>0</v>
      </c>
      <c r="CL155" s="110">
        <f>$O155*BB155*'Cost inputs'!AF$12/1000000</f>
        <v>0</v>
      </c>
      <c r="CM155" s="110">
        <f>$O155*BC155*'Cost inputs'!AG$12/1000000</f>
        <v>0</v>
      </c>
      <c r="CN155" s="110">
        <f>$O155*BD155*'Cost inputs'!AH$12/1000000</f>
        <v>0</v>
      </c>
      <c r="CO155" s="110">
        <f>$O155*BE155*'Cost inputs'!AI$12/1000000</f>
        <v>0</v>
      </c>
      <c r="CP155" s="110">
        <f>$O155*BF155*'Cost inputs'!AJ$12/1000000</f>
        <v>0</v>
      </c>
      <c r="CQ155" s="110">
        <f>$O155*BG155*'Cost inputs'!AK$12/1000000</f>
        <v>0</v>
      </c>
      <c r="CR155" s="131">
        <f t="shared" si="307"/>
        <v>4.6348209371540841E-2</v>
      </c>
      <c r="CS155" s="26"/>
    </row>
    <row r="156" spans="1:97" x14ac:dyDescent="0.3">
      <c r="A156" s="104" t="str">
        <f t="shared" ref="A156:N156" si="317">A41</f>
        <v>Whenuapai</v>
      </c>
      <c r="B156" s="104" t="str">
        <f t="shared" si="317"/>
        <v>ScottPt-BombPt</v>
      </c>
      <c r="C156" s="104">
        <f t="shared" si="317"/>
        <v>0</v>
      </c>
      <c r="D156" s="104" t="str">
        <f t="shared" si="317"/>
        <v>Scott Pt LZ</v>
      </c>
      <c r="E156" s="142" t="str">
        <f t="shared" si="317"/>
        <v>Tahingamanu</v>
      </c>
      <c r="F156" s="104">
        <f t="shared" si="317"/>
        <v>1</v>
      </c>
      <c r="G156" s="104">
        <f t="shared" si="317"/>
        <v>0</v>
      </c>
      <c r="H156" s="104">
        <f t="shared" si="317"/>
        <v>0</v>
      </c>
      <c r="I156" s="104">
        <f t="shared" si="317"/>
        <v>0</v>
      </c>
      <c r="J156" s="104">
        <f t="shared" si="317"/>
        <v>1</v>
      </c>
      <c r="K156" s="104">
        <f t="shared" si="317"/>
        <v>0</v>
      </c>
      <c r="L156" s="104">
        <f t="shared" si="317"/>
        <v>0</v>
      </c>
      <c r="M156" s="104">
        <f t="shared" si="317"/>
        <v>0</v>
      </c>
      <c r="N156" s="104">
        <f t="shared" si="317"/>
        <v>0</v>
      </c>
      <c r="O156" s="104">
        <f t="shared" si="311"/>
        <v>1</v>
      </c>
      <c r="P156" s="104" cm="1">
        <f t="array" ref="P156">2024+MATCH(1,0/AB156:BG156)</f>
        <v>2029</v>
      </c>
      <c r="Q156" s="104" t="str">
        <f t="shared" ref="Q156:Q214" si="318">D156</f>
        <v>Scott Pt LZ</v>
      </c>
      <c r="R156" s="104"/>
      <c r="S156" s="104"/>
      <c r="T156" s="104"/>
      <c r="U156" s="104"/>
      <c r="V156" s="104"/>
      <c r="W156" s="104"/>
      <c r="X156" s="104"/>
      <c r="Y156" s="104"/>
      <c r="Z156" s="104"/>
      <c r="AA156" s="104"/>
      <c r="AB156" s="103">
        <f t="shared" ref="AB156:BG156" si="319">AB41</f>
        <v>0.2</v>
      </c>
      <c r="AC156" s="103">
        <f t="shared" si="319"/>
        <v>0.2</v>
      </c>
      <c r="AD156" s="103">
        <f t="shared" si="319"/>
        <v>0.2</v>
      </c>
      <c r="AE156" s="103">
        <f t="shared" si="319"/>
        <v>0.2</v>
      </c>
      <c r="AF156" s="103">
        <f t="shared" si="319"/>
        <v>0.2</v>
      </c>
      <c r="AG156" s="103">
        <f t="shared" si="319"/>
        <v>0</v>
      </c>
      <c r="AH156" s="103">
        <f t="shared" si="319"/>
        <v>0</v>
      </c>
      <c r="AI156" s="103">
        <f t="shared" si="319"/>
        <v>0</v>
      </c>
      <c r="AJ156" s="103">
        <f t="shared" si="319"/>
        <v>0</v>
      </c>
      <c r="AK156" s="103">
        <f t="shared" si="319"/>
        <v>0</v>
      </c>
      <c r="AL156" s="103">
        <f t="shared" si="319"/>
        <v>0</v>
      </c>
      <c r="AM156" s="103">
        <f t="shared" si="319"/>
        <v>0</v>
      </c>
      <c r="AN156" s="103">
        <f t="shared" si="319"/>
        <v>0</v>
      </c>
      <c r="AO156" s="103">
        <f t="shared" si="319"/>
        <v>0</v>
      </c>
      <c r="AP156" s="103">
        <f t="shared" si="319"/>
        <v>0</v>
      </c>
      <c r="AQ156" s="103">
        <f t="shared" si="319"/>
        <v>0</v>
      </c>
      <c r="AR156" s="103">
        <f t="shared" si="319"/>
        <v>0</v>
      </c>
      <c r="AS156" s="103">
        <f t="shared" si="319"/>
        <v>0</v>
      </c>
      <c r="AT156" s="103">
        <f t="shared" si="319"/>
        <v>0</v>
      </c>
      <c r="AU156" s="103">
        <f t="shared" si="319"/>
        <v>0</v>
      </c>
      <c r="AV156" s="103">
        <f t="shared" si="319"/>
        <v>0</v>
      </c>
      <c r="AW156" s="103">
        <f t="shared" si="319"/>
        <v>0</v>
      </c>
      <c r="AX156" s="103">
        <f t="shared" si="319"/>
        <v>0</v>
      </c>
      <c r="AY156" s="103">
        <f t="shared" si="319"/>
        <v>0</v>
      </c>
      <c r="AZ156" s="103">
        <f t="shared" si="319"/>
        <v>0</v>
      </c>
      <c r="BA156" s="103">
        <f t="shared" si="319"/>
        <v>0</v>
      </c>
      <c r="BB156" s="103">
        <f t="shared" si="319"/>
        <v>0</v>
      </c>
      <c r="BC156" s="103">
        <f t="shared" si="319"/>
        <v>0</v>
      </c>
      <c r="BD156" s="103">
        <f t="shared" si="319"/>
        <v>0</v>
      </c>
      <c r="BE156" s="103">
        <f t="shared" si="319"/>
        <v>0</v>
      </c>
      <c r="BF156" s="103">
        <f t="shared" si="319"/>
        <v>0</v>
      </c>
      <c r="BG156" s="103">
        <f t="shared" si="319"/>
        <v>0</v>
      </c>
      <c r="BH156" s="103"/>
      <c r="BI156" s="104"/>
      <c r="BJ156" s="104"/>
      <c r="BK156" s="104"/>
      <c r="BL156" s="110">
        <f>$O156*AB156*'Cost inputs'!F$12/1000000</f>
        <v>6.723157139999999E-3</v>
      </c>
      <c r="BM156" s="110">
        <f>$O156*AC156*'Cost inputs'!G$12/1000000</f>
        <v>6.945021325619998E-3</v>
      </c>
      <c r="BN156" s="110">
        <f>$O156*AD156*'Cost inputs'!H$12/1000000</f>
        <v>7.1672620080398385E-3</v>
      </c>
      <c r="BO156" s="110">
        <f>$O156*AE156*'Cost inputs'!I$12/1000000</f>
        <v>7.3249417722167148E-3</v>
      </c>
      <c r="BP156" s="110">
        <f>$O156*AF156*'Cost inputs'!J$12/1000000</f>
        <v>7.4860904912054825E-3</v>
      </c>
      <c r="BQ156" s="110">
        <f>$O156*AG156*'Cost inputs'!K$12/1000000</f>
        <v>0</v>
      </c>
      <c r="BR156" s="110">
        <f>$O156*AH156*'Cost inputs'!L$12/1000000</f>
        <v>0</v>
      </c>
      <c r="BS156" s="110">
        <f>$O156*AI156*'Cost inputs'!M$12/1000000</f>
        <v>0</v>
      </c>
      <c r="BT156" s="110">
        <f>$O156*AJ156*'Cost inputs'!N$12/1000000</f>
        <v>0</v>
      </c>
      <c r="BU156" s="110">
        <f>$O156*AK156*'Cost inputs'!O$12/1000000</f>
        <v>0</v>
      </c>
      <c r="BV156" s="110">
        <f>$O156*AL156*'Cost inputs'!P$12/1000000</f>
        <v>0</v>
      </c>
      <c r="BW156" s="110">
        <f>$O156*AM156*'Cost inputs'!Q$12/1000000</f>
        <v>0</v>
      </c>
      <c r="BX156" s="110">
        <f>$O156*AN156*'Cost inputs'!R$12/1000000</f>
        <v>0</v>
      </c>
      <c r="BY156" s="110">
        <f>$O156*AO156*'Cost inputs'!S$12/1000000</f>
        <v>0</v>
      </c>
      <c r="BZ156" s="110">
        <f>$O156*AP156*'Cost inputs'!T$12/1000000</f>
        <v>0</v>
      </c>
      <c r="CA156" s="110">
        <f>$O156*AQ156*'Cost inputs'!U$12/1000000</f>
        <v>0</v>
      </c>
      <c r="CB156" s="110">
        <f>$O156*AR156*'Cost inputs'!V$12/1000000</f>
        <v>0</v>
      </c>
      <c r="CC156" s="110">
        <f>$O156*AS156*'Cost inputs'!W$12/1000000</f>
        <v>0</v>
      </c>
      <c r="CD156" s="110">
        <f>$O156*AT156*'Cost inputs'!X$12/1000000</f>
        <v>0</v>
      </c>
      <c r="CE156" s="110">
        <f>$O156*AU156*'Cost inputs'!Y$12/1000000</f>
        <v>0</v>
      </c>
      <c r="CF156" s="110">
        <f>$O156*AV156*'Cost inputs'!Z$12/1000000</f>
        <v>0</v>
      </c>
      <c r="CG156" s="110">
        <f>$O156*AW156*'Cost inputs'!AA$12/1000000</f>
        <v>0</v>
      </c>
      <c r="CH156" s="110">
        <f>$O156*AX156*'Cost inputs'!AB$12/1000000</f>
        <v>0</v>
      </c>
      <c r="CI156" s="110">
        <f>$O156*AY156*'Cost inputs'!AC$12/1000000</f>
        <v>0</v>
      </c>
      <c r="CJ156" s="110">
        <f>$O156*AZ156*'Cost inputs'!AD$12/1000000</f>
        <v>0</v>
      </c>
      <c r="CK156" s="110">
        <f>$O156*BA156*'Cost inputs'!AE$12/1000000</f>
        <v>0</v>
      </c>
      <c r="CL156" s="110">
        <f>$O156*BB156*'Cost inputs'!AF$12/1000000</f>
        <v>0</v>
      </c>
      <c r="CM156" s="110">
        <f>$O156*BC156*'Cost inputs'!AG$12/1000000</f>
        <v>0</v>
      </c>
      <c r="CN156" s="110">
        <f>$O156*BD156*'Cost inputs'!AH$12/1000000</f>
        <v>0</v>
      </c>
      <c r="CO156" s="110">
        <f>$O156*BE156*'Cost inputs'!AI$12/1000000</f>
        <v>0</v>
      </c>
      <c r="CP156" s="110">
        <f>$O156*BF156*'Cost inputs'!AJ$12/1000000</f>
        <v>0</v>
      </c>
      <c r="CQ156" s="110">
        <f>$O156*BG156*'Cost inputs'!AK$12/1000000</f>
        <v>0</v>
      </c>
      <c r="CR156" s="131">
        <f t="shared" si="307"/>
        <v>3.5646472737082033E-2</v>
      </c>
      <c r="CS156" s="26"/>
    </row>
    <row r="157" spans="1:97" x14ac:dyDescent="0.3">
      <c r="A157" s="104" t="str">
        <f t="shared" ref="A157:N157" si="320">A42</f>
        <v>Whenuapai</v>
      </c>
      <c r="B157" s="104" t="str">
        <f t="shared" si="320"/>
        <v>Whenuapai</v>
      </c>
      <c r="C157" s="104">
        <f t="shared" si="320"/>
        <v>0</v>
      </c>
      <c r="D157" s="104" t="str">
        <f t="shared" si="320"/>
        <v>Whenuapai East/South</v>
      </c>
      <c r="E157" s="104" t="str">
        <f t="shared" si="320"/>
        <v>2555m2 already acq in trig Rd</v>
      </c>
      <c r="F157" s="104">
        <f t="shared" si="320"/>
        <v>0</v>
      </c>
      <c r="G157" s="104">
        <f t="shared" si="320"/>
        <v>0.91483333333333339</v>
      </c>
      <c r="H157" s="104">
        <f t="shared" si="320"/>
        <v>0</v>
      </c>
      <c r="I157" s="104">
        <f t="shared" si="320"/>
        <v>0</v>
      </c>
      <c r="J157" s="104">
        <f t="shared" si="320"/>
        <v>0</v>
      </c>
      <c r="K157" s="104">
        <f t="shared" si="320"/>
        <v>0.91483333333333339</v>
      </c>
      <c r="L157" s="104">
        <f t="shared" si="320"/>
        <v>0</v>
      </c>
      <c r="M157" s="104">
        <f t="shared" si="320"/>
        <v>0</v>
      </c>
      <c r="N157" s="104">
        <f t="shared" si="320"/>
        <v>0</v>
      </c>
      <c r="O157" s="104">
        <f t="shared" si="311"/>
        <v>1</v>
      </c>
      <c r="P157" s="104" cm="1">
        <f t="array" ref="P157">2024+MATCH(1,0/AB157:BG157)</f>
        <v>2040</v>
      </c>
      <c r="Q157" s="104" t="str">
        <f t="shared" si="318"/>
        <v>Whenuapai East/South</v>
      </c>
      <c r="R157" s="104" t="str">
        <f t="shared" ref="R157:R214" si="321">E157</f>
        <v>2555m2 already acq in trig Rd</v>
      </c>
      <c r="S157" s="104"/>
      <c r="T157" s="104"/>
      <c r="U157" s="104"/>
      <c r="V157" s="104"/>
      <c r="W157" s="104"/>
      <c r="X157" s="104"/>
      <c r="Y157" s="104"/>
      <c r="Z157" s="104"/>
      <c r="AA157" s="104"/>
      <c r="AB157" s="103">
        <f t="shared" ref="AB157:BG157" si="322">AB42</f>
        <v>0</v>
      </c>
      <c r="AC157" s="103">
        <f t="shared" si="322"/>
        <v>0</v>
      </c>
      <c r="AD157" s="103">
        <f t="shared" si="322"/>
        <v>0</v>
      </c>
      <c r="AE157" s="103">
        <f t="shared" si="322"/>
        <v>0</v>
      </c>
      <c r="AF157" s="103">
        <f t="shared" si="322"/>
        <v>0</v>
      </c>
      <c r="AG157" s="103">
        <f t="shared" si="322"/>
        <v>0.12102769837727564</v>
      </c>
      <c r="AH157" s="103">
        <f t="shared" si="322"/>
        <v>0.12102769837727564</v>
      </c>
      <c r="AI157" s="103">
        <f t="shared" si="322"/>
        <v>0.12102769837727564</v>
      </c>
      <c r="AJ157" s="103">
        <f t="shared" si="322"/>
        <v>0.125</v>
      </c>
      <c r="AK157" s="103">
        <f t="shared" si="322"/>
        <v>1.4129803340614668E-2</v>
      </c>
      <c r="AL157" s="103">
        <f t="shared" si="322"/>
        <v>0.08</v>
      </c>
      <c r="AM157" s="103">
        <f t="shared" si="322"/>
        <v>0.08</v>
      </c>
      <c r="AN157" s="103">
        <f t="shared" si="322"/>
        <v>0.08</v>
      </c>
      <c r="AO157" s="103">
        <f t="shared" si="322"/>
        <v>0.08</v>
      </c>
      <c r="AP157" s="103">
        <f t="shared" si="322"/>
        <v>8.8893550763779305E-2</v>
      </c>
      <c r="AQ157" s="103">
        <f t="shared" si="322"/>
        <v>8.8893550763779305E-2</v>
      </c>
      <c r="AR157" s="103">
        <f t="shared" si="322"/>
        <v>0</v>
      </c>
      <c r="AS157" s="103">
        <f t="shared" si="322"/>
        <v>0</v>
      </c>
      <c r="AT157" s="103">
        <f t="shared" si="322"/>
        <v>0</v>
      </c>
      <c r="AU157" s="103">
        <f t="shared" si="322"/>
        <v>0</v>
      </c>
      <c r="AV157" s="103">
        <f t="shared" si="322"/>
        <v>0</v>
      </c>
      <c r="AW157" s="103">
        <f t="shared" si="322"/>
        <v>0</v>
      </c>
      <c r="AX157" s="103">
        <f t="shared" si="322"/>
        <v>0</v>
      </c>
      <c r="AY157" s="103">
        <f t="shared" si="322"/>
        <v>0</v>
      </c>
      <c r="AZ157" s="103">
        <f t="shared" si="322"/>
        <v>0</v>
      </c>
      <c r="BA157" s="103">
        <f t="shared" si="322"/>
        <v>0</v>
      </c>
      <c r="BB157" s="103">
        <f t="shared" si="322"/>
        <v>0</v>
      </c>
      <c r="BC157" s="103">
        <f t="shared" si="322"/>
        <v>0</v>
      </c>
      <c r="BD157" s="103">
        <f t="shared" si="322"/>
        <v>0</v>
      </c>
      <c r="BE157" s="103">
        <f t="shared" si="322"/>
        <v>0</v>
      </c>
      <c r="BF157" s="103">
        <f t="shared" si="322"/>
        <v>0</v>
      </c>
      <c r="BG157" s="103">
        <f t="shared" si="322"/>
        <v>0</v>
      </c>
      <c r="BH157" s="103"/>
      <c r="BI157" s="104"/>
      <c r="BJ157" s="104"/>
      <c r="BK157" s="104"/>
      <c r="BL157" s="110">
        <f>$O157*AB157*'Cost inputs'!F$12/1000000</f>
        <v>0</v>
      </c>
      <c r="BM157" s="110">
        <f>$O157*AC157*'Cost inputs'!G$12/1000000</f>
        <v>0</v>
      </c>
      <c r="BN157" s="110">
        <f>$O157*AD157*'Cost inputs'!H$12/1000000</f>
        <v>0</v>
      </c>
      <c r="BO157" s="110">
        <f>$O157*AE157*'Cost inputs'!I$12/1000000</f>
        <v>0</v>
      </c>
      <c r="BP157" s="110">
        <f>$O157*AF157*'Cost inputs'!J$12/1000000</f>
        <v>0</v>
      </c>
      <c r="BQ157" s="110">
        <f>$O157*AG157*'Cost inputs'!K$12/1000000</f>
        <v>4.6297841831924487E-3</v>
      </c>
      <c r="BR157" s="110">
        <f>$O157*AH157*'Cost inputs'!L$12/1000000</f>
        <v>4.7316394352226827E-3</v>
      </c>
      <c r="BS157" s="110">
        <f>$O157*AI157*'Cost inputs'!M$12/1000000</f>
        <v>4.8357355027975812E-3</v>
      </c>
      <c r="BT157" s="110">
        <f>$O157*AJ157*'Cost inputs'!N$12/1000000</f>
        <v>5.1043291640286495E-3</v>
      </c>
      <c r="BU157" s="110">
        <f>$O157*AK157*'Cost inputs'!O$12/1000000</f>
        <v>5.8967901562804515E-4</v>
      </c>
      <c r="BV157" s="110">
        <f>$O157*AL157*'Cost inputs'!P$12/1000000</f>
        <v>3.4120896912392322E-3</v>
      </c>
      <c r="BW157" s="110">
        <f>$O157*AM157*'Cost inputs'!Q$12/1000000</f>
        <v>3.4871556644464952E-3</v>
      </c>
      <c r="BX157" s="110">
        <f>$O157*AN157*'Cost inputs'!R$12/1000000</f>
        <v>3.5638730890643184E-3</v>
      </c>
      <c r="BY157" s="110">
        <f>$O157*AO157*'Cost inputs'!S$12/1000000</f>
        <v>3.6422782970237334E-3</v>
      </c>
      <c r="BZ157" s="110">
        <f>$O157*AP157*'Cost inputs'!T$12/1000000</f>
        <v>4.1362262725940166E-3</v>
      </c>
      <c r="CA157" s="110">
        <f>$O157*AQ157*'Cost inputs'!U$12/1000000</f>
        <v>4.2272232505910839E-3</v>
      </c>
      <c r="CB157" s="110">
        <f>$O157*AR157*'Cost inputs'!V$12/1000000</f>
        <v>0</v>
      </c>
      <c r="CC157" s="110">
        <f>$O157*AS157*'Cost inputs'!W$12/1000000</f>
        <v>0</v>
      </c>
      <c r="CD157" s="110">
        <f>$O157*AT157*'Cost inputs'!X$12/1000000</f>
        <v>0</v>
      </c>
      <c r="CE157" s="110">
        <f>$O157*AU157*'Cost inputs'!Y$12/1000000</f>
        <v>0</v>
      </c>
      <c r="CF157" s="110">
        <f>$O157*AV157*'Cost inputs'!Z$12/1000000</f>
        <v>0</v>
      </c>
      <c r="CG157" s="110">
        <f>$O157*AW157*'Cost inputs'!AA$12/1000000</f>
        <v>0</v>
      </c>
      <c r="CH157" s="110">
        <f>$O157*AX157*'Cost inputs'!AB$12/1000000</f>
        <v>0</v>
      </c>
      <c r="CI157" s="110">
        <f>$O157*AY157*'Cost inputs'!AC$12/1000000</f>
        <v>0</v>
      </c>
      <c r="CJ157" s="110">
        <f>$O157*AZ157*'Cost inputs'!AD$12/1000000</f>
        <v>0</v>
      </c>
      <c r="CK157" s="110">
        <f>$O157*BA157*'Cost inputs'!AE$12/1000000</f>
        <v>0</v>
      </c>
      <c r="CL157" s="110">
        <f>$O157*BB157*'Cost inputs'!AF$12/1000000</f>
        <v>0</v>
      </c>
      <c r="CM157" s="110">
        <f>$O157*BC157*'Cost inputs'!AG$12/1000000</f>
        <v>0</v>
      </c>
      <c r="CN157" s="110">
        <f>$O157*BD157*'Cost inputs'!AH$12/1000000</f>
        <v>0</v>
      </c>
      <c r="CO157" s="110">
        <f>$O157*BE157*'Cost inputs'!AI$12/1000000</f>
        <v>0</v>
      </c>
      <c r="CP157" s="110">
        <f>$O157*BF157*'Cost inputs'!AJ$12/1000000</f>
        <v>0</v>
      </c>
      <c r="CQ157" s="110">
        <f>$O157*BG157*'Cost inputs'!AK$12/1000000</f>
        <v>0</v>
      </c>
      <c r="CR157" s="131">
        <f t="shared" si="307"/>
        <v>4.2360013565828289E-2</v>
      </c>
      <c r="CS157" s="26"/>
    </row>
    <row r="158" spans="1:97" x14ac:dyDescent="0.3">
      <c r="A158" s="104" t="str">
        <f t="shared" ref="A158:N158" si="323">A43</f>
        <v>Redhills</v>
      </c>
      <c r="B158" s="104" t="str">
        <f t="shared" si="323"/>
        <v>Redhills</v>
      </c>
      <c r="C158" s="104">
        <f t="shared" si="323"/>
        <v>0</v>
      </c>
      <c r="D158" s="104" t="str">
        <f t="shared" si="323"/>
        <v>Redhills Precinct area</v>
      </c>
      <c r="E158" s="142" t="str">
        <f t="shared" si="323"/>
        <v>assume 5000m2 for 126/132-136 Fred Taylor, $500 psm from neg, split 50/50 between FY25 and FY26</v>
      </c>
      <c r="F158" s="142">
        <f t="shared" si="323"/>
        <v>1.25</v>
      </c>
      <c r="G158" s="104">
        <f t="shared" si="323"/>
        <v>0</v>
      </c>
      <c r="H158" s="104">
        <f t="shared" si="323"/>
        <v>0</v>
      </c>
      <c r="I158" s="104">
        <f t="shared" si="323"/>
        <v>0</v>
      </c>
      <c r="J158" s="142">
        <f t="shared" si="323"/>
        <v>1.25</v>
      </c>
      <c r="K158" s="104">
        <f t="shared" si="323"/>
        <v>0</v>
      </c>
      <c r="L158" s="104">
        <f t="shared" si="323"/>
        <v>0</v>
      </c>
      <c r="M158" s="104">
        <f t="shared" si="323"/>
        <v>0</v>
      </c>
      <c r="N158" s="104">
        <f t="shared" si="323"/>
        <v>0</v>
      </c>
      <c r="O158" s="104">
        <f t="shared" si="311"/>
        <v>1</v>
      </c>
      <c r="P158" s="104" cm="1">
        <f t="array" ref="P158">2024+MATCH(1,0/AB158:BG158)</f>
        <v>2026</v>
      </c>
      <c r="Q158" s="104" t="str">
        <f t="shared" si="318"/>
        <v>Redhills Precinct area</v>
      </c>
      <c r="R158" s="104"/>
      <c r="S158" s="104"/>
      <c r="T158" s="104"/>
      <c r="U158" s="104"/>
      <c r="V158" s="104"/>
      <c r="W158" s="104"/>
      <c r="X158" s="104"/>
      <c r="Y158" s="104"/>
      <c r="Z158" s="104"/>
      <c r="AA158" s="104"/>
      <c r="AB158" s="149">
        <f t="shared" ref="AB158:BG158" si="324">AB43</f>
        <v>0.5</v>
      </c>
      <c r="AC158" s="149">
        <f t="shared" si="324"/>
        <v>0.5</v>
      </c>
      <c r="AD158" s="149">
        <f t="shared" si="324"/>
        <v>0</v>
      </c>
      <c r="AE158" s="149">
        <f t="shared" si="324"/>
        <v>0</v>
      </c>
      <c r="AF158" s="149">
        <f t="shared" si="324"/>
        <v>0</v>
      </c>
      <c r="AG158" s="149">
        <f t="shared" si="324"/>
        <v>0</v>
      </c>
      <c r="AH158" s="149">
        <f t="shared" si="324"/>
        <v>0</v>
      </c>
      <c r="AI158" s="149">
        <f t="shared" si="324"/>
        <v>0</v>
      </c>
      <c r="AJ158" s="149">
        <f t="shared" si="324"/>
        <v>0</v>
      </c>
      <c r="AK158" s="149">
        <f t="shared" si="324"/>
        <v>0</v>
      </c>
      <c r="AL158" s="149">
        <f t="shared" si="324"/>
        <v>0</v>
      </c>
      <c r="AM158" s="149">
        <f t="shared" si="324"/>
        <v>0</v>
      </c>
      <c r="AN158" s="149">
        <f t="shared" si="324"/>
        <v>0</v>
      </c>
      <c r="AO158" s="149">
        <f t="shared" si="324"/>
        <v>0</v>
      </c>
      <c r="AP158" s="149">
        <f t="shared" si="324"/>
        <v>0</v>
      </c>
      <c r="AQ158" s="149">
        <f t="shared" si="324"/>
        <v>0</v>
      </c>
      <c r="AR158" s="149">
        <f t="shared" si="324"/>
        <v>0</v>
      </c>
      <c r="AS158" s="149">
        <f t="shared" si="324"/>
        <v>0</v>
      </c>
      <c r="AT158" s="149">
        <f t="shared" si="324"/>
        <v>0</v>
      </c>
      <c r="AU158" s="149">
        <f t="shared" si="324"/>
        <v>0</v>
      </c>
      <c r="AV158" s="149">
        <f t="shared" si="324"/>
        <v>0</v>
      </c>
      <c r="AW158" s="149">
        <f t="shared" si="324"/>
        <v>0</v>
      </c>
      <c r="AX158" s="149">
        <f t="shared" si="324"/>
        <v>0</v>
      </c>
      <c r="AY158" s="149">
        <f t="shared" si="324"/>
        <v>0</v>
      </c>
      <c r="AZ158" s="149">
        <f t="shared" si="324"/>
        <v>0</v>
      </c>
      <c r="BA158" s="149">
        <f t="shared" si="324"/>
        <v>0</v>
      </c>
      <c r="BB158" s="149">
        <f t="shared" si="324"/>
        <v>0</v>
      </c>
      <c r="BC158" s="149">
        <f t="shared" si="324"/>
        <v>0</v>
      </c>
      <c r="BD158" s="149">
        <f t="shared" si="324"/>
        <v>0</v>
      </c>
      <c r="BE158" s="149">
        <f t="shared" si="324"/>
        <v>0</v>
      </c>
      <c r="BF158" s="149">
        <f t="shared" si="324"/>
        <v>0</v>
      </c>
      <c r="BG158" s="149">
        <f t="shared" si="324"/>
        <v>0</v>
      </c>
      <c r="BH158" s="103"/>
      <c r="BI158" s="104"/>
      <c r="BJ158" s="104"/>
      <c r="BK158" s="104"/>
      <c r="BL158" s="154">
        <f>$O158*AB158*'Cost inputs'!F$12/1000000</f>
        <v>1.6807892849999995E-2</v>
      </c>
      <c r="BM158" s="154">
        <f>$O158*AC158*'Cost inputs'!G$12/1000000</f>
        <v>1.7362553314049994E-2</v>
      </c>
      <c r="BN158" s="154">
        <f>$O158*AD158*'Cost inputs'!H$12/1000000</f>
        <v>0</v>
      </c>
      <c r="BO158" s="154">
        <f>$O158*AE158*'Cost inputs'!I$12/1000000</f>
        <v>0</v>
      </c>
      <c r="BP158" s="154">
        <f>$O158*AF158*'Cost inputs'!J$12/1000000</f>
        <v>0</v>
      </c>
      <c r="BQ158" s="154">
        <f>$O158*AG158*'Cost inputs'!K$12/1000000</f>
        <v>0</v>
      </c>
      <c r="BR158" s="154">
        <f>$O158*AH158*'Cost inputs'!L$12/1000000</f>
        <v>0</v>
      </c>
      <c r="BS158" s="154">
        <f>$O158*AI158*'Cost inputs'!M$12/1000000</f>
        <v>0</v>
      </c>
      <c r="BT158" s="154">
        <f>$O158*AJ158*'Cost inputs'!N$12/1000000</f>
        <v>0</v>
      </c>
      <c r="BU158" s="154">
        <f>$O158*AK158*'Cost inputs'!O$12/1000000</f>
        <v>0</v>
      </c>
      <c r="BV158" s="154">
        <f>$O158*AL158*'Cost inputs'!P$12/1000000</f>
        <v>0</v>
      </c>
      <c r="BW158" s="154">
        <f>$O158*AM158*'Cost inputs'!Q$12/1000000</f>
        <v>0</v>
      </c>
      <c r="BX158" s="154">
        <f>$O158*AN158*'Cost inputs'!R$12/1000000</f>
        <v>0</v>
      </c>
      <c r="BY158" s="154">
        <f>$O158*AO158*'Cost inputs'!S$12/1000000</f>
        <v>0</v>
      </c>
      <c r="BZ158" s="154">
        <f>$O158*AP158*'Cost inputs'!T$12/1000000</f>
        <v>0</v>
      </c>
      <c r="CA158" s="154">
        <f>$O158*AQ158*'Cost inputs'!U$12/1000000</f>
        <v>0</v>
      </c>
      <c r="CB158" s="154">
        <f>$O158*AR158*'Cost inputs'!V$12/1000000</f>
        <v>0</v>
      </c>
      <c r="CC158" s="154">
        <f>$O158*AS158*'Cost inputs'!W$12/1000000</f>
        <v>0</v>
      </c>
      <c r="CD158" s="154">
        <f>$O158*AT158*'Cost inputs'!X$12/1000000</f>
        <v>0</v>
      </c>
      <c r="CE158" s="154">
        <f>$O158*AU158*'Cost inputs'!Y$12/1000000</f>
        <v>0</v>
      </c>
      <c r="CF158" s="154">
        <f>$O158*AV158*'Cost inputs'!Z$12/1000000</f>
        <v>0</v>
      </c>
      <c r="CG158" s="154">
        <f>$O158*AW158*'Cost inputs'!AA$12/1000000</f>
        <v>0</v>
      </c>
      <c r="CH158" s="154">
        <f>$O158*AX158*'Cost inputs'!AB$12/1000000</f>
        <v>0</v>
      </c>
      <c r="CI158" s="154">
        <f>$O158*AY158*'Cost inputs'!AC$12/1000000</f>
        <v>0</v>
      </c>
      <c r="CJ158" s="154">
        <f>$O158*AZ158*'Cost inputs'!AD$12/1000000</f>
        <v>0</v>
      </c>
      <c r="CK158" s="154">
        <f>$O158*BA158*'Cost inputs'!AE$12/1000000</f>
        <v>0</v>
      </c>
      <c r="CL158" s="154">
        <f>$O158*BB158*'Cost inputs'!AF$12/1000000</f>
        <v>0</v>
      </c>
      <c r="CM158" s="154">
        <f>$O158*BC158*'Cost inputs'!AG$12/1000000</f>
        <v>0</v>
      </c>
      <c r="CN158" s="154">
        <f>$O158*BD158*'Cost inputs'!AH$12/1000000</f>
        <v>0</v>
      </c>
      <c r="CO158" s="154">
        <f>$O158*BE158*'Cost inputs'!AI$12/1000000</f>
        <v>0</v>
      </c>
      <c r="CP158" s="154">
        <f>$O158*BF158*'Cost inputs'!AJ$12/1000000</f>
        <v>0</v>
      </c>
      <c r="CQ158" s="154">
        <f>$O158*BG158*'Cost inputs'!AK$12/1000000</f>
        <v>0</v>
      </c>
      <c r="CR158" s="155">
        <f t="shared" si="307"/>
        <v>3.4170446164049989E-2</v>
      </c>
      <c r="CS158" s="26"/>
    </row>
    <row r="159" spans="1:97" x14ac:dyDescent="0.3">
      <c r="A159" s="104" t="str">
        <f t="shared" ref="A159:N159" si="325">A44</f>
        <v>Redhills</v>
      </c>
      <c r="B159" s="104" t="str">
        <f t="shared" si="325"/>
        <v>Redhills</v>
      </c>
      <c r="C159" s="104">
        <f t="shared" si="325"/>
        <v>0</v>
      </c>
      <c r="D159" s="104" t="str">
        <f t="shared" si="325"/>
        <v>Redhills Precinct area</v>
      </c>
      <c r="E159" s="104" t="str">
        <f t="shared" si="325"/>
        <v>remainder</v>
      </c>
      <c r="F159" s="104">
        <f t="shared" si="325"/>
        <v>12</v>
      </c>
      <c r="G159" s="104">
        <f t="shared" si="325"/>
        <v>0</v>
      </c>
      <c r="H159" s="104">
        <f t="shared" si="325"/>
        <v>0</v>
      </c>
      <c r="I159" s="104">
        <f t="shared" si="325"/>
        <v>0</v>
      </c>
      <c r="J159" s="104">
        <f t="shared" si="325"/>
        <v>12</v>
      </c>
      <c r="K159" s="104">
        <f t="shared" si="325"/>
        <v>0</v>
      </c>
      <c r="L159" s="104">
        <f t="shared" si="325"/>
        <v>0</v>
      </c>
      <c r="M159" s="104">
        <f t="shared" si="325"/>
        <v>0</v>
      </c>
      <c r="N159" s="104">
        <f t="shared" si="325"/>
        <v>0</v>
      </c>
      <c r="O159" s="104">
        <f t="shared" si="311"/>
        <v>12</v>
      </c>
      <c r="P159" s="104" cm="1">
        <f t="array" ref="P159">2024+MATCH(1,0/AB159:BG159)</f>
        <v>2041</v>
      </c>
      <c r="Q159" s="104" t="str">
        <f t="shared" si="318"/>
        <v>Redhills Precinct area</v>
      </c>
      <c r="R159" s="104" t="str">
        <f t="shared" si="321"/>
        <v>remainder</v>
      </c>
      <c r="S159" s="104"/>
      <c r="T159" s="104"/>
      <c r="U159" s="104"/>
      <c r="V159" s="104"/>
      <c r="W159" s="104"/>
      <c r="X159" s="104"/>
      <c r="Y159" s="104"/>
      <c r="Z159" s="104"/>
      <c r="AA159" s="104"/>
      <c r="AB159" s="103">
        <f t="shared" ref="AB159:BG159" si="326">AB44</f>
        <v>7.2277777590649045E-2</v>
      </c>
      <c r="AC159" s="103">
        <f t="shared" si="326"/>
        <v>3.7144039148275132E-2</v>
      </c>
      <c r="AD159" s="103">
        <f t="shared" si="326"/>
        <v>4.693886925000864E-2</v>
      </c>
      <c r="AE159" s="103">
        <f t="shared" si="326"/>
        <v>1.9207251627271639E-2</v>
      </c>
      <c r="AF159" s="103">
        <f t="shared" si="326"/>
        <v>3.0671470308457977E-2</v>
      </c>
      <c r="AG159" s="103">
        <f t="shared" si="326"/>
        <v>7.0574517253221988E-2</v>
      </c>
      <c r="AH159" s="103">
        <f t="shared" si="326"/>
        <v>5.784797696261839E-2</v>
      </c>
      <c r="AI159" s="103">
        <f t="shared" si="326"/>
        <v>6.2267232328672428E-2</v>
      </c>
      <c r="AJ159" s="103">
        <f t="shared" si="326"/>
        <v>4.8241630734504208E-2</v>
      </c>
      <c r="AK159" s="103">
        <f t="shared" si="326"/>
        <v>1.4129803340614668E-2</v>
      </c>
      <c r="AL159" s="103">
        <f t="shared" si="326"/>
        <v>0.10472734996525389</v>
      </c>
      <c r="AM159" s="103">
        <f t="shared" si="326"/>
        <v>0.10601471966704468</v>
      </c>
      <c r="AN159" s="103">
        <f t="shared" si="326"/>
        <v>0.10750477164694536</v>
      </c>
      <c r="AO159" s="103">
        <f t="shared" si="326"/>
        <v>0.10314837920794254</v>
      </c>
      <c r="AP159" s="103">
        <f t="shared" si="326"/>
        <v>4.8886873976350477E-2</v>
      </c>
      <c r="AQ159" s="103">
        <f t="shared" si="326"/>
        <v>5.2554477979523215E-2</v>
      </c>
      <c r="AR159" s="103">
        <f t="shared" si="326"/>
        <v>1.7862859012645727E-2</v>
      </c>
      <c r="AS159" s="103">
        <f t="shared" si="326"/>
        <v>0</v>
      </c>
      <c r="AT159" s="103">
        <f t="shared" si="326"/>
        <v>0</v>
      </c>
      <c r="AU159" s="103">
        <f t="shared" si="326"/>
        <v>0</v>
      </c>
      <c r="AV159" s="103">
        <f t="shared" si="326"/>
        <v>0</v>
      </c>
      <c r="AW159" s="103">
        <f t="shared" si="326"/>
        <v>0</v>
      </c>
      <c r="AX159" s="103">
        <f t="shared" si="326"/>
        <v>0</v>
      </c>
      <c r="AY159" s="103">
        <f t="shared" si="326"/>
        <v>0</v>
      </c>
      <c r="AZ159" s="103">
        <f t="shared" si="326"/>
        <v>0</v>
      </c>
      <c r="BA159" s="103">
        <f t="shared" si="326"/>
        <v>0</v>
      </c>
      <c r="BB159" s="103">
        <f t="shared" si="326"/>
        <v>0</v>
      </c>
      <c r="BC159" s="103">
        <f t="shared" si="326"/>
        <v>0</v>
      </c>
      <c r="BD159" s="103">
        <f t="shared" si="326"/>
        <v>0</v>
      </c>
      <c r="BE159" s="103">
        <f t="shared" si="326"/>
        <v>0</v>
      </c>
      <c r="BF159" s="103">
        <f t="shared" si="326"/>
        <v>0</v>
      </c>
      <c r="BG159" s="103">
        <f t="shared" si="326"/>
        <v>0</v>
      </c>
      <c r="BH159" s="103"/>
      <c r="BI159" s="104"/>
      <c r="BJ159" s="104"/>
      <c r="BK159" s="104"/>
      <c r="BL159" s="110">
        <f>$O159*AB159*'Cost inputs'!F$12/1000000</f>
        <v>2.915609138831424E-2</v>
      </c>
      <c r="BM159" s="110">
        <f>$O159*AC159*'Cost inputs'!G$12/1000000</f>
        <v>1.547796864026609E-2</v>
      </c>
      <c r="BN159" s="110">
        <f>$O159*AD159*'Cost inputs'!H$12/1000000</f>
        <v>2.0185390456556179E-2</v>
      </c>
      <c r="BO159" s="110">
        <f>$O159*AE159*'Cost inputs'!I$12/1000000</f>
        <v>8.4415199864447694E-3</v>
      </c>
      <c r="BP159" s="110">
        <f>$O159*AF159*'Cost inputs'!J$12/1000000</f>
        <v>1.3776564133646313E-2</v>
      </c>
      <c r="BQ159" s="110">
        <f>$O159*AG159*'Cost inputs'!K$12/1000000</f>
        <v>3.2397025285586342E-2</v>
      </c>
      <c r="BR159" s="110">
        <f>$O159*AH159*'Cost inputs'!L$12/1000000</f>
        <v>2.7139153041572345E-2</v>
      </c>
      <c r="BS159" s="110">
        <f>$O159*AI159*'Cost inputs'!M$12/1000000</f>
        <v>2.9855102929652311E-2</v>
      </c>
      <c r="BT159" s="110">
        <f>$O159*AJ159*'Cost inputs'!N$12/1000000</f>
        <v>2.3639151617129345E-2</v>
      </c>
      <c r="BU159" s="110">
        <f>$O159*AK159*'Cost inputs'!O$12/1000000</f>
        <v>7.0761481875365418E-3</v>
      </c>
      <c r="BV159" s="110">
        <f>$O159*AL159*'Cost inputs'!P$12/1000000</f>
        <v>5.360086668108692E-2</v>
      </c>
      <c r="BW159" s="110">
        <f>$O159*AM159*'Cost inputs'!Q$12/1000000</f>
        <v>5.5453474530246322E-2</v>
      </c>
      <c r="BX159" s="110">
        <f>$O159*AN159*'Cost inputs'!R$12/1000000</f>
        <v>5.7470004392782992E-2</v>
      </c>
      <c r="BY159" s="110">
        <f>$O159*AO159*'Cost inputs'!S$12/1000000</f>
        <v>5.6354265444339496E-2</v>
      </c>
      <c r="BZ159" s="110">
        <f>$O159*AP159*'Cost inputs'!T$12/1000000</f>
        <v>2.7296536694317561E-2</v>
      </c>
      <c r="CA159" s="110">
        <f>$O159*AQ159*'Cost inputs'!U$12/1000000</f>
        <v>2.998996116081426E-2</v>
      </c>
      <c r="CB159" s="110">
        <f>$O159*AR159*'Cost inputs'!V$12/1000000</f>
        <v>1.0417608754098806E-2</v>
      </c>
      <c r="CC159" s="110">
        <f>$O159*AS159*'Cost inputs'!W$12/1000000</f>
        <v>0</v>
      </c>
      <c r="CD159" s="110">
        <f>$O159*AT159*'Cost inputs'!X$12/1000000</f>
        <v>0</v>
      </c>
      <c r="CE159" s="110">
        <f>$O159*AU159*'Cost inputs'!Y$12/1000000</f>
        <v>0</v>
      </c>
      <c r="CF159" s="110">
        <f>$O159*AV159*'Cost inputs'!Z$12/1000000</f>
        <v>0</v>
      </c>
      <c r="CG159" s="110">
        <f>$O159*AW159*'Cost inputs'!AA$12/1000000</f>
        <v>0</v>
      </c>
      <c r="CH159" s="110">
        <f>$O159*AX159*'Cost inputs'!AB$12/1000000</f>
        <v>0</v>
      </c>
      <c r="CI159" s="110">
        <f>$O159*AY159*'Cost inputs'!AC$12/1000000</f>
        <v>0</v>
      </c>
      <c r="CJ159" s="110">
        <f>$O159*AZ159*'Cost inputs'!AD$12/1000000</f>
        <v>0</v>
      </c>
      <c r="CK159" s="110">
        <f>$O159*BA159*'Cost inputs'!AE$12/1000000</f>
        <v>0</v>
      </c>
      <c r="CL159" s="110">
        <f>$O159*BB159*'Cost inputs'!AF$12/1000000</f>
        <v>0</v>
      </c>
      <c r="CM159" s="110">
        <f>$O159*BC159*'Cost inputs'!AG$12/1000000</f>
        <v>0</v>
      </c>
      <c r="CN159" s="110">
        <f>$O159*BD159*'Cost inputs'!AH$12/1000000</f>
        <v>0</v>
      </c>
      <c r="CO159" s="110">
        <f>$O159*BE159*'Cost inputs'!AI$12/1000000</f>
        <v>0</v>
      </c>
      <c r="CP159" s="110">
        <f>$O159*BF159*'Cost inputs'!AJ$12/1000000</f>
        <v>0</v>
      </c>
      <c r="CQ159" s="110">
        <f>$O159*BG159*'Cost inputs'!AK$12/1000000</f>
        <v>0</v>
      </c>
      <c r="CR159" s="131">
        <f t="shared" si="307"/>
        <v>0.49772683332439083</v>
      </c>
      <c r="CS159" s="26"/>
    </row>
    <row r="160" spans="1:97" x14ac:dyDescent="0.3">
      <c r="A160" s="104" t="str">
        <f t="shared" ref="A160:N160" si="327">A45</f>
        <v>Redhills</v>
      </c>
      <c r="B160" s="104" t="str">
        <f t="shared" si="327"/>
        <v>Redhills</v>
      </c>
      <c r="C160" s="104">
        <f t="shared" si="327"/>
        <v>0</v>
      </c>
      <c r="D160" s="104" t="str">
        <f t="shared" si="327"/>
        <v>Redhills Precinct area</v>
      </c>
      <c r="E160" s="104" t="str">
        <f t="shared" si="327"/>
        <v>remainder</v>
      </c>
      <c r="F160" s="104">
        <f t="shared" si="327"/>
        <v>0</v>
      </c>
      <c r="G160" s="104">
        <f t="shared" si="327"/>
        <v>2</v>
      </c>
      <c r="H160" s="104">
        <f t="shared" si="327"/>
        <v>0</v>
      </c>
      <c r="I160" s="104">
        <f t="shared" si="327"/>
        <v>0</v>
      </c>
      <c r="J160" s="104">
        <f t="shared" si="327"/>
        <v>0</v>
      </c>
      <c r="K160" s="104">
        <f t="shared" si="327"/>
        <v>2</v>
      </c>
      <c r="L160" s="104">
        <f t="shared" si="327"/>
        <v>0</v>
      </c>
      <c r="M160" s="104">
        <f t="shared" si="327"/>
        <v>0</v>
      </c>
      <c r="N160" s="104">
        <f t="shared" si="327"/>
        <v>0</v>
      </c>
      <c r="O160" s="104">
        <f t="shared" si="311"/>
        <v>2</v>
      </c>
      <c r="P160" s="104" cm="1">
        <f t="array" ref="P160">2024+MATCH(1,0/AB160:BG160)</f>
        <v>2041</v>
      </c>
      <c r="Q160" s="104" t="str">
        <f t="shared" si="318"/>
        <v>Redhills Precinct area</v>
      </c>
      <c r="R160" s="104" t="str">
        <f t="shared" si="321"/>
        <v>remainder</v>
      </c>
      <c r="S160" s="104"/>
      <c r="T160" s="104"/>
      <c r="U160" s="104"/>
      <c r="V160" s="104"/>
      <c r="W160" s="104"/>
      <c r="X160" s="104"/>
      <c r="Y160" s="104"/>
      <c r="Z160" s="104"/>
      <c r="AA160" s="104"/>
      <c r="AB160" s="103">
        <f t="shared" ref="AB160:BG160" si="328">AB45</f>
        <v>7.2277777590649045E-2</v>
      </c>
      <c r="AC160" s="103">
        <f t="shared" si="328"/>
        <v>3.7144039148275132E-2</v>
      </c>
      <c r="AD160" s="103">
        <f t="shared" si="328"/>
        <v>4.693886925000864E-2</v>
      </c>
      <c r="AE160" s="103">
        <f t="shared" si="328"/>
        <v>1.9207251627271639E-2</v>
      </c>
      <c r="AF160" s="103">
        <f t="shared" si="328"/>
        <v>3.0671470308457977E-2</v>
      </c>
      <c r="AG160" s="103">
        <f t="shared" si="328"/>
        <v>7.0574517253221988E-2</v>
      </c>
      <c r="AH160" s="103">
        <f t="shared" si="328"/>
        <v>5.784797696261839E-2</v>
      </c>
      <c r="AI160" s="103">
        <f t="shared" si="328"/>
        <v>6.2267232328672428E-2</v>
      </c>
      <c r="AJ160" s="103">
        <f t="shared" si="328"/>
        <v>4.8241630734504208E-2</v>
      </c>
      <c r="AK160" s="103">
        <f t="shared" si="328"/>
        <v>1.4129803340614668E-2</v>
      </c>
      <c r="AL160" s="103">
        <f t="shared" si="328"/>
        <v>0.10472734996525389</v>
      </c>
      <c r="AM160" s="103">
        <f t="shared" si="328"/>
        <v>0.10601471966704468</v>
      </c>
      <c r="AN160" s="103">
        <f t="shared" si="328"/>
        <v>0.10750477164694536</v>
      </c>
      <c r="AO160" s="103">
        <f t="shared" si="328"/>
        <v>0.10314837920794254</v>
      </c>
      <c r="AP160" s="103">
        <f t="shared" si="328"/>
        <v>4.8886873976350477E-2</v>
      </c>
      <c r="AQ160" s="103">
        <f t="shared" si="328"/>
        <v>5.2554477979523215E-2</v>
      </c>
      <c r="AR160" s="103">
        <f t="shared" si="328"/>
        <v>1.7862859012645727E-2</v>
      </c>
      <c r="AS160" s="103">
        <f t="shared" si="328"/>
        <v>0</v>
      </c>
      <c r="AT160" s="103">
        <f t="shared" si="328"/>
        <v>0</v>
      </c>
      <c r="AU160" s="103">
        <f t="shared" si="328"/>
        <v>0</v>
      </c>
      <c r="AV160" s="103">
        <f t="shared" si="328"/>
        <v>0</v>
      </c>
      <c r="AW160" s="103">
        <f t="shared" si="328"/>
        <v>0</v>
      </c>
      <c r="AX160" s="103">
        <f t="shared" si="328"/>
        <v>0</v>
      </c>
      <c r="AY160" s="103">
        <f t="shared" si="328"/>
        <v>0</v>
      </c>
      <c r="AZ160" s="103">
        <f t="shared" si="328"/>
        <v>0</v>
      </c>
      <c r="BA160" s="103">
        <f t="shared" si="328"/>
        <v>0</v>
      </c>
      <c r="BB160" s="103">
        <f t="shared" si="328"/>
        <v>0</v>
      </c>
      <c r="BC160" s="103">
        <f t="shared" si="328"/>
        <v>0</v>
      </c>
      <c r="BD160" s="103">
        <f t="shared" si="328"/>
        <v>0</v>
      </c>
      <c r="BE160" s="103">
        <f t="shared" si="328"/>
        <v>0</v>
      </c>
      <c r="BF160" s="103">
        <f t="shared" si="328"/>
        <v>0</v>
      </c>
      <c r="BG160" s="103">
        <f t="shared" si="328"/>
        <v>0</v>
      </c>
      <c r="BH160" s="103"/>
      <c r="BI160" s="104"/>
      <c r="BJ160" s="104"/>
      <c r="BK160" s="104"/>
      <c r="BL160" s="110">
        <f>$O160*AB160*'Cost inputs'!F$12/1000000</f>
        <v>4.8593485647190401E-3</v>
      </c>
      <c r="BM160" s="110">
        <f>$O160*AC160*'Cost inputs'!G$12/1000000</f>
        <v>2.5796614400443482E-3</v>
      </c>
      <c r="BN160" s="110">
        <f>$O160*AD160*'Cost inputs'!H$12/1000000</f>
        <v>3.3642317427593636E-3</v>
      </c>
      <c r="BO160" s="110">
        <f>$O160*AE160*'Cost inputs'!I$12/1000000</f>
        <v>1.4069199977407947E-3</v>
      </c>
      <c r="BP160" s="110">
        <f>$O160*AF160*'Cost inputs'!J$12/1000000</f>
        <v>2.2960940222743853E-3</v>
      </c>
      <c r="BQ160" s="110">
        <f>$O160*AG160*'Cost inputs'!K$12/1000000</f>
        <v>5.3995042142643912E-3</v>
      </c>
      <c r="BR160" s="110">
        <f>$O160*AH160*'Cost inputs'!L$12/1000000</f>
        <v>4.5231921735953912E-3</v>
      </c>
      <c r="BS160" s="110">
        <f>$O160*AI160*'Cost inputs'!M$12/1000000</f>
        <v>4.9758504882753858E-3</v>
      </c>
      <c r="BT160" s="110">
        <f>$O160*AJ160*'Cost inputs'!N$12/1000000</f>
        <v>3.9398586028548911E-3</v>
      </c>
      <c r="BU160" s="110">
        <f>$O160*AK160*'Cost inputs'!O$12/1000000</f>
        <v>1.1793580312560903E-3</v>
      </c>
      <c r="BV160" s="110">
        <f>$O160*AL160*'Cost inputs'!P$12/1000000</f>
        <v>8.9334777801811545E-3</v>
      </c>
      <c r="BW160" s="110">
        <f>$O160*AM160*'Cost inputs'!Q$12/1000000</f>
        <v>9.2422457550410519E-3</v>
      </c>
      <c r="BX160" s="110">
        <f>$O160*AN160*'Cost inputs'!R$12/1000000</f>
        <v>9.5783340654638331E-3</v>
      </c>
      <c r="BY160" s="110">
        <f>$O160*AO160*'Cost inputs'!S$12/1000000</f>
        <v>9.3923775740565821E-3</v>
      </c>
      <c r="BZ160" s="110">
        <f>$O160*AP160*'Cost inputs'!T$12/1000000</f>
        <v>4.54942278238626E-3</v>
      </c>
      <c r="CA160" s="110">
        <f>$O160*AQ160*'Cost inputs'!U$12/1000000</f>
        <v>4.99832686013571E-3</v>
      </c>
      <c r="CB160" s="110">
        <f>$O160*AR160*'Cost inputs'!V$12/1000000</f>
        <v>1.7362681256831343E-3</v>
      </c>
      <c r="CC160" s="110">
        <f>$O160*AS160*'Cost inputs'!W$12/1000000</f>
        <v>0</v>
      </c>
      <c r="CD160" s="110">
        <f>$O160*AT160*'Cost inputs'!X$12/1000000</f>
        <v>0</v>
      </c>
      <c r="CE160" s="110">
        <f>$O160*AU160*'Cost inputs'!Y$12/1000000</f>
        <v>0</v>
      </c>
      <c r="CF160" s="110">
        <f>$O160*AV160*'Cost inputs'!Z$12/1000000</f>
        <v>0</v>
      </c>
      <c r="CG160" s="110">
        <f>$O160*AW160*'Cost inputs'!AA$12/1000000</f>
        <v>0</v>
      </c>
      <c r="CH160" s="110">
        <f>$O160*AX160*'Cost inputs'!AB$12/1000000</f>
        <v>0</v>
      </c>
      <c r="CI160" s="110">
        <f>$O160*AY160*'Cost inputs'!AC$12/1000000</f>
        <v>0</v>
      </c>
      <c r="CJ160" s="110">
        <f>$O160*AZ160*'Cost inputs'!AD$12/1000000</f>
        <v>0</v>
      </c>
      <c r="CK160" s="110">
        <f>$O160*BA160*'Cost inputs'!AE$12/1000000</f>
        <v>0</v>
      </c>
      <c r="CL160" s="110">
        <f>$O160*BB160*'Cost inputs'!AF$12/1000000</f>
        <v>0</v>
      </c>
      <c r="CM160" s="110">
        <f>$O160*BC160*'Cost inputs'!AG$12/1000000</f>
        <v>0</v>
      </c>
      <c r="CN160" s="110">
        <f>$O160*BD160*'Cost inputs'!AH$12/1000000</f>
        <v>0</v>
      </c>
      <c r="CO160" s="110">
        <f>$O160*BE160*'Cost inputs'!AI$12/1000000</f>
        <v>0</v>
      </c>
      <c r="CP160" s="110">
        <f>$O160*BF160*'Cost inputs'!AJ$12/1000000</f>
        <v>0</v>
      </c>
      <c r="CQ160" s="110">
        <f>$O160*BG160*'Cost inputs'!AK$12/1000000</f>
        <v>0</v>
      </c>
      <c r="CR160" s="131">
        <f t="shared" si="307"/>
        <v>8.2954472220731823E-2</v>
      </c>
      <c r="CS160" s="26"/>
    </row>
    <row r="161" spans="1:97" x14ac:dyDescent="0.3">
      <c r="A161" s="104" t="str">
        <f t="shared" ref="A161:N161" si="329">A46</f>
        <v>Redhills</v>
      </c>
      <c r="B161" s="104" t="str">
        <f t="shared" si="329"/>
        <v>Redhills</v>
      </c>
      <c r="C161" s="104">
        <f t="shared" si="329"/>
        <v>0</v>
      </c>
      <c r="D161" s="104" t="str">
        <f t="shared" si="329"/>
        <v>Redhills Precinct area</v>
      </c>
      <c r="E161" s="104" t="str">
        <f t="shared" si="329"/>
        <v>remainder</v>
      </c>
      <c r="F161" s="104">
        <f t="shared" si="329"/>
        <v>0</v>
      </c>
      <c r="G161" s="104">
        <f t="shared" si="329"/>
        <v>0</v>
      </c>
      <c r="H161" s="104">
        <f t="shared" si="329"/>
        <v>0</v>
      </c>
      <c r="I161" s="104">
        <f t="shared" si="329"/>
        <v>1</v>
      </c>
      <c r="J161" s="104">
        <f t="shared" si="329"/>
        <v>0</v>
      </c>
      <c r="K161" s="104">
        <f t="shared" si="329"/>
        <v>0</v>
      </c>
      <c r="L161" s="104">
        <f t="shared" si="329"/>
        <v>0</v>
      </c>
      <c r="M161" s="104">
        <f t="shared" si="329"/>
        <v>1</v>
      </c>
      <c r="N161" s="104">
        <f t="shared" si="329"/>
        <v>0</v>
      </c>
      <c r="O161" s="104">
        <f t="shared" si="311"/>
        <v>1</v>
      </c>
      <c r="P161" s="104" cm="1">
        <f t="array" ref="P161">2024+MATCH(1,0/AB161:BG161)</f>
        <v>2037</v>
      </c>
      <c r="Q161" s="104" t="str">
        <f t="shared" si="318"/>
        <v>Redhills Precinct area</v>
      </c>
      <c r="R161" s="104" t="str">
        <f t="shared" si="321"/>
        <v>remainder</v>
      </c>
      <c r="S161" s="104"/>
      <c r="T161" s="104"/>
      <c r="U161" s="104"/>
      <c r="V161" s="104"/>
      <c r="W161" s="104"/>
      <c r="X161" s="104"/>
      <c r="Y161" s="104"/>
      <c r="Z161" s="104"/>
      <c r="AA161" s="104"/>
      <c r="AB161" s="103">
        <f t="shared" ref="AB161:BG161" si="330">AB46</f>
        <v>0</v>
      </c>
      <c r="AC161" s="103">
        <f t="shared" si="330"/>
        <v>0</v>
      </c>
      <c r="AD161" s="103">
        <f t="shared" si="330"/>
        <v>0</v>
      </c>
      <c r="AE161" s="103">
        <f t="shared" si="330"/>
        <v>0.1</v>
      </c>
      <c r="AF161" s="103">
        <f t="shared" si="330"/>
        <v>0.1</v>
      </c>
      <c r="AG161" s="103">
        <f t="shared" si="330"/>
        <v>0.1</v>
      </c>
      <c r="AH161" s="103">
        <f t="shared" si="330"/>
        <v>0.1</v>
      </c>
      <c r="AI161" s="103">
        <f t="shared" si="330"/>
        <v>0.1</v>
      </c>
      <c r="AJ161" s="103">
        <f t="shared" si="330"/>
        <v>0.1</v>
      </c>
      <c r="AK161" s="103">
        <f t="shared" si="330"/>
        <v>0.1</v>
      </c>
      <c r="AL161" s="103">
        <f t="shared" si="330"/>
        <v>0.1</v>
      </c>
      <c r="AM161" s="103">
        <f t="shared" si="330"/>
        <v>0.1</v>
      </c>
      <c r="AN161" s="103">
        <f t="shared" si="330"/>
        <v>0.1</v>
      </c>
      <c r="AO161" s="103">
        <f t="shared" si="330"/>
        <v>0</v>
      </c>
      <c r="AP161" s="103">
        <f t="shared" si="330"/>
        <v>0</v>
      </c>
      <c r="AQ161" s="103">
        <f t="shared" si="330"/>
        <v>0</v>
      </c>
      <c r="AR161" s="103">
        <f t="shared" si="330"/>
        <v>0</v>
      </c>
      <c r="AS161" s="103">
        <f t="shared" si="330"/>
        <v>0</v>
      </c>
      <c r="AT161" s="103">
        <f t="shared" si="330"/>
        <v>0</v>
      </c>
      <c r="AU161" s="103">
        <f t="shared" si="330"/>
        <v>0</v>
      </c>
      <c r="AV161" s="103">
        <f t="shared" si="330"/>
        <v>0</v>
      </c>
      <c r="AW161" s="103">
        <f t="shared" si="330"/>
        <v>0</v>
      </c>
      <c r="AX161" s="103">
        <f t="shared" si="330"/>
        <v>0</v>
      </c>
      <c r="AY161" s="103">
        <f t="shared" si="330"/>
        <v>0</v>
      </c>
      <c r="AZ161" s="103">
        <f t="shared" si="330"/>
        <v>0</v>
      </c>
      <c r="BA161" s="103">
        <f t="shared" si="330"/>
        <v>0</v>
      </c>
      <c r="BB161" s="103">
        <f t="shared" si="330"/>
        <v>0</v>
      </c>
      <c r="BC161" s="103">
        <f t="shared" si="330"/>
        <v>0</v>
      </c>
      <c r="BD161" s="103">
        <f t="shared" si="330"/>
        <v>0</v>
      </c>
      <c r="BE161" s="103">
        <f t="shared" si="330"/>
        <v>0</v>
      </c>
      <c r="BF161" s="103">
        <f t="shared" si="330"/>
        <v>0</v>
      </c>
      <c r="BG161" s="103">
        <f t="shared" si="330"/>
        <v>0</v>
      </c>
      <c r="BH161" s="103"/>
      <c r="BI161" s="104"/>
      <c r="BJ161" s="104"/>
      <c r="BK161" s="104"/>
      <c r="BL161" s="110">
        <f>$O161*AB161*'Cost inputs'!F$12/1000000</f>
        <v>0</v>
      </c>
      <c r="BM161" s="110">
        <f>$O161*AC161*'Cost inputs'!G$12/1000000</f>
        <v>0</v>
      </c>
      <c r="BN161" s="110">
        <f>$O161*AD161*'Cost inputs'!H$12/1000000</f>
        <v>0</v>
      </c>
      <c r="BO161" s="110">
        <f>$O161*AE161*'Cost inputs'!I$12/1000000</f>
        <v>3.6624708861083574E-3</v>
      </c>
      <c r="BP161" s="110">
        <f>$O161*AF161*'Cost inputs'!J$12/1000000</f>
        <v>3.7430452456027412E-3</v>
      </c>
      <c r="BQ161" s="110">
        <f>$O161*AG161*'Cost inputs'!K$12/1000000</f>
        <v>3.8253922410060011E-3</v>
      </c>
      <c r="BR161" s="110">
        <f>$O161*AH161*'Cost inputs'!L$12/1000000</f>
        <v>3.9095508703081332E-3</v>
      </c>
      <c r="BS161" s="110">
        <f>$O161*AI161*'Cost inputs'!M$12/1000000</f>
        <v>3.9955609894549117E-3</v>
      </c>
      <c r="BT161" s="110">
        <f>$O161*AJ161*'Cost inputs'!N$12/1000000</f>
        <v>4.0834633312229196E-3</v>
      </c>
      <c r="BU161" s="110">
        <f>$O161*AK161*'Cost inputs'!O$12/1000000</f>
        <v>4.1732995245098237E-3</v>
      </c>
      <c r="BV161" s="110">
        <f>$O161*AL161*'Cost inputs'!P$12/1000000</f>
        <v>4.2651121140490408E-3</v>
      </c>
      <c r="BW161" s="110">
        <f>$O161*AM161*'Cost inputs'!Q$12/1000000</f>
        <v>4.358944580558119E-3</v>
      </c>
      <c r="BX161" s="110">
        <f>$O161*AN161*'Cost inputs'!R$12/1000000</f>
        <v>4.4548413613303981E-3</v>
      </c>
      <c r="BY161" s="110">
        <f>$O161*AO161*'Cost inputs'!S$12/1000000</f>
        <v>0</v>
      </c>
      <c r="BZ161" s="110">
        <f>$O161*AP161*'Cost inputs'!T$12/1000000</f>
        <v>0</v>
      </c>
      <c r="CA161" s="110">
        <f>$O161*AQ161*'Cost inputs'!U$12/1000000</f>
        <v>0</v>
      </c>
      <c r="CB161" s="110">
        <f>$O161*AR161*'Cost inputs'!V$12/1000000</f>
        <v>0</v>
      </c>
      <c r="CC161" s="110">
        <f>$O161*AS161*'Cost inputs'!W$12/1000000</f>
        <v>0</v>
      </c>
      <c r="CD161" s="110">
        <f>$O161*AT161*'Cost inputs'!X$12/1000000</f>
        <v>0</v>
      </c>
      <c r="CE161" s="110">
        <f>$O161*AU161*'Cost inputs'!Y$12/1000000</f>
        <v>0</v>
      </c>
      <c r="CF161" s="110">
        <f>$O161*AV161*'Cost inputs'!Z$12/1000000</f>
        <v>0</v>
      </c>
      <c r="CG161" s="110">
        <f>$O161*AW161*'Cost inputs'!AA$12/1000000</f>
        <v>0</v>
      </c>
      <c r="CH161" s="110">
        <f>$O161*AX161*'Cost inputs'!AB$12/1000000</f>
        <v>0</v>
      </c>
      <c r="CI161" s="110">
        <f>$O161*AY161*'Cost inputs'!AC$12/1000000</f>
        <v>0</v>
      </c>
      <c r="CJ161" s="110">
        <f>$O161*AZ161*'Cost inputs'!AD$12/1000000</f>
        <v>0</v>
      </c>
      <c r="CK161" s="110">
        <f>$O161*BA161*'Cost inputs'!AE$12/1000000</f>
        <v>0</v>
      </c>
      <c r="CL161" s="110">
        <f>$O161*BB161*'Cost inputs'!AF$12/1000000</f>
        <v>0</v>
      </c>
      <c r="CM161" s="110">
        <f>$O161*BC161*'Cost inputs'!AG$12/1000000</f>
        <v>0</v>
      </c>
      <c r="CN161" s="110">
        <f>$O161*BD161*'Cost inputs'!AH$12/1000000</f>
        <v>0</v>
      </c>
      <c r="CO161" s="110">
        <f>$O161*BE161*'Cost inputs'!AI$12/1000000</f>
        <v>0</v>
      </c>
      <c r="CP161" s="110">
        <f>$O161*BF161*'Cost inputs'!AJ$12/1000000</f>
        <v>0</v>
      </c>
      <c r="CQ161" s="110">
        <f>$O161*BG161*'Cost inputs'!AK$12/1000000</f>
        <v>0</v>
      </c>
      <c r="CR161" s="131">
        <f t="shared" si="307"/>
        <v>4.0471681144150444E-2</v>
      </c>
      <c r="CS161" s="26"/>
    </row>
    <row r="162" spans="1:97" x14ac:dyDescent="0.3">
      <c r="A162" s="104" t="str">
        <f t="shared" ref="A162:N162" si="331">A47</f>
        <v>Redhills</v>
      </c>
      <c r="B162" s="104" t="str">
        <f t="shared" si="331"/>
        <v>Whenuapai</v>
      </c>
      <c r="C162" s="104">
        <f t="shared" si="331"/>
        <v>0</v>
      </c>
      <c r="D162" s="104" t="str">
        <f t="shared" si="331"/>
        <v>Redhills North/Whenuapai west</v>
      </c>
      <c r="E162" s="104">
        <f t="shared" si="331"/>
        <v>0</v>
      </c>
      <c r="F162" s="104">
        <f t="shared" si="331"/>
        <v>2</v>
      </c>
      <c r="G162" s="104">
        <f t="shared" si="331"/>
        <v>0</v>
      </c>
      <c r="H162" s="104">
        <f t="shared" si="331"/>
        <v>0</v>
      </c>
      <c r="I162" s="104">
        <f t="shared" si="331"/>
        <v>0</v>
      </c>
      <c r="J162" s="104">
        <f t="shared" si="331"/>
        <v>2</v>
      </c>
      <c r="K162" s="104">
        <f t="shared" si="331"/>
        <v>0</v>
      </c>
      <c r="L162" s="104">
        <f t="shared" si="331"/>
        <v>0</v>
      </c>
      <c r="M162" s="104">
        <f t="shared" si="331"/>
        <v>0</v>
      </c>
      <c r="N162" s="104">
        <f t="shared" si="331"/>
        <v>0</v>
      </c>
      <c r="O162" s="104">
        <f t="shared" si="311"/>
        <v>2</v>
      </c>
      <c r="P162" s="104" cm="1">
        <f t="array" ref="P162">2024+MATCH(1,0/AB162:BG162)</f>
        <v>2041</v>
      </c>
      <c r="Q162" s="104" t="str">
        <f t="shared" si="318"/>
        <v>Redhills North/Whenuapai west</v>
      </c>
      <c r="R162" s="104">
        <f t="shared" si="321"/>
        <v>0</v>
      </c>
      <c r="S162" s="104"/>
      <c r="T162" s="104"/>
      <c r="U162" s="104"/>
      <c r="V162" s="104"/>
      <c r="W162" s="104"/>
      <c r="X162" s="104"/>
      <c r="Y162" s="104"/>
      <c r="Z162" s="104"/>
      <c r="AA162" s="104"/>
      <c r="AB162" s="103">
        <f t="shared" ref="AB162:BG162" si="332">AB47</f>
        <v>0</v>
      </c>
      <c r="AC162" s="103">
        <f t="shared" si="332"/>
        <v>0</v>
      </c>
      <c r="AD162" s="103">
        <f t="shared" si="332"/>
        <v>0</v>
      </c>
      <c r="AE162" s="103">
        <f t="shared" si="332"/>
        <v>0</v>
      </c>
      <c r="AF162" s="103">
        <f t="shared" si="332"/>
        <v>0</v>
      </c>
      <c r="AG162" s="103">
        <f t="shared" si="332"/>
        <v>0</v>
      </c>
      <c r="AH162" s="103">
        <f t="shared" si="332"/>
        <v>0.10996857409440532</v>
      </c>
      <c r="AI162" s="103">
        <f t="shared" si="332"/>
        <v>0.11</v>
      </c>
      <c r="AJ162" s="103">
        <f t="shared" si="332"/>
        <v>4.9999999999999649E-2</v>
      </c>
      <c r="AK162" s="103">
        <f t="shared" si="332"/>
        <v>4.9999999999999649E-2</v>
      </c>
      <c r="AL162" s="103">
        <f t="shared" si="332"/>
        <v>7.4999999999999997E-2</v>
      </c>
      <c r="AM162" s="103">
        <f t="shared" si="332"/>
        <v>7.4999999999999997E-2</v>
      </c>
      <c r="AN162" s="103">
        <f t="shared" si="332"/>
        <v>7.4999999999999997E-2</v>
      </c>
      <c r="AO162" s="103">
        <f t="shared" si="332"/>
        <v>7.4999999999999997E-2</v>
      </c>
      <c r="AP162" s="103">
        <f t="shared" si="332"/>
        <v>0.12667714196853183</v>
      </c>
      <c r="AQ162" s="103">
        <f t="shared" si="332"/>
        <v>0.12667714196853183</v>
      </c>
      <c r="AR162" s="103">
        <f t="shared" si="332"/>
        <v>0.12667714196853183</v>
      </c>
      <c r="AS162" s="103">
        <f t="shared" si="332"/>
        <v>0</v>
      </c>
      <c r="AT162" s="103">
        <f t="shared" si="332"/>
        <v>0</v>
      </c>
      <c r="AU162" s="103">
        <f t="shared" si="332"/>
        <v>0</v>
      </c>
      <c r="AV162" s="103">
        <f t="shared" si="332"/>
        <v>0</v>
      </c>
      <c r="AW162" s="103">
        <f t="shared" si="332"/>
        <v>0</v>
      </c>
      <c r="AX162" s="103">
        <f t="shared" si="332"/>
        <v>0</v>
      </c>
      <c r="AY162" s="103">
        <f t="shared" si="332"/>
        <v>0</v>
      </c>
      <c r="AZ162" s="103">
        <f t="shared" si="332"/>
        <v>0</v>
      </c>
      <c r="BA162" s="103">
        <f t="shared" si="332"/>
        <v>0</v>
      </c>
      <c r="BB162" s="103">
        <f t="shared" si="332"/>
        <v>0</v>
      </c>
      <c r="BC162" s="103">
        <f t="shared" si="332"/>
        <v>0</v>
      </c>
      <c r="BD162" s="103">
        <f t="shared" si="332"/>
        <v>0</v>
      </c>
      <c r="BE162" s="103">
        <f t="shared" si="332"/>
        <v>0</v>
      </c>
      <c r="BF162" s="103">
        <f t="shared" si="332"/>
        <v>0</v>
      </c>
      <c r="BG162" s="103">
        <f t="shared" si="332"/>
        <v>0</v>
      </c>
      <c r="BH162" s="103"/>
      <c r="BI162" s="104"/>
      <c r="BJ162" s="104"/>
      <c r="BK162" s="104"/>
      <c r="BL162" s="110">
        <f>$O162*AB162*'Cost inputs'!F$12/1000000</f>
        <v>0</v>
      </c>
      <c r="BM162" s="110">
        <f>$O162*AC162*'Cost inputs'!G$12/1000000</f>
        <v>0</v>
      </c>
      <c r="BN162" s="110">
        <f>$O162*AD162*'Cost inputs'!H$12/1000000</f>
        <v>0</v>
      </c>
      <c r="BO162" s="110">
        <f>$O162*AE162*'Cost inputs'!I$12/1000000</f>
        <v>0</v>
      </c>
      <c r="BP162" s="110">
        <f>$O162*AF162*'Cost inputs'!J$12/1000000</f>
        <v>0</v>
      </c>
      <c r="BQ162" s="110">
        <f>$O162*AG162*'Cost inputs'!K$12/1000000</f>
        <v>0</v>
      </c>
      <c r="BR162" s="110">
        <f>$O162*AH162*'Cost inputs'!L$12/1000000</f>
        <v>8.5985546911465337E-3</v>
      </c>
      <c r="BS162" s="110">
        <f>$O162*AI162*'Cost inputs'!M$12/1000000</f>
        <v>8.7902341768008058E-3</v>
      </c>
      <c r="BT162" s="110">
        <f>$O162*AJ162*'Cost inputs'!N$12/1000000</f>
        <v>4.083463331222891E-3</v>
      </c>
      <c r="BU162" s="110">
        <f>$O162*AK162*'Cost inputs'!O$12/1000000</f>
        <v>4.1732995245097942E-3</v>
      </c>
      <c r="BV162" s="110">
        <f>$O162*AL162*'Cost inputs'!P$12/1000000</f>
        <v>6.3976681710735603E-3</v>
      </c>
      <c r="BW162" s="110">
        <f>$O162*AM162*'Cost inputs'!Q$12/1000000</f>
        <v>6.5384168708371793E-3</v>
      </c>
      <c r="BX162" s="110">
        <f>$O162*AN162*'Cost inputs'!R$12/1000000</f>
        <v>6.6822620419955967E-3</v>
      </c>
      <c r="BY162" s="110">
        <f>$O162*AO162*'Cost inputs'!S$12/1000000</f>
        <v>6.8292718069195004E-3</v>
      </c>
      <c r="BZ162" s="110">
        <f>$O162*AP162*'Cost inputs'!T$12/1000000</f>
        <v>1.1788601495730983E-2</v>
      </c>
      <c r="CA162" s="110">
        <f>$O162*AQ162*'Cost inputs'!U$12/1000000</f>
        <v>1.2047950728637064E-2</v>
      </c>
      <c r="CB162" s="110">
        <f>$O162*AR162*'Cost inputs'!V$12/1000000</f>
        <v>1.231300564466708E-2</v>
      </c>
      <c r="CC162" s="110">
        <f>$O162*AS162*'Cost inputs'!W$12/1000000</f>
        <v>0</v>
      </c>
      <c r="CD162" s="110">
        <f>$O162*AT162*'Cost inputs'!X$12/1000000</f>
        <v>0</v>
      </c>
      <c r="CE162" s="110">
        <f>$O162*AU162*'Cost inputs'!Y$12/1000000</f>
        <v>0</v>
      </c>
      <c r="CF162" s="110">
        <f>$O162*AV162*'Cost inputs'!Z$12/1000000</f>
        <v>0</v>
      </c>
      <c r="CG162" s="110">
        <f>$O162*AW162*'Cost inputs'!AA$12/1000000</f>
        <v>0</v>
      </c>
      <c r="CH162" s="110">
        <f>$O162*AX162*'Cost inputs'!AB$12/1000000</f>
        <v>0</v>
      </c>
      <c r="CI162" s="110">
        <f>$O162*AY162*'Cost inputs'!AC$12/1000000</f>
        <v>0</v>
      </c>
      <c r="CJ162" s="110">
        <f>$O162*AZ162*'Cost inputs'!AD$12/1000000</f>
        <v>0</v>
      </c>
      <c r="CK162" s="110">
        <f>$O162*BA162*'Cost inputs'!AE$12/1000000</f>
        <v>0</v>
      </c>
      <c r="CL162" s="110">
        <f>$O162*BB162*'Cost inputs'!AF$12/1000000</f>
        <v>0</v>
      </c>
      <c r="CM162" s="110">
        <f>$O162*BC162*'Cost inputs'!AG$12/1000000</f>
        <v>0</v>
      </c>
      <c r="CN162" s="110">
        <f>$O162*BD162*'Cost inputs'!AH$12/1000000</f>
        <v>0</v>
      </c>
      <c r="CO162" s="110">
        <f>$O162*BE162*'Cost inputs'!AI$12/1000000</f>
        <v>0</v>
      </c>
      <c r="CP162" s="110">
        <f>$O162*BF162*'Cost inputs'!AJ$12/1000000</f>
        <v>0</v>
      </c>
      <c r="CQ162" s="110">
        <f>$O162*BG162*'Cost inputs'!AK$12/1000000</f>
        <v>0</v>
      </c>
      <c r="CR162" s="131">
        <f t="shared" si="307"/>
        <v>8.8242728483541005E-2</v>
      </c>
      <c r="CS162" s="26"/>
    </row>
    <row r="163" spans="1:97" x14ac:dyDescent="0.3">
      <c r="A163" s="104" t="str">
        <f t="shared" ref="A163:N163" si="333">A48</f>
        <v>Whenuapai</v>
      </c>
      <c r="B163" s="104" t="str">
        <f t="shared" si="333"/>
        <v>Whenuapai</v>
      </c>
      <c r="C163" s="104">
        <f t="shared" si="333"/>
        <v>0</v>
      </c>
      <c r="D163" s="104" t="str">
        <f t="shared" si="333"/>
        <v>Whenuapai North (Stage 1a)</v>
      </c>
      <c r="E163" s="104">
        <f t="shared" si="333"/>
        <v>0</v>
      </c>
      <c r="F163" s="104">
        <f t="shared" si="333"/>
        <v>1</v>
      </c>
      <c r="G163" s="104">
        <f t="shared" si="333"/>
        <v>0</v>
      </c>
      <c r="H163" s="104">
        <f t="shared" si="333"/>
        <v>0</v>
      </c>
      <c r="I163" s="104">
        <f t="shared" si="333"/>
        <v>0</v>
      </c>
      <c r="J163" s="104">
        <f t="shared" si="333"/>
        <v>1</v>
      </c>
      <c r="K163" s="104">
        <f t="shared" si="333"/>
        <v>0</v>
      </c>
      <c r="L163" s="104">
        <f t="shared" si="333"/>
        <v>0</v>
      </c>
      <c r="M163" s="104">
        <f t="shared" si="333"/>
        <v>0</v>
      </c>
      <c r="N163" s="104">
        <f t="shared" si="333"/>
        <v>0</v>
      </c>
      <c r="O163" s="104">
        <f t="shared" si="311"/>
        <v>1</v>
      </c>
      <c r="P163" s="104" cm="1">
        <f t="array" ref="P163">2024+MATCH(1,0/AB163:BG163)</f>
        <v>2041</v>
      </c>
      <c r="Q163" s="104" t="str">
        <f t="shared" si="318"/>
        <v>Whenuapai North (Stage 1a)</v>
      </c>
      <c r="R163" s="104">
        <f t="shared" si="321"/>
        <v>0</v>
      </c>
      <c r="S163" s="104"/>
      <c r="T163" s="104"/>
      <c r="U163" s="104"/>
      <c r="V163" s="104"/>
      <c r="W163" s="104"/>
      <c r="X163" s="104"/>
      <c r="Y163" s="104"/>
      <c r="Z163" s="104"/>
      <c r="AA163" s="104"/>
      <c r="AB163" s="103">
        <f t="shared" ref="AB163:BG163" si="334">AB48</f>
        <v>0</v>
      </c>
      <c r="AC163" s="103">
        <f t="shared" si="334"/>
        <v>0</v>
      </c>
      <c r="AD163" s="103">
        <f t="shared" si="334"/>
        <v>0</v>
      </c>
      <c r="AE163" s="103">
        <f t="shared" si="334"/>
        <v>0</v>
      </c>
      <c r="AF163" s="103">
        <f t="shared" si="334"/>
        <v>0</v>
      </c>
      <c r="AG163" s="103">
        <f t="shared" si="334"/>
        <v>0</v>
      </c>
      <c r="AH163" s="103">
        <f t="shared" si="334"/>
        <v>0.10996857409440532</v>
      </c>
      <c r="AI163" s="103">
        <f t="shared" si="334"/>
        <v>0.11</v>
      </c>
      <c r="AJ163" s="103">
        <f t="shared" si="334"/>
        <v>4.9999999999999649E-2</v>
      </c>
      <c r="AK163" s="103">
        <f t="shared" si="334"/>
        <v>4.9999999999999649E-2</v>
      </c>
      <c r="AL163" s="103">
        <f t="shared" si="334"/>
        <v>7.4999999999999997E-2</v>
      </c>
      <c r="AM163" s="103">
        <f t="shared" si="334"/>
        <v>7.4999999999999997E-2</v>
      </c>
      <c r="AN163" s="103">
        <f t="shared" si="334"/>
        <v>7.4999999999999997E-2</v>
      </c>
      <c r="AO163" s="103">
        <f t="shared" si="334"/>
        <v>7.4999999999999997E-2</v>
      </c>
      <c r="AP163" s="103">
        <f t="shared" si="334"/>
        <v>0.12667714196853183</v>
      </c>
      <c r="AQ163" s="103">
        <f t="shared" si="334"/>
        <v>0.12667714196853183</v>
      </c>
      <c r="AR163" s="103">
        <f t="shared" si="334"/>
        <v>0.12667714196853183</v>
      </c>
      <c r="AS163" s="103">
        <f t="shared" si="334"/>
        <v>0</v>
      </c>
      <c r="AT163" s="103">
        <f t="shared" si="334"/>
        <v>0</v>
      </c>
      <c r="AU163" s="103">
        <f t="shared" si="334"/>
        <v>0</v>
      </c>
      <c r="AV163" s="103">
        <f t="shared" si="334"/>
        <v>0</v>
      </c>
      <c r="AW163" s="103">
        <f t="shared" si="334"/>
        <v>0</v>
      </c>
      <c r="AX163" s="103">
        <f t="shared" si="334"/>
        <v>0</v>
      </c>
      <c r="AY163" s="103">
        <f t="shared" si="334"/>
        <v>0</v>
      </c>
      <c r="AZ163" s="103">
        <f t="shared" si="334"/>
        <v>0</v>
      </c>
      <c r="BA163" s="103">
        <f t="shared" si="334"/>
        <v>0</v>
      </c>
      <c r="BB163" s="103">
        <f t="shared" si="334"/>
        <v>0</v>
      </c>
      <c r="BC163" s="103">
        <f t="shared" si="334"/>
        <v>0</v>
      </c>
      <c r="BD163" s="103">
        <f t="shared" si="334"/>
        <v>0</v>
      </c>
      <c r="BE163" s="103">
        <f t="shared" si="334"/>
        <v>0</v>
      </c>
      <c r="BF163" s="103">
        <f t="shared" si="334"/>
        <v>0</v>
      </c>
      <c r="BG163" s="103">
        <f t="shared" si="334"/>
        <v>0</v>
      </c>
      <c r="BH163" s="103"/>
      <c r="BI163" s="104"/>
      <c r="BJ163" s="104"/>
      <c r="BK163" s="104"/>
      <c r="BL163" s="110">
        <f>$O163*AB163*'Cost inputs'!F$12/1000000</f>
        <v>0</v>
      </c>
      <c r="BM163" s="110">
        <f>$O163*AC163*'Cost inputs'!G$12/1000000</f>
        <v>0</v>
      </c>
      <c r="BN163" s="110">
        <f>$O163*AD163*'Cost inputs'!H$12/1000000</f>
        <v>0</v>
      </c>
      <c r="BO163" s="110">
        <f>$O163*AE163*'Cost inputs'!I$12/1000000</f>
        <v>0</v>
      </c>
      <c r="BP163" s="110">
        <f>$O163*AF163*'Cost inputs'!J$12/1000000</f>
        <v>0</v>
      </c>
      <c r="BQ163" s="110">
        <f>$O163*AG163*'Cost inputs'!K$12/1000000</f>
        <v>0</v>
      </c>
      <c r="BR163" s="110">
        <f>$O163*AH163*'Cost inputs'!L$12/1000000</f>
        <v>4.2992773455732668E-3</v>
      </c>
      <c r="BS163" s="110">
        <f>$O163*AI163*'Cost inputs'!M$12/1000000</f>
        <v>4.3951170884004029E-3</v>
      </c>
      <c r="BT163" s="110">
        <f>$O163*AJ163*'Cost inputs'!N$12/1000000</f>
        <v>2.0417316656114455E-3</v>
      </c>
      <c r="BU163" s="110">
        <f>$O163*AK163*'Cost inputs'!O$12/1000000</f>
        <v>2.0866497622548971E-3</v>
      </c>
      <c r="BV163" s="110">
        <f>$O163*AL163*'Cost inputs'!P$12/1000000</f>
        <v>3.1988340855367801E-3</v>
      </c>
      <c r="BW163" s="110">
        <f>$O163*AM163*'Cost inputs'!Q$12/1000000</f>
        <v>3.2692084354185896E-3</v>
      </c>
      <c r="BX163" s="110">
        <f>$O163*AN163*'Cost inputs'!R$12/1000000</f>
        <v>3.3411310209977983E-3</v>
      </c>
      <c r="BY163" s="110">
        <f>$O163*AO163*'Cost inputs'!S$12/1000000</f>
        <v>3.4146359034597502E-3</v>
      </c>
      <c r="BZ163" s="110">
        <f>$O163*AP163*'Cost inputs'!T$12/1000000</f>
        <v>5.8943007478654916E-3</v>
      </c>
      <c r="CA163" s="110">
        <f>$O163*AQ163*'Cost inputs'!U$12/1000000</f>
        <v>6.0239753643185319E-3</v>
      </c>
      <c r="CB163" s="110">
        <f>$O163*AR163*'Cost inputs'!V$12/1000000</f>
        <v>6.1565028223335401E-3</v>
      </c>
      <c r="CC163" s="110">
        <f>$O163*AS163*'Cost inputs'!W$12/1000000</f>
        <v>0</v>
      </c>
      <c r="CD163" s="110">
        <f>$O163*AT163*'Cost inputs'!X$12/1000000</f>
        <v>0</v>
      </c>
      <c r="CE163" s="110">
        <f>$O163*AU163*'Cost inputs'!Y$12/1000000</f>
        <v>0</v>
      </c>
      <c r="CF163" s="110">
        <f>$O163*AV163*'Cost inputs'!Z$12/1000000</f>
        <v>0</v>
      </c>
      <c r="CG163" s="110">
        <f>$O163*AW163*'Cost inputs'!AA$12/1000000</f>
        <v>0</v>
      </c>
      <c r="CH163" s="110">
        <f>$O163*AX163*'Cost inputs'!AB$12/1000000</f>
        <v>0</v>
      </c>
      <c r="CI163" s="110">
        <f>$O163*AY163*'Cost inputs'!AC$12/1000000</f>
        <v>0</v>
      </c>
      <c r="CJ163" s="110">
        <f>$O163*AZ163*'Cost inputs'!AD$12/1000000</f>
        <v>0</v>
      </c>
      <c r="CK163" s="110">
        <f>$O163*BA163*'Cost inputs'!AE$12/1000000</f>
        <v>0</v>
      </c>
      <c r="CL163" s="110">
        <f>$O163*BB163*'Cost inputs'!AF$12/1000000</f>
        <v>0</v>
      </c>
      <c r="CM163" s="110">
        <f>$O163*BC163*'Cost inputs'!AG$12/1000000</f>
        <v>0</v>
      </c>
      <c r="CN163" s="110">
        <f>$O163*BD163*'Cost inputs'!AH$12/1000000</f>
        <v>0</v>
      </c>
      <c r="CO163" s="110">
        <f>$O163*BE163*'Cost inputs'!AI$12/1000000</f>
        <v>0</v>
      </c>
      <c r="CP163" s="110">
        <f>$O163*BF163*'Cost inputs'!AJ$12/1000000</f>
        <v>0</v>
      </c>
      <c r="CQ163" s="110">
        <f>$O163*BG163*'Cost inputs'!AK$12/1000000</f>
        <v>0</v>
      </c>
      <c r="CR163" s="131">
        <f t="shared" si="307"/>
        <v>4.4121364241770503E-2</v>
      </c>
      <c r="CS163" s="26"/>
    </row>
    <row r="164" spans="1:97" x14ac:dyDescent="0.3">
      <c r="A164" s="104" t="str">
        <f t="shared" ref="A164:N164" si="335">A49</f>
        <v>Whenuapai</v>
      </c>
      <c r="B164" s="104" t="str">
        <f t="shared" si="335"/>
        <v>Whenuapai</v>
      </c>
      <c r="C164" s="104">
        <f t="shared" si="335"/>
        <v>0</v>
      </c>
      <c r="D164" s="104" t="str">
        <f t="shared" si="335"/>
        <v>Whenuapai north (Stage 1b)</v>
      </c>
      <c r="E164" s="104" t="str">
        <f t="shared" si="335"/>
        <v>Park W and sub pk is in 1b on POS map</v>
      </c>
      <c r="F164" s="104">
        <f t="shared" si="335"/>
        <v>5</v>
      </c>
      <c r="G164" s="104">
        <f t="shared" si="335"/>
        <v>0</v>
      </c>
      <c r="H164" s="104">
        <f t="shared" si="335"/>
        <v>0</v>
      </c>
      <c r="I164" s="104">
        <f t="shared" si="335"/>
        <v>0</v>
      </c>
      <c r="J164" s="104">
        <f t="shared" si="335"/>
        <v>5</v>
      </c>
      <c r="K164" s="104">
        <f t="shared" si="335"/>
        <v>0</v>
      </c>
      <c r="L164" s="104">
        <f t="shared" si="335"/>
        <v>0</v>
      </c>
      <c r="M164" s="104">
        <f t="shared" si="335"/>
        <v>0</v>
      </c>
      <c r="N164" s="104">
        <f t="shared" si="335"/>
        <v>0</v>
      </c>
      <c r="O164" s="104">
        <f t="shared" si="311"/>
        <v>5</v>
      </c>
      <c r="P164" s="104" cm="1">
        <f t="array" ref="P164">2024+MATCH(1,0/AB164:BG164)</f>
        <v>2041</v>
      </c>
      <c r="Q164" s="104" t="str">
        <f t="shared" si="318"/>
        <v>Whenuapai north (Stage 1b)</v>
      </c>
      <c r="R164" s="104" t="str">
        <f t="shared" si="321"/>
        <v>Park W and sub pk is in 1b on POS map</v>
      </c>
      <c r="S164" s="104"/>
      <c r="T164" s="104"/>
      <c r="U164" s="104"/>
      <c r="V164" s="104"/>
      <c r="W164" s="104"/>
      <c r="X164" s="104"/>
      <c r="Y164" s="104"/>
      <c r="Z164" s="104"/>
      <c r="AA164" s="104"/>
      <c r="AB164" s="103">
        <f t="shared" ref="AB164:BG164" si="336">AB49</f>
        <v>0</v>
      </c>
      <c r="AC164" s="103">
        <f t="shared" si="336"/>
        <v>0</v>
      </c>
      <c r="AD164" s="103">
        <f t="shared" si="336"/>
        <v>0</v>
      </c>
      <c r="AE164" s="103">
        <f t="shared" si="336"/>
        <v>0</v>
      </c>
      <c r="AF164" s="103">
        <f t="shared" si="336"/>
        <v>0</v>
      </c>
      <c r="AG164" s="103">
        <f t="shared" si="336"/>
        <v>0</v>
      </c>
      <c r="AH164" s="103">
        <f t="shared" si="336"/>
        <v>0.10996857409440532</v>
      </c>
      <c r="AI164" s="103">
        <f t="shared" si="336"/>
        <v>0.11</v>
      </c>
      <c r="AJ164" s="103">
        <f t="shared" si="336"/>
        <v>4.9999999999999649E-2</v>
      </c>
      <c r="AK164" s="103">
        <f t="shared" si="336"/>
        <v>4.9999999999999649E-2</v>
      </c>
      <c r="AL164" s="103">
        <f t="shared" si="336"/>
        <v>7.4999999999999997E-2</v>
      </c>
      <c r="AM164" s="103">
        <f t="shared" si="336"/>
        <v>7.4999999999999997E-2</v>
      </c>
      <c r="AN164" s="103">
        <f t="shared" si="336"/>
        <v>7.4999999999999997E-2</v>
      </c>
      <c r="AO164" s="103">
        <f t="shared" si="336"/>
        <v>7.4999999999999997E-2</v>
      </c>
      <c r="AP164" s="103">
        <f t="shared" si="336"/>
        <v>0.12667714196853183</v>
      </c>
      <c r="AQ164" s="103">
        <f t="shared" si="336"/>
        <v>0.12667714196853183</v>
      </c>
      <c r="AR164" s="103">
        <f t="shared" si="336"/>
        <v>0.12667714196853183</v>
      </c>
      <c r="AS164" s="103">
        <f t="shared" si="336"/>
        <v>0</v>
      </c>
      <c r="AT164" s="103">
        <f t="shared" si="336"/>
        <v>0</v>
      </c>
      <c r="AU164" s="103">
        <f t="shared" si="336"/>
        <v>0</v>
      </c>
      <c r="AV164" s="103">
        <f t="shared" si="336"/>
        <v>0</v>
      </c>
      <c r="AW164" s="103">
        <f t="shared" si="336"/>
        <v>0</v>
      </c>
      <c r="AX164" s="103">
        <f t="shared" si="336"/>
        <v>0</v>
      </c>
      <c r="AY164" s="103">
        <f t="shared" si="336"/>
        <v>0</v>
      </c>
      <c r="AZ164" s="103">
        <f t="shared" si="336"/>
        <v>0</v>
      </c>
      <c r="BA164" s="103">
        <f t="shared" si="336"/>
        <v>0</v>
      </c>
      <c r="BB164" s="103">
        <f t="shared" si="336"/>
        <v>0</v>
      </c>
      <c r="BC164" s="103">
        <f t="shared" si="336"/>
        <v>0</v>
      </c>
      <c r="BD164" s="103">
        <f t="shared" si="336"/>
        <v>0</v>
      </c>
      <c r="BE164" s="103">
        <f t="shared" si="336"/>
        <v>0</v>
      </c>
      <c r="BF164" s="103">
        <f t="shared" si="336"/>
        <v>0</v>
      </c>
      <c r="BG164" s="103">
        <f t="shared" si="336"/>
        <v>0</v>
      </c>
      <c r="BH164" s="103"/>
      <c r="BI164" s="104"/>
      <c r="BJ164" s="104"/>
      <c r="BK164" s="104"/>
      <c r="BL164" s="110">
        <f>$O164*AB164*'Cost inputs'!F$12/1000000</f>
        <v>0</v>
      </c>
      <c r="BM164" s="110">
        <f>$O164*AC164*'Cost inputs'!G$12/1000000</f>
        <v>0</v>
      </c>
      <c r="BN164" s="110">
        <f>$O164*AD164*'Cost inputs'!H$12/1000000</f>
        <v>0</v>
      </c>
      <c r="BO164" s="110">
        <f>$O164*AE164*'Cost inputs'!I$12/1000000</f>
        <v>0</v>
      </c>
      <c r="BP164" s="110">
        <f>$O164*AF164*'Cost inputs'!J$12/1000000</f>
        <v>0</v>
      </c>
      <c r="BQ164" s="110">
        <f>$O164*AG164*'Cost inputs'!K$12/1000000</f>
        <v>0</v>
      </c>
      <c r="BR164" s="110">
        <f>$O164*AH164*'Cost inputs'!L$12/1000000</f>
        <v>2.1496386727866339E-2</v>
      </c>
      <c r="BS164" s="110">
        <f>$O164*AI164*'Cost inputs'!M$12/1000000</f>
        <v>2.1975585442002014E-2</v>
      </c>
      <c r="BT164" s="110">
        <f>$O164*AJ164*'Cost inputs'!N$12/1000000</f>
        <v>1.0208658328057228E-2</v>
      </c>
      <c r="BU164" s="110">
        <f>$O164*AK164*'Cost inputs'!O$12/1000000</f>
        <v>1.0433248811274486E-2</v>
      </c>
      <c r="BV164" s="110">
        <f>$O164*AL164*'Cost inputs'!P$12/1000000</f>
        <v>1.5994170427683901E-2</v>
      </c>
      <c r="BW164" s="110">
        <f>$O164*AM164*'Cost inputs'!Q$12/1000000</f>
        <v>1.6346042177092946E-2</v>
      </c>
      <c r="BX164" s="110">
        <f>$O164*AN164*'Cost inputs'!R$12/1000000</f>
        <v>1.6705655104988993E-2</v>
      </c>
      <c r="BY164" s="110">
        <f>$O164*AO164*'Cost inputs'!S$12/1000000</f>
        <v>1.707317951729875E-2</v>
      </c>
      <c r="BZ164" s="110">
        <f>$O164*AP164*'Cost inputs'!T$12/1000000</f>
        <v>2.947150373932746E-2</v>
      </c>
      <c r="CA164" s="110">
        <f>$O164*AQ164*'Cost inputs'!U$12/1000000</f>
        <v>3.0119876821592666E-2</v>
      </c>
      <c r="CB164" s="110">
        <f>$O164*AR164*'Cost inputs'!V$12/1000000</f>
        <v>3.0782514111667703E-2</v>
      </c>
      <c r="CC164" s="110">
        <f>$O164*AS164*'Cost inputs'!W$12/1000000</f>
        <v>0</v>
      </c>
      <c r="CD164" s="110">
        <f>$O164*AT164*'Cost inputs'!X$12/1000000</f>
        <v>0</v>
      </c>
      <c r="CE164" s="110">
        <f>$O164*AU164*'Cost inputs'!Y$12/1000000</f>
        <v>0</v>
      </c>
      <c r="CF164" s="110">
        <f>$O164*AV164*'Cost inputs'!Z$12/1000000</f>
        <v>0</v>
      </c>
      <c r="CG164" s="110">
        <f>$O164*AW164*'Cost inputs'!AA$12/1000000</f>
        <v>0</v>
      </c>
      <c r="CH164" s="110">
        <f>$O164*AX164*'Cost inputs'!AB$12/1000000</f>
        <v>0</v>
      </c>
      <c r="CI164" s="110">
        <f>$O164*AY164*'Cost inputs'!AC$12/1000000</f>
        <v>0</v>
      </c>
      <c r="CJ164" s="110">
        <f>$O164*AZ164*'Cost inputs'!AD$12/1000000</f>
        <v>0</v>
      </c>
      <c r="CK164" s="110">
        <f>$O164*BA164*'Cost inputs'!AE$12/1000000</f>
        <v>0</v>
      </c>
      <c r="CL164" s="110">
        <f>$O164*BB164*'Cost inputs'!AF$12/1000000</f>
        <v>0</v>
      </c>
      <c r="CM164" s="110">
        <f>$O164*BC164*'Cost inputs'!AG$12/1000000</f>
        <v>0</v>
      </c>
      <c r="CN164" s="110">
        <f>$O164*BD164*'Cost inputs'!AH$12/1000000</f>
        <v>0</v>
      </c>
      <c r="CO164" s="110">
        <f>$O164*BE164*'Cost inputs'!AI$12/1000000</f>
        <v>0</v>
      </c>
      <c r="CP164" s="110">
        <f>$O164*BF164*'Cost inputs'!AJ$12/1000000</f>
        <v>0</v>
      </c>
      <c r="CQ164" s="110">
        <f>$O164*BG164*'Cost inputs'!AK$12/1000000</f>
        <v>0</v>
      </c>
      <c r="CR164" s="131">
        <f t="shared" si="307"/>
        <v>0.2206068212088525</v>
      </c>
      <c r="CS164" s="26"/>
    </row>
    <row r="165" spans="1:97" x14ac:dyDescent="0.3">
      <c r="A165" s="104" t="str">
        <f t="shared" ref="A165:N165" si="337">A50</f>
        <v>Whenuapai</v>
      </c>
      <c r="B165" s="104" t="str">
        <f t="shared" si="337"/>
        <v>Whenuapai</v>
      </c>
      <c r="C165" s="104">
        <f t="shared" si="337"/>
        <v>0</v>
      </c>
      <c r="D165" s="104" t="str">
        <f t="shared" si="337"/>
        <v>Whenuapai north (Stage 1b)</v>
      </c>
      <c r="E165" s="104" t="str">
        <f t="shared" si="337"/>
        <v>Park W and sub pk is in 1b on POS map</v>
      </c>
      <c r="F165" s="104">
        <f t="shared" si="337"/>
        <v>0</v>
      </c>
      <c r="G165" s="104">
        <f t="shared" si="337"/>
        <v>1</v>
      </c>
      <c r="H165" s="104">
        <f t="shared" si="337"/>
        <v>0</v>
      </c>
      <c r="I165" s="104">
        <f t="shared" si="337"/>
        <v>0</v>
      </c>
      <c r="J165" s="104">
        <f t="shared" si="337"/>
        <v>0</v>
      </c>
      <c r="K165" s="104">
        <f t="shared" si="337"/>
        <v>1</v>
      </c>
      <c r="L165" s="104">
        <f t="shared" si="337"/>
        <v>0</v>
      </c>
      <c r="M165" s="104">
        <f t="shared" si="337"/>
        <v>0</v>
      </c>
      <c r="N165" s="104">
        <f t="shared" si="337"/>
        <v>0</v>
      </c>
      <c r="O165" s="104">
        <f t="shared" si="311"/>
        <v>1</v>
      </c>
      <c r="P165" s="104" cm="1">
        <f t="array" ref="P165">2024+MATCH(1,0/AB165:BG165)</f>
        <v>2036</v>
      </c>
      <c r="Q165" s="104" t="str">
        <f t="shared" si="318"/>
        <v>Whenuapai north (Stage 1b)</v>
      </c>
      <c r="R165" s="104" t="str">
        <f t="shared" si="321"/>
        <v>Park W and sub pk is in 1b on POS map</v>
      </c>
      <c r="S165" s="104"/>
      <c r="T165" s="104"/>
      <c r="U165" s="104"/>
      <c r="V165" s="104"/>
      <c r="W165" s="104"/>
      <c r="X165" s="104"/>
      <c r="Y165" s="104"/>
      <c r="Z165" s="104"/>
      <c r="AA165" s="104"/>
      <c r="AB165" s="103">
        <f t="shared" ref="AB165:BG165" si="338">AB50</f>
        <v>0</v>
      </c>
      <c r="AC165" s="103">
        <f t="shared" si="338"/>
        <v>0</v>
      </c>
      <c r="AD165" s="103">
        <f t="shared" si="338"/>
        <v>0</v>
      </c>
      <c r="AE165" s="103">
        <f t="shared" si="338"/>
        <v>0.17499999999999999</v>
      </c>
      <c r="AF165" s="103">
        <f t="shared" si="338"/>
        <v>0.17499999999999999</v>
      </c>
      <c r="AG165" s="103">
        <f t="shared" si="338"/>
        <v>0.11</v>
      </c>
      <c r="AH165" s="103">
        <f t="shared" si="338"/>
        <v>0.125</v>
      </c>
      <c r="AI165" s="103">
        <f t="shared" si="338"/>
        <v>0.125</v>
      </c>
      <c r="AJ165" s="103">
        <f t="shared" si="338"/>
        <v>7.826754329489391E-2</v>
      </c>
      <c r="AK165" s="103">
        <f t="shared" si="338"/>
        <v>1.0813875670097521E-2</v>
      </c>
      <c r="AL165" s="103">
        <f t="shared" si="338"/>
        <v>0.1004592905175043</v>
      </c>
      <c r="AM165" s="103">
        <f t="shared" si="338"/>
        <v>0.1004592905175043</v>
      </c>
      <c r="AN165" s="103">
        <f t="shared" si="338"/>
        <v>0</v>
      </c>
      <c r="AO165" s="103">
        <f t="shared" si="338"/>
        <v>0</v>
      </c>
      <c r="AP165" s="103">
        <f t="shared" si="338"/>
        <v>0</v>
      </c>
      <c r="AQ165" s="103">
        <f t="shared" si="338"/>
        <v>0</v>
      </c>
      <c r="AR165" s="103">
        <f t="shared" si="338"/>
        <v>0</v>
      </c>
      <c r="AS165" s="103">
        <f t="shared" si="338"/>
        <v>0</v>
      </c>
      <c r="AT165" s="103">
        <f t="shared" si="338"/>
        <v>0</v>
      </c>
      <c r="AU165" s="103">
        <f t="shared" si="338"/>
        <v>0</v>
      </c>
      <c r="AV165" s="103">
        <f t="shared" si="338"/>
        <v>0</v>
      </c>
      <c r="AW165" s="103">
        <f t="shared" si="338"/>
        <v>0</v>
      </c>
      <c r="AX165" s="103">
        <f t="shared" si="338"/>
        <v>0</v>
      </c>
      <c r="AY165" s="103">
        <f t="shared" si="338"/>
        <v>0</v>
      </c>
      <c r="AZ165" s="103">
        <f t="shared" si="338"/>
        <v>0</v>
      </c>
      <c r="BA165" s="103">
        <f t="shared" si="338"/>
        <v>0</v>
      </c>
      <c r="BB165" s="103">
        <f t="shared" si="338"/>
        <v>0</v>
      </c>
      <c r="BC165" s="103">
        <f t="shared" si="338"/>
        <v>0</v>
      </c>
      <c r="BD165" s="103">
        <f t="shared" si="338"/>
        <v>0</v>
      </c>
      <c r="BE165" s="103">
        <f t="shared" si="338"/>
        <v>0</v>
      </c>
      <c r="BF165" s="103">
        <f t="shared" si="338"/>
        <v>0</v>
      </c>
      <c r="BG165" s="103">
        <f t="shared" si="338"/>
        <v>0</v>
      </c>
      <c r="BH165" s="103"/>
      <c r="BI165" s="104"/>
      <c r="BJ165" s="104"/>
      <c r="BK165" s="104"/>
      <c r="BL165" s="110">
        <f>$O165*AB165*'Cost inputs'!F$12/1000000</f>
        <v>0</v>
      </c>
      <c r="BM165" s="110">
        <f>$O165*AC165*'Cost inputs'!G$12/1000000</f>
        <v>0</v>
      </c>
      <c r="BN165" s="110">
        <f>$O165*AD165*'Cost inputs'!H$12/1000000</f>
        <v>0</v>
      </c>
      <c r="BO165" s="110">
        <f>$O165*AE165*'Cost inputs'!I$12/1000000</f>
        <v>6.4093240506896245E-3</v>
      </c>
      <c r="BP165" s="110">
        <f>$O165*AF165*'Cost inputs'!J$12/1000000</f>
        <v>6.5503291798047958E-3</v>
      </c>
      <c r="BQ165" s="110">
        <f>$O165*AG165*'Cost inputs'!K$12/1000000</f>
        <v>4.2079314651066015E-3</v>
      </c>
      <c r="BR165" s="110">
        <f>$O165*AH165*'Cost inputs'!L$12/1000000</f>
        <v>4.8869385878851663E-3</v>
      </c>
      <c r="BS165" s="110">
        <f>$O165*AI165*'Cost inputs'!M$12/1000000</f>
        <v>4.9944512368186398E-3</v>
      </c>
      <c r="BT165" s="110">
        <f>$O165*AJ165*'Cost inputs'!N$12/1000000</f>
        <v>3.1960264306960156E-3</v>
      </c>
      <c r="BU165" s="110">
        <f>$O165*AK165*'Cost inputs'!O$12/1000000</f>
        <v>4.5129542192126338E-4</v>
      </c>
      <c r="BV165" s="110">
        <f>$O165*AL165*'Cost inputs'!P$12/1000000</f>
        <v>4.2847013695497945E-3</v>
      </c>
      <c r="BW165" s="110">
        <f>$O165*AM165*'Cost inputs'!Q$12/1000000</f>
        <v>4.37896479967989E-3</v>
      </c>
      <c r="BX165" s="110">
        <f>$O165*AN165*'Cost inputs'!R$12/1000000</f>
        <v>0</v>
      </c>
      <c r="BY165" s="110">
        <f>$O165*AO165*'Cost inputs'!S$12/1000000</f>
        <v>0</v>
      </c>
      <c r="BZ165" s="110">
        <f>$O165*AP165*'Cost inputs'!T$12/1000000</f>
        <v>0</v>
      </c>
      <c r="CA165" s="110">
        <f>$O165*AQ165*'Cost inputs'!U$12/1000000</f>
        <v>0</v>
      </c>
      <c r="CB165" s="110">
        <f>$O165*AR165*'Cost inputs'!V$12/1000000</f>
        <v>0</v>
      </c>
      <c r="CC165" s="110">
        <f>$O165*AS165*'Cost inputs'!W$12/1000000</f>
        <v>0</v>
      </c>
      <c r="CD165" s="110">
        <f>$O165*AT165*'Cost inputs'!X$12/1000000</f>
        <v>0</v>
      </c>
      <c r="CE165" s="110">
        <f>$O165*AU165*'Cost inputs'!Y$12/1000000</f>
        <v>0</v>
      </c>
      <c r="CF165" s="110">
        <f>$O165*AV165*'Cost inputs'!Z$12/1000000</f>
        <v>0</v>
      </c>
      <c r="CG165" s="110">
        <f>$O165*AW165*'Cost inputs'!AA$12/1000000</f>
        <v>0</v>
      </c>
      <c r="CH165" s="110">
        <f>$O165*AX165*'Cost inputs'!AB$12/1000000</f>
        <v>0</v>
      </c>
      <c r="CI165" s="110">
        <f>$O165*AY165*'Cost inputs'!AC$12/1000000</f>
        <v>0</v>
      </c>
      <c r="CJ165" s="110">
        <f>$O165*AZ165*'Cost inputs'!AD$12/1000000</f>
        <v>0</v>
      </c>
      <c r="CK165" s="110">
        <f>$O165*BA165*'Cost inputs'!AE$12/1000000</f>
        <v>0</v>
      </c>
      <c r="CL165" s="110">
        <f>$O165*BB165*'Cost inputs'!AF$12/1000000</f>
        <v>0</v>
      </c>
      <c r="CM165" s="110">
        <f>$O165*BC165*'Cost inputs'!AG$12/1000000</f>
        <v>0</v>
      </c>
      <c r="CN165" s="110">
        <f>$O165*BD165*'Cost inputs'!AH$12/1000000</f>
        <v>0</v>
      </c>
      <c r="CO165" s="110">
        <f>$O165*BE165*'Cost inputs'!AI$12/1000000</f>
        <v>0</v>
      </c>
      <c r="CP165" s="110">
        <f>$O165*BF165*'Cost inputs'!AJ$12/1000000</f>
        <v>0</v>
      </c>
      <c r="CQ165" s="110">
        <f>$O165*BG165*'Cost inputs'!AK$12/1000000</f>
        <v>0</v>
      </c>
      <c r="CR165" s="131">
        <f t="shared" si="307"/>
        <v>3.9359962542151787E-2</v>
      </c>
      <c r="CS165" s="26"/>
    </row>
    <row r="166" spans="1:97" x14ac:dyDescent="0.3">
      <c r="A166" s="104" t="str">
        <f t="shared" ref="A166:N166" si="339">A51</f>
        <v>Whenuapai</v>
      </c>
      <c r="B166" s="104" t="str">
        <f t="shared" si="339"/>
        <v>Whenuapai</v>
      </c>
      <c r="C166" s="104">
        <f t="shared" si="339"/>
        <v>0</v>
      </c>
      <c r="D166" s="104" t="str">
        <f t="shared" si="339"/>
        <v>Whenuapai North (Stage 2)</v>
      </c>
      <c r="E166" s="104">
        <f t="shared" si="339"/>
        <v>0</v>
      </c>
      <c r="F166" s="104">
        <f t="shared" si="339"/>
        <v>5</v>
      </c>
      <c r="G166" s="104">
        <f t="shared" si="339"/>
        <v>0</v>
      </c>
      <c r="H166" s="104">
        <f t="shared" si="339"/>
        <v>0</v>
      </c>
      <c r="I166" s="104">
        <f t="shared" si="339"/>
        <v>0</v>
      </c>
      <c r="J166" s="104">
        <f t="shared" si="339"/>
        <v>5</v>
      </c>
      <c r="K166" s="104">
        <f t="shared" si="339"/>
        <v>0</v>
      </c>
      <c r="L166" s="104">
        <f t="shared" si="339"/>
        <v>0</v>
      </c>
      <c r="M166" s="104">
        <f t="shared" si="339"/>
        <v>0</v>
      </c>
      <c r="N166" s="104">
        <f t="shared" si="339"/>
        <v>0</v>
      </c>
      <c r="O166" s="104">
        <f t="shared" si="311"/>
        <v>5</v>
      </c>
      <c r="P166" s="104" cm="1">
        <f t="array" ref="P166">2024+MATCH(1,0/AB166:BG166)</f>
        <v>2056</v>
      </c>
      <c r="Q166" s="104" t="str">
        <f t="shared" si="318"/>
        <v>Whenuapai North (Stage 2)</v>
      </c>
      <c r="R166" s="104">
        <f t="shared" si="321"/>
        <v>0</v>
      </c>
      <c r="S166" s="104"/>
      <c r="T166" s="104"/>
      <c r="U166" s="104"/>
      <c r="V166" s="104"/>
      <c r="W166" s="104"/>
      <c r="X166" s="104"/>
      <c r="Y166" s="104"/>
      <c r="Z166" s="104"/>
      <c r="AA166" s="104"/>
      <c r="AB166" s="103">
        <f t="shared" ref="AB166:BG166" si="340">AB51</f>
        <v>0</v>
      </c>
      <c r="AC166" s="103">
        <f t="shared" si="340"/>
        <v>0</v>
      </c>
      <c r="AD166" s="103">
        <f t="shared" si="340"/>
        <v>0</v>
      </c>
      <c r="AE166" s="103">
        <f t="shared" si="340"/>
        <v>0</v>
      </c>
      <c r="AF166" s="103">
        <f t="shared" si="340"/>
        <v>0</v>
      </c>
      <c r="AG166" s="103">
        <f t="shared" si="340"/>
        <v>0</v>
      </c>
      <c r="AH166" s="103">
        <f t="shared" si="340"/>
        <v>0</v>
      </c>
      <c r="AI166" s="103">
        <f t="shared" si="340"/>
        <v>0</v>
      </c>
      <c r="AJ166" s="103">
        <f t="shared" si="340"/>
        <v>0</v>
      </c>
      <c r="AK166" s="103">
        <f t="shared" si="340"/>
        <v>0</v>
      </c>
      <c r="AL166" s="103">
        <f t="shared" si="340"/>
        <v>0</v>
      </c>
      <c r="AM166" s="103">
        <f t="shared" si="340"/>
        <v>0</v>
      </c>
      <c r="AN166" s="103">
        <f t="shared" si="340"/>
        <v>0</v>
      </c>
      <c r="AO166" s="103">
        <f t="shared" si="340"/>
        <v>0</v>
      </c>
      <c r="AP166" s="103">
        <f t="shared" si="340"/>
        <v>0</v>
      </c>
      <c r="AQ166" s="103">
        <f t="shared" si="340"/>
        <v>0</v>
      </c>
      <c r="AR166" s="103">
        <f t="shared" si="340"/>
        <v>0</v>
      </c>
      <c r="AS166" s="103">
        <f t="shared" si="340"/>
        <v>0</v>
      </c>
      <c r="AT166" s="103">
        <f t="shared" si="340"/>
        <v>0</v>
      </c>
      <c r="AU166" s="103">
        <f t="shared" si="340"/>
        <v>0</v>
      </c>
      <c r="AV166" s="103">
        <f t="shared" si="340"/>
        <v>0</v>
      </c>
      <c r="AW166" s="103">
        <f t="shared" si="340"/>
        <v>0.05</v>
      </c>
      <c r="AX166" s="103">
        <f t="shared" si="340"/>
        <v>0.05</v>
      </c>
      <c r="AY166" s="103">
        <f t="shared" si="340"/>
        <v>0.05</v>
      </c>
      <c r="AZ166" s="103">
        <f t="shared" si="340"/>
        <v>0.05</v>
      </c>
      <c r="BA166" s="103">
        <f t="shared" si="340"/>
        <v>7.4999999999999997E-2</v>
      </c>
      <c r="BB166" s="103">
        <f t="shared" si="340"/>
        <v>7.4999999999999997E-2</v>
      </c>
      <c r="BC166" s="103">
        <f t="shared" si="340"/>
        <v>7.4999999999999997E-2</v>
      </c>
      <c r="BD166" s="103">
        <f t="shared" si="340"/>
        <v>7.4999999999999997E-2</v>
      </c>
      <c r="BE166" s="103">
        <f t="shared" si="340"/>
        <v>0.16666666666666666</v>
      </c>
      <c r="BF166" s="103">
        <f t="shared" si="340"/>
        <v>0.16666666666666666</v>
      </c>
      <c r="BG166" s="103">
        <f t="shared" si="340"/>
        <v>0.16666666666666666</v>
      </c>
      <c r="BH166" s="103"/>
      <c r="BI166" s="104"/>
      <c r="BJ166" s="104"/>
      <c r="BK166" s="104"/>
      <c r="BL166" s="110">
        <f>$O166*AB166*'Cost inputs'!F$12/1000000</f>
        <v>0</v>
      </c>
      <c r="BM166" s="110">
        <f>$O166*AC166*'Cost inputs'!G$12/1000000</f>
        <v>0</v>
      </c>
      <c r="BN166" s="110">
        <f>$O166*AD166*'Cost inputs'!H$12/1000000</f>
        <v>0</v>
      </c>
      <c r="BO166" s="110">
        <f>$O166*AE166*'Cost inputs'!I$12/1000000</f>
        <v>0</v>
      </c>
      <c r="BP166" s="110">
        <f>$O166*AF166*'Cost inputs'!J$12/1000000</f>
        <v>0</v>
      </c>
      <c r="BQ166" s="110">
        <f>$O166*AG166*'Cost inputs'!K$12/1000000</f>
        <v>0</v>
      </c>
      <c r="BR166" s="110">
        <f>$O166*AH166*'Cost inputs'!L$12/1000000</f>
        <v>0</v>
      </c>
      <c r="BS166" s="110">
        <f>$O166*AI166*'Cost inputs'!M$12/1000000</f>
        <v>0</v>
      </c>
      <c r="BT166" s="110">
        <f>$O166*AJ166*'Cost inputs'!N$12/1000000</f>
        <v>0</v>
      </c>
      <c r="BU166" s="110">
        <f>$O166*AK166*'Cost inputs'!O$12/1000000</f>
        <v>0</v>
      </c>
      <c r="BV166" s="110">
        <f>$O166*AL166*'Cost inputs'!P$12/1000000</f>
        <v>0</v>
      </c>
      <c r="BW166" s="110">
        <f>$O166*AM166*'Cost inputs'!Q$12/1000000</f>
        <v>0</v>
      </c>
      <c r="BX166" s="110">
        <f>$O166*AN166*'Cost inputs'!R$12/1000000</f>
        <v>0</v>
      </c>
      <c r="BY166" s="110">
        <f>$O166*AO166*'Cost inputs'!S$12/1000000</f>
        <v>0</v>
      </c>
      <c r="BZ166" s="110">
        <f>$O166*AP166*'Cost inputs'!T$12/1000000</f>
        <v>0</v>
      </c>
      <c r="CA166" s="110">
        <f>$O166*AQ166*'Cost inputs'!U$12/1000000</f>
        <v>0</v>
      </c>
      <c r="CB166" s="110">
        <f>$O166*AR166*'Cost inputs'!V$12/1000000</f>
        <v>0</v>
      </c>
      <c r="CC166" s="110">
        <f>$O166*AS166*'Cost inputs'!W$12/1000000</f>
        <v>0</v>
      </c>
      <c r="CD166" s="110">
        <f>$O166*AT166*'Cost inputs'!X$12/1000000</f>
        <v>0</v>
      </c>
      <c r="CE166" s="110">
        <f>$O166*AU166*'Cost inputs'!Y$12/1000000</f>
        <v>0</v>
      </c>
      <c r="CF166" s="110">
        <f>$O166*AV166*'Cost inputs'!Z$12/1000000</f>
        <v>0</v>
      </c>
      <c r="CG166" s="110">
        <f>$O166*AW166*'Cost inputs'!AA$12/1000000</f>
        <v>1.3546600213187968E-2</v>
      </c>
      <c r="CH166" s="110">
        <f>$O166*AX166*'Cost inputs'!AB$12/1000000</f>
        <v>1.3844625417878103E-2</v>
      </c>
      <c r="CI166" s="110">
        <f>$O166*AY166*'Cost inputs'!AC$12/1000000</f>
        <v>1.4149207177071422E-2</v>
      </c>
      <c r="CJ166" s="110">
        <f>$O166*AZ166*'Cost inputs'!AD$12/1000000</f>
        <v>1.4460489734966993E-2</v>
      </c>
      <c r="CK166" s="110">
        <f>$O166*BA166*'Cost inputs'!AE$12/1000000</f>
        <v>2.2167930763704404E-2</v>
      </c>
      <c r="CL166" s="110">
        <f>$O166*BB166*'Cost inputs'!AF$12/1000000</f>
        <v>2.2655625240505899E-2</v>
      </c>
      <c r="CM166" s="110">
        <f>$O166*BC166*'Cost inputs'!AG$12/1000000</f>
        <v>2.3154048995797028E-2</v>
      </c>
      <c r="CN166" s="110">
        <f>$O166*BD166*'Cost inputs'!AH$12/1000000</f>
        <v>2.3663438073704565E-2</v>
      </c>
      <c r="CO166" s="110">
        <f>$O166*BE166*'Cost inputs'!AI$12/1000000</f>
        <v>5.3742297136280134E-2</v>
      </c>
      <c r="CP166" s="110">
        <f>$O166*BF166*'Cost inputs'!AJ$12/1000000</f>
        <v>5.4924627673278291E-2</v>
      </c>
      <c r="CQ166" s="110">
        <f>$O166*BG166*'Cost inputs'!AK$12/1000000</f>
        <v>5.6132969482090421E-2</v>
      </c>
      <c r="CR166" s="131">
        <f t="shared" si="307"/>
        <v>0.31244185990846518</v>
      </c>
      <c r="CS166" s="26"/>
    </row>
    <row r="167" spans="1:97" x14ac:dyDescent="0.3">
      <c r="A167" s="104" t="str">
        <f t="shared" ref="A167:N167" si="341">A52</f>
        <v>Whenuapai</v>
      </c>
      <c r="B167" s="104" t="str">
        <f t="shared" si="341"/>
        <v>Whenuapai</v>
      </c>
      <c r="C167" s="104">
        <f t="shared" si="341"/>
        <v>0</v>
      </c>
      <c r="D167" s="104" t="str">
        <f t="shared" si="341"/>
        <v>Whenuapai North (Stage 2)</v>
      </c>
      <c r="E167" s="104">
        <f t="shared" si="341"/>
        <v>0</v>
      </c>
      <c r="F167" s="104">
        <f t="shared" si="341"/>
        <v>0</v>
      </c>
      <c r="G167" s="104">
        <f t="shared" si="341"/>
        <v>1</v>
      </c>
      <c r="H167" s="104">
        <f t="shared" si="341"/>
        <v>0</v>
      </c>
      <c r="I167" s="104">
        <f t="shared" si="341"/>
        <v>0</v>
      </c>
      <c r="J167" s="104">
        <f t="shared" si="341"/>
        <v>0</v>
      </c>
      <c r="K167" s="104">
        <f t="shared" si="341"/>
        <v>1</v>
      </c>
      <c r="L167" s="104">
        <f t="shared" si="341"/>
        <v>0</v>
      </c>
      <c r="M167" s="104">
        <f t="shared" si="341"/>
        <v>0</v>
      </c>
      <c r="N167" s="104">
        <f t="shared" si="341"/>
        <v>0</v>
      </c>
      <c r="O167" s="104">
        <f t="shared" si="311"/>
        <v>1</v>
      </c>
      <c r="P167" s="104" cm="1">
        <f t="array" ref="P167">2024+MATCH(1,0/AB167:BG167)</f>
        <v>2056</v>
      </c>
      <c r="Q167" s="104" t="str">
        <f t="shared" si="318"/>
        <v>Whenuapai North (Stage 2)</v>
      </c>
      <c r="R167" s="104">
        <f t="shared" si="321"/>
        <v>0</v>
      </c>
      <c r="S167" s="104"/>
      <c r="T167" s="104"/>
      <c r="U167" s="104"/>
      <c r="V167" s="104"/>
      <c r="W167" s="104"/>
      <c r="X167" s="104"/>
      <c r="Y167" s="104"/>
      <c r="Z167" s="104"/>
      <c r="AA167" s="104"/>
      <c r="AB167" s="103">
        <f t="shared" ref="AB167:BG167" si="342">AB52</f>
        <v>0</v>
      </c>
      <c r="AC167" s="103">
        <f t="shared" si="342"/>
        <v>0</v>
      </c>
      <c r="AD167" s="103">
        <f t="shared" si="342"/>
        <v>0</v>
      </c>
      <c r="AE167" s="103">
        <f t="shared" si="342"/>
        <v>0</v>
      </c>
      <c r="AF167" s="103">
        <f t="shared" si="342"/>
        <v>0</v>
      </c>
      <c r="AG167" s="103">
        <f t="shared" si="342"/>
        <v>0</v>
      </c>
      <c r="AH167" s="103">
        <f t="shared" si="342"/>
        <v>0</v>
      </c>
      <c r="AI167" s="103">
        <f t="shared" si="342"/>
        <v>0</v>
      </c>
      <c r="AJ167" s="103">
        <f t="shared" si="342"/>
        <v>0</v>
      </c>
      <c r="AK167" s="103">
        <f t="shared" si="342"/>
        <v>0</v>
      </c>
      <c r="AL167" s="103">
        <f t="shared" si="342"/>
        <v>0</v>
      </c>
      <c r="AM167" s="103">
        <f t="shared" si="342"/>
        <v>0</v>
      </c>
      <c r="AN167" s="103">
        <f t="shared" si="342"/>
        <v>0</v>
      </c>
      <c r="AO167" s="103">
        <f t="shared" si="342"/>
        <v>0</v>
      </c>
      <c r="AP167" s="103">
        <f t="shared" si="342"/>
        <v>0</v>
      </c>
      <c r="AQ167" s="103">
        <f t="shared" si="342"/>
        <v>0</v>
      </c>
      <c r="AR167" s="103">
        <f t="shared" si="342"/>
        <v>0</v>
      </c>
      <c r="AS167" s="103">
        <f t="shared" si="342"/>
        <v>0</v>
      </c>
      <c r="AT167" s="103">
        <f t="shared" si="342"/>
        <v>4.9999999999999996E-2</v>
      </c>
      <c r="AU167" s="103">
        <f t="shared" si="342"/>
        <v>4.9999999999999996E-2</v>
      </c>
      <c r="AV167" s="103">
        <f t="shared" si="342"/>
        <v>4.9999999999999996E-2</v>
      </c>
      <c r="AW167" s="103">
        <f t="shared" si="342"/>
        <v>0.125</v>
      </c>
      <c r="AX167" s="103">
        <f t="shared" si="342"/>
        <v>0.125</v>
      </c>
      <c r="AY167" s="103">
        <f t="shared" si="342"/>
        <v>0.125</v>
      </c>
      <c r="AZ167" s="103">
        <f t="shared" si="342"/>
        <v>0.125</v>
      </c>
      <c r="BA167" s="103">
        <f t="shared" si="342"/>
        <v>6.25E-2</v>
      </c>
      <c r="BB167" s="103">
        <f t="shared" si="342"/>
        <v>6.25E-2</v>
      </c>
      <c r="BC167" s="103">
        <f t="shared" si="342"/>
        <v>6.25E-2</v>
      </c>
      <c r="BD167" s="103">
        <f t="shared" si="342"/>
        <v>6.25E-2</v>
      </c>
      <c r="BE167" s="103">
        <f t="shared" si="342"/>
        <v>3.3333333333333333E-2</v>
      </c>
      <c r="BF167" s="103">
        <f t="shared" si="342"/>
        <v>3.3333333333333333E-2</v>
      </c>
      <c r="BG167" s="103">
        <f t="shared" si="342"/>
        <v>3.3333333333333333E-2</v>
      </c>
      <c r="BH167" s="103"/>
      <c r="BI167" s="104"/>
      <c r="BJ167" s="104"/>
      <c r="BK167" s="104"/>
      <c r="BL167" s="110">
        <f>$O167*AB167*'Cost inputs'!F$12/1000000</f>
        <v>0</v>
      </c>
      <c r="BM167" s="110">
        <f>$O167*AC167*'Cost inputs'!G$12/1000000</f>
        <v>0</v>
      </c>
      <c r="BN167" s="110">
        <f>$O167*AD167*'Cost inputs'!H$12/1000000</f>
        <v>0</v>
      </c>
      <c r="BO167" s="110">
        <f>$O167*AE167*'Cost inputs'!I$12/1000000</f>
        <v>0</v>
      </c>
      <c r="BP167" s="110">
        <f>$O167*AF167*'Cost inputs'!J$12/1000000</f>
        <v>0</v>
      </c>
      <c r="BQ167" s="110">
        <f>$O167*AG167*'Cost inputs'!K$12/1000000</f>
        <v>0</v>
      </c>
      <c r="BR167" s="110">
        <f>$O167*AH167*'Cost inputs'!L$12/1000000</f>
        <v>0</v>
      </c>
      <c r="BS167" s="110">
        <f>$O167*AI167*'Cost inputs'!M$12/1000000</f>
        <v>0</v>
      </c>
      <c r="BT167" s="110">
        <f>$O167*AJ167*'Cost inputs'!N$12/1000000</f>
        <v>0</v>
      </c>
      <c r="BU167" s="110">
        <f>$O167*AK167*'Cost inputs'!O$12/1000000</f>
        <v>0</v>
      </c>
      <c r="BV167" s="110">
        <f>$O167*AL167*'Cost inputs'!P$12/1000000</f>
        <v>0</v>
      </c>
      <c r="BW167" s="110">
        <f>$O167*AM167*'Cost inputs'!Q$12/1000000</f>
        <v>0</v>
      </c>
      <c r="BX167" s="110">
        <f>$O167*AN167*'Cost inputs'!R$12/1000000</f>
        <v>0</v>
      </c>
      <c r="BY167" s="110">
        <f>$O167*AO167*'Cost inputs'!S$12/1000000</f>
        <v>0</v>
      </c>
      <c r="BZ167" s="110">
        <f>$O167*AP167*'Cost inputs'!T$12/1000000</f>
        <v>0</v>
      </c>
      <c r="CA167" s="110">
        <f>$O167*AQ167*'Cost inputs'!U$12/1000000</f>
        <v>0</v>
      </c>
      <c r="CB167" s="110">
        <f>$O167*AR167*'Cost inputs'!V$12/1000000</f>
        <v>0</v>
      </c>
      <c r="CC167" s="110">
        <f>$O167*AS167*'Cost inputs'!W$12/1000000</f>
        <v>0</v>
      </c>
      <c r="CD167" s="110">
        <f>$O167*AT167*'Cost inputs'!X$12/1000000</f>
        <v>2.5380935320910574E-3</v>
      </c>
      <c r="CE167" s="110">
        <f>$O167*AU167*'Cost inputs'!Y$12/1000000</f>
        <v>2.5939315897970609E-3</v>
      </c>
      <c r="CF167" s="110">
        <f>$O167*AV167*'Cost inputs'!Z$12/1000000</f>
        <v>2.6509980847725964E-3</v>
      </c>
      <c r="CG167" s="110">
        <f>$O167*AW167*'Cost inputs'!AA$12/1000000</f>
        <v>6.773300106593984E-3</v>
      </c>
      <c r="CH167" s="110">
        <f>$O167*AX167*'Cost inputs'!AB$12/1000000</f>
        <v>6.9223127089390515E-3</v>
      </c>
      <c r="CI167" s="110">
        <f>$O167*AY167*'Cost inputs'!AC$12/1000000</f>
        <v>7.0746035885357111E-3</v>
      </c>
      <c r="CJ167" s="110">
        <f>$O167*AZ167*'Cost inputs'!AD$12/1000000</f>
        <v>7.2302448674834967E-3</v>
      </c>
      <c r="CK167" s="110">
        <f>$O167*BA167*'Cost inputs'!AE$12/1000000</f>
        <v>3.6946551272840672E-3</v>
      </c>
      <c r="CL167" s="110">
        <f>$O167*BB167*'Cost inputs'!AF$12/1000000</f>
        <v>3.7759375400843163E-3</v>
      </c>
      <c r="CM167" s="110">
        <f>$O167*BC167*'Cost inputs'!AG$12/1000000</f>
        <v>3.8590081659661715E-3</v>
      </c>
      <c r="CN167" s="110">
        <f>$O167*BD167*'Cost inputs'!AH$12/1000000</f>
        <v>3.9439063456174275E-3</v>
      </c>
      <c r="CO167" s="110">
        <f>$O167*BE167*'Cost inputs'!AI$12/1000000</f>
        <v>2.1496918854512054E-3</v>
      </c>
      <c r="CP167" s="110">
        <f>$O167*BF167*'Cost inputs'!AJ$12/1000000</f>
        <v>2.1969851069311322E-3</v>
      </c>
      <c r="CQ167" s="110">
        <f>$O167*BG167*'Cost inputs'!AK$12/1000000</f>
        <v>2.2453187792836169E-3</v>
      </c>
      <c r="CR167" s="131">
        <f t="shared" si="307"/>
        <v>5.76489874288309E-2</v>
      </c>
      <c r="CS167" s="26"/>
    </row>
    <row r="168" spans="1:97" x14ac:dyDescent="0.3">
      <c r="A168" s="104" t="str">
        <f t="shared" ref="A168:N168" si="343">A53</f>
        <v>Whenuapai</v>
      </c>
      <c r="B168" s="104" t="str">
        <f t="shared" si="343"/>
        <v>Whenuapai</v>
      </c>
      <c r="C168" s="104">
        <f t="shared" si="343"/>
        <v>0</v>
      </c>
      <c r="D168" s="104" t="str">
        <f t="shared" si="343"/>
        <v>Whenuapai East/South</v>
      </c>
      <c r="E168" s="104">
        <f t="shared" si="343"/>
        <v>0</v>
      </c>
      <c r="F168" s="104">
        <f t="shared" si="343"/>
        <v>4</v>
      </c>
      <c r="G168" s="104">
        <f t="shared" si="343"/>
        <v>0</v>
      </c>
      <c r="H168" s="104">
        <f t="shared" si="343"/>
        <v>0</v>
      </c>
      <c r="I168" s="104">
        <f t="shared" si="343"/>
        <v>0</v>
      </c>
      <c r="J168" s="104">
        <f t="shared" si="343"/>
        <v>4</v>
      </c>
      <c r="K168" s="104">
        <f t="shared" si="343"/>
        <v>0</v>
      </c>
      <c r="L168" s="104">
        <f t="shared" si="343"/>
        <v>0</v>
      </c>
      <c r="M168" s="104">
        <f t="shared" si="343"/>
        <v>0</v>
      </c>
      <c r="N168" s="104">
        <f t="shared" si="343"/>
        <v>0</v>
      </c>
      <c r="O168" s="104">
        <f t="shared" si="311"/>
        <v>4</v>
      </c>
      <c r="P168" s="104" cm="1">
        <f t="array" ref="P168">2024+MATCH(1,0/AB168:BG168)</f>
        <v>2041</v>
      </c>
      <c r="Q168" s="104" t="str">
        <f t="shared" si="318"/>
        <v>Whenuapai East/South</v>
      </c>
      <c r="R168" s="104">
        <f t="shared" si="321"/>
        <v>0</v>
      </c>
      <c r="S168" s="104"/>
      <c r="T168" s="104"/>
      <c r="U168" s="104"/>
      <c r="V168" s="104"/>
      <c r="W168" s="104"/>
      <c r="X168" s="104"/>
      <c r="Y168" s="104"/>
      <c r="Z168" s="104"/>
      <c r="AA168" s="104"/>
      <c r="AB168" s="103">
        <f t="shared" ref="AB168:BG168" si="344">AB53</f>
        <v>0</v>
      </c>
      <c r="AC168" s="103">
        <f t="shared" si="344"/>
        <v>0</v>
      </c>
      <c r="AD168" s="103">
        <f t="shared" si="344"/>
        <v>0</v>
      </c>
      <c r="AE168" s="103">
        <f t="shared" si="344"/>
        <v>0</v>
      </c>
      <c r="AF168" s="103">
        <f t="shared" si="344"/>
        <v>0</v>
      </c>
      <c r="AG168" s="103">
        <f t="shared" si="344"/>
        <v>0</v>
      </c>
      <c r="AH168" s="103">
        <f t="shared" si="344"/>
        <v>0.05</v>
      </c>
      <c r="AI168" s="103">
        <f t="shared" si="344"/>
        <v>0.05</v>
      </c>
      <c r="AJ168" s="103">
        <f t="shared" si="344"/>
        <v>0.05</v>
      </c>
      <c r="AK168" s="103">
        <f t="shared" si="344"/>
        <v>0.05</v>
      </c>
      <c r="AL168" s="103">
        <f t="shared" si="344"/>
        <v>7.4999999999999997E-2</v>
      </c>
      <c r="AM168" s="103">
        <f t="shared" si="344"/>
        <v>7.4999999999999997E-2</v>
      </c>
      <c r="AN168" s="103">
        <f t="shared" si="344"/>
        <v>7.4999999999999997E-2</v>
      </c>
      <c r="AO168" s="103">
        <f t="shared" si="344"/>
        <v>7.4999999999999997E-2</v>
      </c>
      <c r="AP168" s="103">
        <f t="shared" si="344"/>
        <v>0.16666666666666666</v>
      </c>
      <c r="AQ168" s="103">
        <f t="shared" si="344"/>
        <v>0.16666666666666666</v>
      </c>
      <c r="AR168" s="103">
        <f t="shared" si="344"/>
        <v>0.16666666666666666</v>
      </c>
      <c r="AS168" s="103">
        <f t="shared" si="344"/>
        <v>0</v>
      </c>
      <c r="AT168" s="103">
        <f t="shared" si="344"/>
        <v>0</v>
      </c>
      <c r="AU168" s="103">
        <f t="shared" si="344"/>
        <v>0</v>
      </c>
      <c r="AV168" s="103">
        <f t="shared" si="344"/>
        <v>0</v>
      </c>
      <c r="AW168" s="103">
        <f t="shared" si="344"/>
        <v>0</v>
      </c>
      <c r="AX168" s="103">
        <f t="shared" si="344"/>
        <v>0</v>
      </c>
      <c r="AY168" s="103">
        <f t="shared" si="344"/>
        <v>0</v>
      </c>
      <c r="AZ168" s="103">
        <f t="shared" si="344"/>
        <v>0</v>
      </c>
      <c r="BA168" s="103">
        <f t="shared" si="344"/>
        <v>0</v>
      </c>
      <c r="BB168" s="103">
        <f t="shared" si="344"/>
        <v>0</v>
      </c>
      <c r="BC168" s="103">
        <f t="shared" si="344"/>
        <v>0</v>
      </c>
      <c r="BD168" s="103">
        <f t="shared" si="344"/>
        <v>0</v>
      </c>
      <c r="BE168" s="103">
        <f t="shared" si="344"/>
        <v>0</v>
      </c>
      <c r="BF168" s="103">
        <f t="shared" si="344"/>
        <v>0</v>
      </c>
      <c r="BG168" s="103">
        <f t="shared" si="344"/>
        <v>0</v>
      </c>
      <c r="BH168" s="103"/>
      <c r="BI168" s="104"/>
      <c r="BJ168" s="104"/>
      <c r="BK168" s="104"/>
      <c r="BL168" s="110">
        <f>$O168*AB168*'Cost inputs'!F$12/1000000</f>
        <v>0</v>
      </c>
      <c r="BM168" s="110">
        <f>$O168*AC168*'Cost inputs'!G$12/1000000</f>
        <v>0</v>
      </c>
      <c r="BN168" s="110">
        <f>$O168*AD168*'Cost inputs'!H$12/1000000</f>
        <v>0</v>
      </c>
      <c r="BO168" s="110">
        <f>$O168*AE168*'Cost inputs'!I$12/1000000</f>
        <v>0</v>
      </c>
      <c r="BP168" s="110">
        <f>$O168*AF168*'Cost inputs'!J$12/1000000</f>
        <v>0</v>
      </c>
      <c r="BQ168" s="110">
        <f>$O168*AG168*'Cost inputs'!K$12/1000000</f>
        <v>0</v>
      </c>
      <c r="BR168" s="110">
        <f>$O168*AH168*'Cost inputs'!L$12/1000000</f>
        <v>7.8191017406162664E-3</v>
      </c>
      <c r="BS168" s="110">
        <f>$O168*AI168*'Cost inputs'!M$12/1000000</f>
        <v>7.9911219789098233E-3</v>
      </c>
      <c r="BT168" s="110">
        <f>$O168*AJ168*'Cost inputs'!N$12/1000000</f>
        <v>8.1669266624458392E-3</v>
      </c>
      <c r="BU168" s="110">
        <f>$O168*AK168*'Cost inputs'!O$12/1000000</f>
        <v>8.3465990490196474E-3</v>
      </c>
      <c r="BV168" s="110">
        <f>$O168*AL168*'Cost inputs'!P$12/1000000</f>
        <v>1.2795336342147121E-2</v>
      </c>
      <c r="BW168" s="110">
        <f>$O168*AM168*'Cost inputs'!Q$12/1000000</f>
        <v>1.3076833741674359E-2</v>
      </c>
      <c r="BX168" s="110">
        <f>$O168*AN168*'Cost inputs'!R$12/1000000</f>
        <v>1.3364524083991193E-2</v>
      </c>
      <c r="BY168" s="110">
        <f>$O168*AO168*'Cost inputs'!S$12/1000000</f>
        <v>1.3658543613839001E-2</v>
      </c>
      <c r="BZ168" s="110">
        <f>$O168*AP168*'Cost inputs'!T$12/1000000</f>
        <v>3.1020070162985462E-2</v>
      </c>
      <c r="CA168" s="110">
        <f>$O168*AQ168*'Cost inputs'!U$12/1000000</f>
        <v>3.1702511706571145E-2</v>
      </c>
      <c r="CB168" s="110">
        <f>$O168*AR168*'Cost inputs'!V$12/1000000</f>
        <v>3.2399966964115706E-2</v>
      </c>
      <c r="CC168" s="110">
        <f>$O168*AS168*'Cost inputs'!W$12/1000000</f>
        <v>0</v>
      </c>
      <c r="CD168" s="110">
        <f>$O168*AT168*'Cost inputs'!X$12/1000000</f>
        <v>0</v>
      </c>
      <c r="CE168" s="110">
        <f>$O168*AU168*'Cost inputs'!Y$12/1000000</f>
        <v>0</v>
      </c>
      <c r="CF168" s="110">
        <f>$O168*AV168*'Cost inputs'!Z$12/1000000</f>
        <v>0</v>
      </c>
      <c r="CG168" s="110">
        <f>$O168*AW168*'Cost inputs'!AA$12/1000000</f>
        <v>0</v>
      </c>
      <c r="CH168" s="110">
        <f>$O168*AX168*'Cost inputs'!AB$12/1000000</f>
        <v>0</v>
      </c>
      <c r="CI168" s="110">
        <f>$O168*AY168*'Cost inputs'!AC$12/1000000</f>
        <v>0</v>
      </c>
      <c r="CJ168" s="110">
        <f>$O168*AZ168*'Cost inputs'!AD$12/1000000</f>
        <v>0</v>
      </c>
      <c r="CK168" s="110">
        <f>$O168*BA168*'Cost inputs'!AE$12/1000000</f>
        <v>0</v>
      </c>
      <c r="CL168" s="110">
        <f>$O168*BB168*'Cost inputs'!AF$12/1000000</f>
        <v>0</v>
      </c>
      <c r="CM168" s="110">
        <f>$O168*BC168*'Cost inputs'!AG$12/1000000</f>
        <v>0</v>
      </c>
      <c r="CN168" s="110">
        <f>$O168*BD168*'Cost inputs'!AH$12/1000000</f>
        <v>0</v>
      </c>
      <c r="CO168" s="110">
        <f>$O168*BE168*'Cost inputs'!AI$12/1000000</f>
        <v>0</v>
      </c>
      <c r="CP168" s="110">
        <f>$O168*BF168*'Cost inputs'!AJ$12/1000000</f>
        <v>0</v>
      </c>
      <c r="CQ168" s="110">
        <f>$O168*BG168*'Cost inputs'!AK$12/1000000</f>
        <v>0</v>
      </c>
      <c r="CR168" s="131">
        <f t="shared" si="307"/>
        <v>0.18034153604631556</v>
      </c>
      <c r="CS168" s="26"/>
    </row>
    <row r="169" spans="1:97" x14ac:dyDescent="0.3">
      <c r="A169" s="104" t="str">
        <f t="shared" ref="A169:N169" si="345">A54</f>
        <v>Whenuapai</v>
      </c>
      <c r="B169" s="104" t="str">
        <f t="shared" si="345"/>
        <v>Whenuapai</v>
      </c>
      <c r="C169" s="104">
        <f t="shared" si="345"/>
        <v>0</v>
      </c>
      <c r="D169" s="104" t="str">
        <f t="shared" si="345"/>
        <v>Whenuapai East/South</v>
      </c>
      <c r="E169" s="104" t="str">
        <f t="shared" si="345"/>
        <v>suburb park counted in Trig Rd at 90% above</v>
      </c>
      <c r="F169" s="104">
        <f t="shared" si="345"/>
        <v>0</v>
      </c>
      <c r="G169" s="104">
        <f t="shared" si="345"/>
        <v>0</v>
      </c>
      <c r="H169" s="104">
        <f t="shared" si="345"/>
        <v>0</v>
      </c>
      <c r="I169" s="104">
        <f t="shared" si="345"/>
        <v>0</v>
      </c>
      <c r="J169" s="104">
        <f t="shared" si="345"/>
        <v>0</v>
      </c>
      <c r="K169" s="104">
        <f t="shared" si="345"/>
        <v>0</v>
      </c>
      <c r="L169" s="104">
        <f t="shared" si="345"/>
        <v>0</v>
      </c>
      <c r="M169" s="104">
        <f t="shared" si="345"/>
        <v>0</v>
      </c>
      <c r="N169" s="104">
        <f t="shared" si="345"/>
        <v>0</v>
      </c>
      <c r="O169" s="104">
        <f t="shared" si="311"/>
        <v>0</v>
      </c>
      <c r="P169" s="104" t="e" cm="1">
        <f t="array" ref="P169">2024+MATCH(1,0/AB169:BG169)</f>
        <v>#N/A</v>
      </c>
      <c r="Q169" s="104" t="str">
        <f t="shared" si="318"/>
        <v>Whenuapai East/South</v>
      </c>
      <c r="R169" s="104" t="str">
        <f t="shared" si="321"/>
        <v>suburb park counted in Trig Rd at 90% above</v>
      </c>
      <c r="S169" s="104"/>
      <c r="T169" s="104"/>
      <c r="U169" s="104"/>
      <c r="V169" s="104"/>
      <c r="W169" s="104"/>
      <c r="X169" s="104"/>
      <c r="Y169" s="104"/>
      <c r="Z169" s="104"/>
      <c r="AA169" s="104"/>
      <c r="AB169" s="103">
        <f t="shared" ref="AB169:BG169" si="346">AB54</f>
        <v>0</v>
      </c>
      <c r="AC169" s="103">
        <f t="shared" si="346"/>
        <v>0</v>
      </c>
      <c r="AD169" s="103">
        <f t="shared" si="346"/>
        <v>0</v>
      </c>
      <c r="AE169" s="103">
        <f t="shared" si="346"/>
        <v>0</v>
      </c>
      <c r="AF169" s="103">
        <f t="shared" si="346"/>
        <v>0</v>
      </c>
      <c r="AG169" s="103">
        <f t="shared" si="346"/>
        <v>0</v>
      </c>
      <c r="AH169" s="103">
        <f t="shared" si="346"/>
        <v>0</v>
      </c>
      <c r="AI169" s="103">
        <f t="shared" si="346"/>
        <v>0</v>
      </c>
      <c r="AJ169" s="103">
        <f t="shared" si="346"/>
        <v>0</v>
      </c>
      <c r="AK169" s="103">
        <f t="shared" si="346"/>
        <v>0</v>
      </c>
      <c r="AL169" s="103">
        <f t="shared" si="346"/>
        <v>0</v>
      </c>
      <c r="AM169" s="103">
        <f t="shared" si="346"/>
        <v>0</v>
      </c>
      <c r="AN169" s="103">
        <f t="shared" si="346"/>
        <v>0</v>
      </c>
      <c r="AO169" s="103">
        <f t="shared" si="346"/>
        <v>0</v>
      </c>
      <c r="AP169" s="103">
        <f t="shared" si="346"/>
        <v>0</v>
      </c>
      <c r="AQ169" s="103">
        <f t="shared" si="346"/>
        <v>0</v>
      </c>
      <c r="AR169" s="103">
        <f t="shared" si="346"/>
        <v>0</v>
      </c>
      <c r="AS169" s="103">
        <f t="shared" si="346"/>
        <v>0</v>
      </c>
      <c r="AT169" s="103">
        <f t="shared" si="346"/>
        <v>0</v>
      </c>
      <c r="AU169" s="103">
        <f t="shared" si="346"/>
        <v>0</v>
      </c>
      <c r="AV169" s="103">
        <f t="shared" si="346"/>
        <v>0</v>
      </c>
      <c r="AW169" s="103">
        <f t="shared" si="346"/>
        <v>0</v>
      </c>
      <c r="AX169" s="103">
        <f t="shared" si="346"/>
        <v>0</v>
      </c>
      <c r="AY169" s="103">
        <f t="shared" si="346"/>
        <v>0</v>
      </c>
      <c r="AZ169" s="103">
        <f t="shared" si="346"/>
        <v>0</v>
      </c>
      <c r="BA169" s="103">
        <f t="shared" si="346"/>
        <v>0</v>
      </c>
      <c r="BB169" s="103">
        <f t="shared" si="346"/>
        <v>0</v>
      </c>
      <c r="BC169" s="103">
        <f t="shared" si="346"/>
        <v>0</v>
      </c>
      <c r="BD169" s="103">
        <f t="shared" si="346"/>
        <v>0</v>
      </c>
      <c r="BE169" s="103">
        <f t="shared" si="346"/>
        <v>0</v>
      </c>
      <c r="BF169" s="103">
        <f t="shared" si="346"/>
        <v>0</v>
      </c>
      <c r="BG169" s="103">
        <f t="shared" si="346"/>
        <v>0</v>
      </c>
      <c r="BH169" s="103"/>
      <c r="BI169" s="104"/>
      <c r="BJ169" s="104"/>
      <c r="BK169" s="104"/>
      <c r="BL169" s="110">
        <f>$O169*AB169*'Cost inputs'!F$12/1000000</f>
        <v>0</v>
      </c>
      <c r="BM169" s="110">
        <f>$O169*AC169*'Cost inputs'!G$12/1000000</f>
        <v>0</v>
      </c>
      <c r="BN169" s="110">
        <f>$O169*AD169*'Cost inputs'!H$12/1000000</f>
        <v>0</v>
      </c>
      <c r="BO169" s="110">
        <f>$O169*AE169*'Cost inputs'!I$12/1000000</f>
        <v>0</v>
      </c>
      <c r="BP169" s="110">
        <f>$O169*AF169*'Cost inputs'!J$12/1000000</f>
        <v>0</v>
      </c>
      <c r="BQ169" s="110">
        <f>$O169*AG169*'Cost inputs'!K$12/1000000</f>
        <v>0</v>
      </c>
      <c r="BR169" s="110">
        <f>$O169*AH169*'Cost inputs'!L$12/1000000</f>
        <v>0</v>
      </c>
      <c r="BS169" s="110">
        <f>$O169*AI169*'Cost inputs'!M$12/1000000</f>
        <v>0</v>
      </c>
      <c r="BT169" s="110">
        <f>$O169*AJ169*'Cost inputs'!N$12/1000000</f>
        <v>0</v>
      </c>
      <c r="BU169" s="110">
        <f>$O169*AK169*'Cost inputs'!O$12/1000000</f>
        <v>0</v>
      </c>
      <c r="BV169" s="110">
        <f>$O169*AL169*'Cost inputs'!P$12/1000000</f>
        <v>0</v>
      </c>
      <c r="BW169" s="110">
        <f>$O169*AM169*'Cost inputs'!Q$12/1000000</f>
        <v>0</v>
      </c>
      <c r="BX169" s="110">
        <f>$O169*AN169*'Cost inputs'!R$12/1000000</f>
        <v>0</v>
      </c>
      <c r="BY169" s="110">
        <f>$O169*AO169*'Cost inputs'!S$12/1000000</f>
        <v>0</v>
      </c>
      <c r="BZ169" s="110">
        <f>$O169*AP169*'Cost inputs'!T$12/1000000</f>
        <v>0</v>
      </c>
      <c r="CA169" s="110">
        <f>$O169*AQ169*'Cost inputs'!U$12/1000000</f>
        <v>0</v>
      </c>
      <c r="CB169" s="110">
        <f>$O169*AR169*'Cost inputs'!V$12/1000000</f>
        <v>0</v>
      </c>
      <c r="CC169" s="110">
        <f>$O169*AS169*'Cost inputs'!W$12/1000000</f>
        <v>0</v>
      </c>
      <c r="CD169" s="110">
        <f>$O169*AT169*'Cost inputs'!X$12/1000000</f>
        <v>0</v>
      </c>
      <c r="CE169" s="110">
        <f>$O169*AU169*'Cost inputs'!Y$12/1000000</f>
        <v>0</v>
      </c>
      <c r="CF169" s="110">
        <f>$O169*AV169*'Cost inputs'!Z$12/1000000</f>
        <v>0</v>
      </c>
      <c r="CG169" s="110">
        <f>$O169*AW169*'Cost inputs'!AA$12/1000000</f>
        <v>0</v>
      </c>
      <c r="CH169" s="110">
        <f>$O169*AX169*'Cost inputs'!AB$12/1000000</f>
        <v>0</v>
      </c>
      <c r="CI169" s="110">
        <f>$O169*AY169*'Cost inputs'!AC$12/1000000</f>
        <v>0</v>
      </c>
      <c r="CJ169" s="110">
        <f>$O169*AZ169*'Cost inputs'!AD$12/1000000</f>
        <v>0</v>
      </c>
      <c r="CK169" s="110">
        <f>$O169*BA169*'Cost inputs'!AE$12/1000000</f>
        <v>0</v>
      </c>
      <c r="CL169" s="110">
        <f>$O169*BB169*'Cost inputs'!AF$12/1000000</f>
        <v>0</v>
      </c>
      <c r="CM169" s="110">
        <f>$O169*BC169*'Cost inputs'!AG$12/1000000</f>
        <v>0</v>
      </c>
      <c r="CN169" s="110">
        <f>$O169*BD169*'Cost inputs'!AH$12/1000000</f>
        <v>0</v>
      </c>
      <c r="CO169" s="110">
        <f>$O169*BE169*'Cost inputs'!AI$12/1000000</f>
        <v>0</v>
      </c>
      <c r="CP169" s="110">
        <f>$O169*BF169*'Cost inputs'!AJ$12/1000000</f>
        <v>0</v>
      </c>
      <c r="CQ169" s="110">
        <f>$O169*BG169*'Cost inputs'!AK$12/1000000</f>
        <v>0</v>
      </c>
      <c r="CR169" s="131">
        <f t="shared" si="307"/>
        <v>0</v>
      </c>
      <c r="CS169" s="26"/>
    </row>
    <row r="170" spans="1:97" x14ac:dyDescent="0.3">
      <c r="A170" s="104" t="str">
        <f t="shared" ref="A170:N170" si="347">A55</f>
        <v>Whenuapai</v>
      </c>
      <c r="B170" s="104" t="str">
        <f t="shared" si="347"/>
        <v>Whenuapai</v>
      </c>
      <c r="C170" s="104">
        <f t="shared" si="347"/>
        <v>0</v>
      </c>
      <c r="D170" s="104" t="str">
        <f t="shared" si="347"/>
        <v>Whenuapai town centre</v>
      </c>
      <c r="E170" s="104" t="str">
        <f t="shared" si="347"/>
        <v>assume SULs</v>
      </c>
      <c r="F170" s="104">
        <f t="shared" si="347"/>
        <v>0</v>
      </c>
      <c r="G170" s="104">
        <f t="shared" si="347"/>
        <v>0</v>
      </c>
      <c r="H170" s="104">
        <f t="shared" si="347"/>
        <v>0</v>
      </c>
      <c r="I170" s="104">
        <f t="shared" si="347"/>
        <v>1</v>
      </c>
      <c r="J170" s="104">
        <f t="shared" si="347"/>
        <v>0</v>
      </c>
      <c r="K170" s="104">
        <f t="shared" si="347"/>
        <v>0</v>
      </c>
      <c r="L170" s="104">
        <f t="shared" si="347"/>
        <v>0</v>
      </c>
      <c r="M170" s="104">
        <f t="shared" si="347"/>
        <v>1</v>
      </c>
      <c r="N170" s="104">
        <f t="shared" si="347"/>
        <v>0</v>
      </c>
      <c r="O170" s="104">
        <f t="shared" si="311"/>
        <v>1</v>
      </c>
      <c r="P170" s="104" cm="1">
        <f t="array" ref="P170">2024+MATCH(1,0/AB170:BG170)</f>
        <v>2029</v>
      </c>
      <c r="Q170" s="104" t="str">
        <f t="shared" si="318"/>
        <v>Whenuapai town centre</v>
      </c>
      <c r="R170" s="104" t="str">
        <f t="shared" si="321"/>
        <v>assume SULs</v>
      </c>
      <c r="S170" s="104"/>
      <c r="T170" s="104"/>
      <c r="U170" s="104"/>
      <c r="V170" s="104"/>
      <c r="W170" s="104"/>
      <c r="X170" s="104"/>
      <c r="Y170" s="104"/>
      <c r="Z170" s="104"/>
      <c r="AA170" s="104"/>
      <c r="AB170" s="103">
        <f t="shared" ref="AB170:BG170" si="348">AB55</f>
        <v>0.2</v>
      </c>
      <c r="AC170" s="103">
        <f t="shared" si="348"/>
        <v>0.2</v>
      </c>
      <c r="AD170" s="103">
        <f t="shared" si="348"/>
        <v>0.2</v>
      </c>
      <c r="AE170" s="103">
        <f t="shared" si="348"/>
        <v>0.2</v>
      </c>
      <c r="AF170" s="103">
        <f t="shared" si="348"/>
        <v>0.2</v>
      </c>
      <c r="AG170" s="103">
        <f t="shared" si="348"/>
        <v>0</v>
      </c>
      <c r="AH170" s="103">
        <f t="shared" si="348"/>
        <v>0</v>
      </c>
      <c r="AI170" s="103">
        <f t="shared" si="348"/>
        <v>0</v>
      </c>
      <c r="AJ170" s="103">
        <f t="shared" si="348"/>
        <v>0</v>
      </c>
      <c r="AK170" s="103">
        <f t="shared" si="348"/>
        <v>0</v>
      </c>
      <c r="AL170" s="103">
        <f t="shared" si="348"/>
        <v>0</v>
      </c>
      <c r="AM170" s="103">
        <f t="shared" si="348"/>
        <v>0</v>
      </c>
      <c r="AN170" s="103">
        <f t="shared" si="348"/>
        <v>0</v>
      </c>
      <c r="AO170" s="103">
        <f t="shared" si="348"/>
        <v>0</v>
      </c>
      <c r="AP170" s="103">
        <f t="shared" si="348"/>
        <v>0</v>
      </c>
      <c r="AQ170" s="103">
        <f t="shared" si="348"/>
        <v>0</v>
      </c>
      <c r="AR170" s="103">
        <f t="shared" si="348"/>
        <v>0</v>
      </c>
      <c r="AS170" s="103">
        <f t="shared" si="348"/>
        <v>0</v>
      </c>
      <c r="AT170" s="103">
        <f t="shared" si="348"/>
        <v>0</v>
      </c>
      <c r="AU170" s="103">
        <f t="shared" si="348"/>
        <v>0</v>
      </c>
      <c r="AV170" s="103">
        <f t="shared" si="348"/>
        <v>0</v>
      </c>
      <c r="AW170" s="103">
        <f t="shared" si="348"/>
        <v>0</v>
      </c>
      <c r="AX170" s="103">
        <f t="shared" si="348"/>
        <v>0</v>
      </c>
      <c r="AY170" s="103">
        <f t="shared" si="348"/>
        <v>0</v>
      </c>
      <c r="AZ170" s="103">
        <f t="shared" si="348"/>
        <v>0</v>
      </c>
      <c r="BA170" s="103">
        <f t="shared" si="348"/>
        <v>0</v>
      </c>
      <c r="BB170" s="103">
        <f t="shared" si="348"/>
        <v>0</v>
      </c>
      <c r="BC170" s="103">
        <f t="shared" si="348"/>
        <v>0</v>
      </c>
      <c r="BD170" s="103">
        <f t="shared" si="348"/>
        <v>0</v>
      </c>
      <c r="BE170" s="103">
        <f t="shared" si="348"/>
        <v>0</v>
      </c>
      <c r="BF170" s="103">
        <f t="shared" si="348"/>
        <v>0</v>
      </c>
      <c r="BG170" s="103">
        <f t="shared" si="348"/>
        <v>0</v>
      </c>
      <c r="BH170" s="103"/>
      <c r="BI170" s="104"/>
      <c r="BJ170" s="104"/>
      <c r="BK170" s="104"/>
      <c r="BL170" s="110">
        <f>$O170*AB170*'Cost inputs'!F$12/1000000</f>
        <v>6.723157139999999E-3</v>
      </c>
      <c r="BM170" s="110">
        <f>$O170*AC170*'Cost inputs'!G$12/1000000</f>
        <v>6.945021325619998E-3</v>
      </c>
      <c r="BN170" s="110">
        <f>$O170*AD170*'Cost inputs'!H$12/1000000</f>
        <v>7.1672620080398385E-3</v>
      </c>
      <c r="BO170" s="110">
        <f>$O170*AE170*'Cost inputs'!I$12/1000000</f>
        <v>7.3249417722167148E-3</v>
      </c>
      <c r="BP170" s="110">
        <f>$O170*AF170*'Cost inputs'!J$12/1000000</f>
        <v>7.4860904912054825E-3</v>
      </c>
      <c r="BQ170" s="110">
        <f>$O170*AG170*'Cost inputs'!K$12/1000000</f>
        <v>0</v>
      </c>
      <c r="BR170" s="110">
        <f>$O170*AH170*'Cost inputs'!L$12/1000000</f>
        <v>0</v>
      </c>
      <c r="BS170" s="110">
        <f>$O170*AI170*'Cost inputs'!M$12/1000000</f>
        <v>0</v>
      </c>
      <c r="BT170" s="110">
        <f>$O170*AJ170*'Cost inputs'!N$12/1000000</f>
        <v>0</v>
      </c>
      <c r="BU170" s="110">
        <f>$O170*AK170*'Cost inputs'!O$12/1000000</f>
        <v>0</v>
      </c>
      <c r="BV170" s="110">
        <f>$O170*AL170*'Cost inputs'!P$12/1000000</f>
        <v>0</v>
      </c>
      <c r="BW170" s="110">
        <f>$O170*AM170*'Cost inputs'!Q$12/1000000</f>
        <v>0</v>
      </c>
      <c r="BX170" s="110">
        <f>$O170*AN170*'Cost inputs'!R$12/1000000</f>
        <v>0</v>
      </c>
      <c r="BY170" s="110">
        <f>$O170*AO170*'Cost inputs'!S$12/1000000</f>
        <v>0</v>
      </c>
      <c r="BZ170" s="110">
        <f>$O170*AP170*'Cost inputs'!T$12/1000000</f>
        <v>0</v>
      </c>
      <c r="CA170" s="110">
        <f>$O170*AQ170*'Cost inputs'!U$12/1000000</f>
        <v>0</v>
      </c>
      <c r="CB170" s="110">
        <f>$O170*AR170*'Cost inputs'!V$12/1000000</f>
        <v>0</v>
      </c>
      <c r="CC170" s="110">
        <f>$O170*AS170*'Cost inputs'!W$12/1000000</f>
        <v>0</v>
      </c>
      <c r="CD170" s="110">
        <f>$O170*AT170*'Cost inputs'!X$12/1000000</f>
        <v>0</v>
      </c>
      <c r="CE170" s="110">
        <f>$O170*AU170*'Cost inputs'!Y$12/1000000</f>
        <v>0</v>
      </c>
      <c r="CF170" s="110">
        <f>$O170*AV170*'Cost inputs'!Z$12/1000000</f>
        <v>0</v>
      </c>
      <c r="CG170" s="110">
        <f>$O170*AW170*'Cost inputs'!AA$12/1000000</f>
        <v>0</v>
      </c>
      <c r="CH170" s="110">
        <f>$O170*AX170*'Cost inputs'!AB$12/1000000</f>
        <v>0</v>
      </c>
      <c r="CI170" s="110">
        <f>$O170*AY170*'Cost inputs'!AC$12/1000000</f>
        <v>0</v>
      </c>
      <c r="CJ170" s="110">
        <f>$O170*AZ170*'Cost inputs'!AD$12/1000000</f>
        <v>0</v>
      </c>
      <c r="CK170" s="110">
        <f>$O170*BA170*'Cost inputs'!AE$12/1000000</f>
        <v>0</v>
      </c>
      <c r="CL170" s="110">
        <f>$O170*BB170*'Cost inputs'!AF$12/1000000</f>
        <v>0</v>
      </c>
      <c r="CM170" s="110">
        <f>$O170*BC170*'Cost inputs'!AG$12/1000000</f>
        <v>0</v>
      </c>
      <c r="CN170" s="110">
        <f>$O170*BD170*'Cost inputs'!AH$12/1000000</f>
        <v>0</v>
      </c>
      <c r="CO170" s="110">
        <f>$O170*BE170*'Cost inputs'!AI$12/1000000</f>
        <v>0</v>
      </c>
      <c r="CP170" s="110">
        <f>$O170*BF170*'Cost inputs'!AJ$12/1000000</f>
        <v>0</v>
      </c>
      <c r="CQ170" s="110">
        <f>$O170*BG170*'Cost inputs'!AK$12/1000000</f>
        <v>0</v>
      </c>
      <c r="CR170" s="131">
        <f t="shared" si="307"/>
        <v>3.5646472737082033E-2</v>
      </c>
      <c r="CS170" s="26"/>
    </row>
    <row r="171" spans="1:97" x14ac:dyDescent="0.3">
      <c r="A171" s="104" t="str">
        <f t="shared" ref="A171:N171" si="349">A56</f>
        <v>Urban BF</v>
      </c>
      <c r="B171" s="104" t="str">
        <f t="shared" si="349"/>
        <v>Roskill</v>
      </c>
      <c r="C171" s="104">
        <f t="shared" si="349"/>
        <v>0</v>
      </c>
      <c r="D171" s="142" t="str">
        <f t="shared" si="349"/>
        <v xml:space="preserve">Wesley West Farrelly Ave neighbourhood new park development </v>
      </c>
      <c r="E171" s="142" t="str">
        <f t="shared" si="349"/>
        <v>Dec 29: acquire and develop, and develop covers cultural park at potter ave</v>
      </c>
      <c r="F171" s="145">
        <f t="shared" si="349"/>
        <v>1.3</v>
      </c>
      <c r="G171" s="145">
        <f t="shared" si="349"/>
        <v>0</v>
      </c>
      <c r="H171" s="145">
        <f t="shared" si="349"/>
        <v>0</v>
      </c>
      <c r="I171" s="145">
        <f t="shared" si="349"/>
        <v>0</v>
      </c>
      <c r="J171" s="145">
        <f t="shared" si="349"/>
        <v>1.3</v>
      </c>
      <c r="K171" s="145">
        <f t="shared" si="349"/>
        <v>0</v>
      </c>
      <c r="L171" s="145">
        <f t="shared" si="349"/>
        <v>0</v>
      </c>
      <c r="M171" s="145">
        <f t="shared" si="349"/>
        <v>0</v>
      </c>
      <c r="N171" s="145">
        <f t="shared" si="349"/>
        <v>0</v>
      </c>
      <c r="O171" s="145">
        <f t="shared" si="311"/>
        <v>1</v>
      </c>
      <c r="P171" s="145"/>
      <c r="Q171" s="142" t="str">
        <f t="shared" si="318"/>
        <v xml:space="preserve">Wesley West Farrelly Ave neighbourhood new park development </v>
      </c>
      <c r="R171" s="142" t="str">
        <f t="shared" si="321"/>
        <v>Dec 29: acquire and develop, and develop covers cultural park at potter ave</v>
      </c>
      <c r="S171" s="142"/>
      <c r="T171" s="142"/>
      <c r="U171" s="142"/>
      <c r="V171" s="142"/>
      <c r="W171" s="142"/>
      <c r="X171" s="142"/>
      <c r="Y171" s="142"/>
      <c r="Z171" s="142"/>
      <c r="AA171" s="142"/>
      <c r="AB171" s="149">
        <f t="shared" ref="AB171:BG171" si="350">AB56</f>
        <v>0</v>
      </c>
      <c r="AC171" s="149">
        <f t="shared" si="350"/>
        <v>0.33333333333333331</v>
      </c>
      <c r="AD171" s="149">
        <f t="shared" si="350"/>
        <v>0.33333333333333331</v>
      </c>
      <c r="AE171" s="149">
        <f t="shared" si="350"/>
        <v>0.33333333333333331</v>
      </c>
      <c r="AF171" s="149">
        <f t="shared" si="350"/>
        <v>0</v>
      </c>
      <c r="AG171" s="149">
        <f t="shared" si="350"/>
        <v>0</v>
      </c>
      <c r="AH171" s="149">
        <f t="shared" si="350"/>
        <v>0</v>
      </c>
      <c r="AI171" s="149">
        <f t="shared" si="350"/>
        <v>0</v>
      </c>
      <c r="AJ171" s="149">
        <f t="shared" si="350"/>
        <v>0</v>
      </c>
      <c r="AK171" s="149">
        <f t="shared" si="350"/>
        <v>0</v>
      </c>
      <c r="AL171" s="149">
        <f t="shared" si="350"/>
        <v>0</v>
      </c>
      <c r="AM171" s="149">
        <f t="shared" si="350"/>
        <v>0</v>
      </c>
      <c r="AN171" s="149">
        <f t="shared" si="350"/>
        <v>0</v>
      </c>
      <c r="AO171" s="149">
        <f t="shared" si="350"/>
        <v>0</v>
      </c>
      <c r="AP171" s="149">
        <f t="shared" si="350"/>
        <v>0</v>
      </c>
      <c r="AQ171" s="149">
        <f t="shared" si="350"/>
        <v>0</v>
      </c>
      <c r="AR171" s="149">
        <f t="shared" si="350"/>
        <v>0</v>
      </c>
      <c r="AS171" s="149">
        <f t="shared" si="350"/>
        <v>0</v>
      </c>
      <c r="AT171" s="149">
        <f t="shared" si="350"/>
        <v>0</v>
      </c>
      <c r="AU171" s="149">
        <f t="shared" si="350"/>
        <v>0</v>
      </c>
      <c r="AV171" s="149">
        <f t="shared" si="350"/>
        <v>0</v>
      </c>
      <c r="AW171" s="149">
        <f t="shared" si="350"/>
        <v>0</v>
      </c>
      <c r="AX171" s="149">
        <f t="shared" si="350"/>
        <v>0</v>
      </c>
      <c r="AY171" s="149">
        <f t="shared" si="350"/>
        <v>0</v>
      </c>
      <c r="AZ171" s="149">
        <f t="shared" si="350"/>
        <v>0</v>
      </c>
      <c r="BA171" s="149">
        <f t="shared" si="350"/>
        <v>0</v>
      </c>
      <c r="BB171" s="149">
        <f t="shared" si="350"/>
        <v>0</v>
      </c>
      <c r="BC171" s="149">
        <f t="shared" si="350"/>
        <v>0</v>
      </c>
      <c r="BD171" s="149">
        <f t="shared" si="350"/>
        <v>0</v>
      </c>
      <c r="BE171" s="149">
        <f t="shared" si="350"/>
        <v>0</v>
      </c>
      <c r="BF171" s="149">
        <f t="shared" si="350"/>
        <v>0</v>
      </c>
      <c r="BG171" s="149">
        <f t="shared" si="350"/>
        <v>0</v>
      </c>
      <c r="BH171" s="156"/>
      <c r="BI171" s="145"/>
      <c r="BJ171" s="145"/>
      <c r="BK171" s="145"/>
      <c r="BL171" s="154">
        <f>$O171*AB171*'Cost inputs'!F$12/1000000</f>
        <v>0</v>
      </c>
      <c r="BM171" s="154">
        <f>$O171*AC171*'Cost inputs'!G$12/1000000</f>
        <v>1.1575035542699995E-2</v>
      </c>
      <c r="BN171" s="154">
        <f>$O171*AD171*'Cost inputs'!H$12/1000000</f>
        <v>1.1945436680066396E-2</v>
      </c>
      <c r="BO171" s="154">
        <f>$O171*AE171*'Cost inputs'!I$12/1000000</f>
        <v>1.2208236287027855E-2</v>
      </c>
      <c r="BP171" s="154">
        <f>$O171*AF171*'Cost inputs'!J$12/1000000</f>
        <v>0</v>
      </c>
      <c r="BQ171" s="154">
        <f>$O171*AG171*'Cost inputs'!K$12/1000000</f>
        <v>0</v>
      </c>
      <c r="BR171" s="154">
        <f>$O171*AH171*'Cost inputs'!L$12/1000000</f>
        <v>0</v>
      </c>
      <c r="BS171" s="154">
        <f>$O171*AI171*'Cost inputs'!M$12/1000000</f>
        <v>0</v>
      </c>
      <c r="BT171" s="154">
        <f>$O171*AJ171*'Cost inputs'!N$12/1000000</f>
        <v>0</v>
      </c>
      <c r="BU171" s="154">
        <f>$O171*AK171*'Cost inputs'!O$12/1000000</f>
        <v>0</v>
      </c>
      <c r="BV171" s="154">
        <f>$O171*AL171*'Cost inputs'!P$12/1000000</f>
        <v>0</v>
      </c>
      <c r="BW171" s="154">
        <f>$O171*AM171*'Cost inputs'!Q$12/1000000</f>
        <v>0</v>
      </c>
      <c r="BX171" s="154">
        <f>$O171*AN171*'Cost inputs'!R$12/1000000</f>
        <v>0</v>
      </c>
      <c r="BY171" s="154">
        <f>$O171*AO171*'Cost inputs'!S$12/1000000</f>
        <v>0</v>
      </c>
      <c r="BZ171" s="154">
        <f>$O171*AP171*'Cost inputs'!T$12/1000000</f>
        <v>0</v>
      </c>
      <c r="CA171" s="154">
        <f>$O171*AQ171*'Cost inputs'!U$12/1000000</f>
        <v>0</v>
      </c>
      <c r="CB171" s="154">
        <f>$O171*AR171*'Cost inputs'!V$12/1000000</f>
        <v>0</v>
      </c>
      <c r="CC171" s="154">
        <f>$O171*AS171*'Cost inputs'!W$12/1000000</f>
        <v>0</v>
      </c>
      <c r="CD171" s="154">
        <f>$O171*AT171*'Cost inputs'!X$12/1000000</f>
        <v>0</v>
      </c>
      <c r="CE171" s="154">
        <f>$O171*AU171*'Cost inputs'!Y$12/1000000</f>
        <v>0</v>
      </c>
      <c r="CF171" s="154">
        <f>$O171*AV171*'Cost inputs'!Z$12/1000000</f>
        <v>0</v>
      </c>
      <c r="CG171" s="154">
        <f>$O171*AW171*'Cost inputs'!AA$12/1000000</f>
        <v>0</v>
      </c>
      <c r="CH171" s="154">
        <f>$O171*AX171*'Cost inputs'!AB$12/1000000</f>
        <v>0</v>
      </c>
      <c r="CI171" s="154">
        <f>$O171*AY171*'Cost inputs'!AC$12/1000000</f>
        <v>0</v>
      </c>
      <c r="CJ171" s="154">
        <f>$O171*AZ171*'Cost inputs'!AD$12/1000000</f>
        <v>0</v>
      </c>
      <c r="CK171" s="154">
        <f>$O171*BA171*'Cost inputs'!AE$12/1000000</f>
        <v>0</v>
      </c>
      <c r="CL171" s="154">
        <f>$O171*BB171*'Cost inputs'!AF$12/1000000</f>
        <v>0</v>
      </c>
      <c r="CM171" s="154">
        <f>$O171*BC171*'Cost inputs'!AG$12/1000000</f>
        <v>0</v>
      </c>
      <c r="CN171" s="154">
        <f>$O171*BD171*'Cost inputs'!AH$12/1000000</f>
        <v>0</v>
      </c>
      <c r="CO171" s="154">
        <f>$O171*BE171*'Cost inputs'!AI$12/1000000</f>
        <v>0</v>
      </c>
      <c r="CP171" s="154">
        <f>$O171*BF171*'Cost inputs'!AJ$12/1000000</f>
        <v>0</v>
      </c>
      <c r="CQ171" s="154">
        <f>$O171*BG171*'Cost inputs'!AK$12/1000000</f>
        <v>0</v>
      </c>
      <c r="CR171" s="155">
        <f t="shared" ref="CR171:CR172" si="351">SUM(BL171:CQ171)</f>
        <v>3.5728708509794246E-2</v>
      </c>
      <c r="CS171" s="26"/>
    </row>
    <row r="172" spans="1:97" x14ac:dyDescent="0.3">
      <c r="A172" s="104" t="str">
        <f t="shared" ref="A172:N172" si="352">A57</f>
        <v>Urban BF</v>
      </c>
      <c r="B172" s="104" t="str">
        <f t="shared" si="352"/>
        <v>Mangere</v>
      </c>
      <c r="C172" s="104">
        <f t="shared" si="352"/>
        <v>0</v>
      </c>
      <c r="D172" s="142" t="str">
        <f t="shared" si="352"/>
        <v>Molesworth Place new park development</v>
      </c>
      <c r="E172" s="142" t="str">
        <f t="shared" si="352"/>
        <v>Jun27, acquire and develp, $3.2m for 3000m2</v>
      </c>
      <c r="F172" s="145">
        <f t="shared" si="352"/>
        <v>0.75</v>
      </c>
      <c r="G172" s="145">
        <f t="shared" si="352"/>
        <v>0</v>
      </c>
      <c r="H172" s="145">
        <f t="shared" si="352"/>
        <v>0</v>
      </c>
      <c r="I172" s="145">
        <f t="shared" si="352"/>
        <v>0</v>
      </c>
      <c r="J172" s="145">
        <f t="shared" si="352"/>
        <v>0.75</v>
      </c>
      <c r="K172" s="145">
        <f t="shared" si="352"/>
        <v>0</v>
      </c>
      <c r="L172" s="145">
        <f t="shared" si="352"/>
        <v>0</v>
      </c>
      <c r="M172" s="145">
        <f t="shared" si="352"/>
        <v>0</v>
      </c>
      <c r="N172" s="145">
        <f t="shared" si="352"/>
        <v>0</v>
      </c>
      <c r="O172" s="145">
        <f t="shared" si="311"/>
        <v>1</v>
      </c>
      <c r="P172" s="145"/>
      <c r="Q172" s="142" t="str">
        <f t="shared" si="318"/>
        <v>Molesworth Place new park development</v>
      </c>
      <c r="R172" s="142" t="str">
        <f t="shared" si="321"/>
        <v>Jun27, acquire and develp, $3.2m for 3000m2</v>
      </c>
      <c r="S172" s="142"/>
      <c r="T172" s="142"/>
      <c r="U172" s="142"/>
      <c r="V172" s="142"/>
      <c r="W172" s="142"/>
      <c r="X172" s="142"/>
      <c r="Y172" s="142"/>
      <c r="Z172" s="142"/>
      <c r="AA172" s="142"/>
      <c r="AB172" s="149">
        <f t="shared" ref="AB172:BG172" si="353">AB57</f>
        <v>0</v>
      </c>
      <c r="AC172" s="149">
        <f t="shared" si="353"/>
        <v>0.33333333333333331</v>
      </c>
      <c r="AD172" s="149">
        <f t="shared" si="353"/>
        <v>0.33333333333333331</v>
      </c>
      <c r="AE172" s="149">
        <f t="shared" si="353"/>
        <v>0.33333333333333331</v>
      </c>
      <c r="AF172" s="149">
        <f t="shared" si="353"/>
        <v>0</v>
      </c>
      <c r="AG172" s="149">
        <f t="shared" si="353"/>
        <v>0</v>
      </c>
      <c r="AH172" s="149">
        <f t="shared" si="353"/>
        <v>0</v>
      </c>
      <c r="AI172" s="149">
        <f t="shared" si="353"/>
        <v>0</v>
      </c>
      <c r="AJ172" s="149">
        <f t="shared" si="353"/>
        <v>0</v>
      </c>
      <c r="AK172" s="149">
        <f t="shared" si="353"/>
        <v>0</v>
      </c>
      <c r="AL172" s="149">
        <f t="shared" si="353"/>
        <v>0</v>
      </c>
      <c r="AM172" s="149">
        <f t="shared" si="353"/>
        <v>0</v>
      </c>
      <c r="AN172" s="149">
        <f t="shared" si="353"/>
        <v>0</v>
      </c>
      <c r="AO172" s="149">
        <f t="shared" si="353"/>
        <v>0</v>
      </c>
      <c r="AP172" s="149">
        <f t="shared" si="353"/>
        <v>0</v>
      </c>
      <c r="AQ172" s="149">
        <f t="shared" si="353"/>
        <v>0</v>
      </c>
      <c r="AR172" s="149">
        <f t="shared" si="353"/>
        <v>0</v>
      </c>
      <c r="AS172" s="149">
        <f t="shared" si="353"/>
        <v>0</v>
      </c>
      <c r="AT172" s="149">
        <f t="shared" si="353"/>
        <v>0</v>
      </c>
      <c r="AU172" s="149">
        <f t="shared" si="353"/>
        <v>0</v>
      </c>
      <c r="AV172" s="149">
        <f t="shared" si="353"/>
        <v>0</v>
      </c>
      <c r="AW172" s="149">
        <f t="shared" si="353"/>
        <v>0</v>
      </c>
      <c r="AX172" s="149">
        <f t="shared" si="353"/>
        <v>0</v>
      </c>
      <c r="AY172" s="149">
        <f t="shared" si="353"/>
        <v>0</v>
      </c>
      <c r="AZ172" s="149">
        <f t="shared" si="353"/>
        <v>0</v>
      </c>
      <c r="BA172" s="149">
        <f t="shared" si="353"/>
        <v>0</v>
      </c>
      <c r="BB172" s="149">
        <f t="shared" si="353"/>
        <v>0</v>
      </c>
      <c r="BC172" s="149">
        <f t="shared" si="353"/>
        <v>0</v>
      </c>
      <c r="BD172" s="149">
        <f t="shared" si="353"/>
        <v>0</v>
      </c>
      <c r="BE172" s="149">
        <f t="shared" si="353"/>
        <v>0</v>
      </c>
      <c r="BF172" s="149">
        <f t="shared" si="353"/>
        <v>0</v>
      </c>
      <c r="BG172" s="149">
        <f t="shared" si="353"/>
        <v>0</v>
      </c>
      <c r="BH172" s="156"/>
      <c r="BI172" s="145"/>
      <c r="BJ172" s="145"/>
      <c r="BK172" s="145"/>
      <c r="BL172" s="154">
        <f>$O172*AB172*'Cost inputs'!F$12/1000000</f>
        <v>0</v>
      </c>
      <c r="BM172" s="154">
        <f>$O172*AC172*'Cost inputs'!G$12/1000000</f>
        <v>1.1575035542699995E-2</v>
      </c>
      <c r="BN172" s="154">
        <f>$O172*AD172*'Cost inputs'!H$12/1000000</f>
        <v>1.1945436680066396E-2</v>
      </c>
      <c r="BO172" s="154">
        <f>$O172*AE172*'Cost inputs'!I$12/1000000</f>
        <v>1.2208236287027855E-2</v>
      </c>
      <c r="BP172" s="154">
        <f>$O172*AF172*'Cost inputs'!J$12/1000000</f>
        <v>0</v>
      </c>
      <c r="BQ172" s="154">
        <f>$O172*AG172*'Cost inputs'!K$12/1000000</f>
        <v>0</v>
      </c>
      <c r="BR172" s="154">
        <f>$O172*AH172*'Cost inputs'!L$12/1000000</f>
        <v>0</v>
      </c>
      <c r="BS172" s="154">
        <f>$O172*AI172*'Cost inputs'!M$12/1000000</f>
        <v>0</v>
      </c>
      <c r="BT172" s="154">
        <f>$O172*AJ172*'Cost inputs'!N$12/1000000</f>
        <v>0</v>
      </c>
      <c r="BU172" s="154">
        <f>$O172*AK172*'Cost inputs'!O$12/1000000</f>
        <v>0</v>
      </c>
      <c r="BV172" s="154">
        <f>$O172*AL172*'Cost inputs'!P$12/1000000</f>
        <v>0</v>
      </c>
      <c r="BW172" s="154">
        <f>$O172*AM172*'Cost inputs'!Q$12/1000000</f>
        <v>0</v>
      </c>
      <c r="BX172" s="154">
        <f>$O172*AN172*'Cost inputs'!R$12/1000000</f>
        <v>0</v>
      </c>
      <c r="BY172" s="154">
        <f>$O172*AO172*'Cost inputs'!S$12/1000000</f>
        <v>0</v>
      </c>
      <c r="BZ172" s="154">
        <f>$O172*AP172*'Cost inputs'!T$12/1000000</f>
        <v>0</v>
      </c>
      <c r="CA172" s="154">
        <f>$O172*AQ172*'Cost inputs'!U$12/1000000</f>
        <v>0</v>
      </c>
      <c r="CB172" s="154">
        <f>$O172*AR172*'Cost inputs'!V$12/1000000</f>
        <v>0</v>
      </c>
      <c r="CC172" s="154">
        <f>$O172*AS172*'Cost inputs'!W$12/1000000</f>
        <v>0</v>
      </c>
      <c r="CD172" s="154">
        <f>$O172*AT172*'Cost inputs'!X$12/1000000</f>
        <v>0</v>
      </c>
      <c r="CE172" s="154">
        <f>$O172*AU172*'Cost inputs'!Y$12/1000000</f>
        <v>0</v>
      </c>
      <c r="CF172" s="154">
        <f>$O172*AV172*'Cost inputs'!Z$12/1000000</f>
        <v>0</v>
      </c>
      <c r="CG172" s="154">
        <f>$O172*AW172*'Cost inputs'!AA$12/1000000</f>
        <v>0</v>
      </c>
      <c r="CH172" s="154">
        <f>$O172*AX172*'Cost inputs'!AB$12/1000000</f>
        <v>0</v>
      </c>
      <c r="CI172" s="154">
        <f>$O172*AY172*'Cost inputs'!AC$12/1000000</f>
        <v>0</v>
      </c>
      <c r="CJ172" s="154">
        <f>$O172*AZ172*'Cost inputs'!AD$12/1000000</f>
        <v>0</v>
      </c>
      <c r="CK172" s="154">
        <f>$O172*BA172*'Cost inputs'!AE$12/1000000</f>
        <v>0</v>
      </c>
      <c r="CL172" s="154">
        <f>$O172*BB172*'Cost inputs'!AF$12/1000000</f>
        <v>0</v>
      </c>
      <c r="CM172" s="154">
        <f>$O172*BC172*'Cost inputs'!AG$12/1000000</f>
        <v>0</v>
      </c>
      <c r="CN172" s="154">
        <f>$O172*BD172*'Cost inputs'!AH$12/1000000</f>
        <v>0</v>
      </c>
      <c r="CO172" s="154">
        <f>$O172*BE172*'Cost inputs'!AI$12/1000000</f>
        <v>0</v>
      </c>
      <c r="CP172" s="154">
        <f>$O172*BF172*'Cost inputs'!AJ$12/1000000</f>
        <v>0</v>
      </c>
      <c r="CQ172" s="154">
        <f>$O172*BG172*'Cost inputs'!AK$12/1000000</f>
        <v>0</v>
      </c>
      <c r="CR172" s="155">
        <f t="shared" si="351"/>
        <v>3.5728708509794246E-2</v>
      </c>
      <c r="CS172" s="26"/>
    </row>
    <row r="173" spans="1:97" x14ac:dyDescent="0.3">
      <c r="A173" s="104" t="str">
        <f t="shared" ref="A173:N173" si="354">A58</f>
        <v>Flat Bush</v>
      </c>
      <c r="B173" s="104" t="str">
        <f t="shared" si="354"/>
        <v>Flatbush</v>
      </c>
      <c r="C173" s="104">
        <f t="shared" si="354"/>
        <v>0</v>
      </c>
      <c r="D173" s="104" t="str">
        <f t="shared" si="354"/>
        <v>Flatbush</v>
      </c>
      <c r="E173" s="104" t="str">
        <f t="shared" si="354"/>
        <v>4NHPs nominally near 2 Skanda Cres, 304 Flat Bush School Rd, 117 Murphys Rd, 91 long George Dr</v>
      </c>
      <c r="F173" s="104">
        <f t="shared" si="354"/>
        <v>4</v>
      </c>
      <c r="G173" s="104">
        <f t="shared" si="354"/>
        <v>0</v>
      </c>
      <c r="H173" s="104">
        <f t="shared" si="354"/>
        <v>0</v>
      </c>
      <c r="I173" s="104">
        <f t="shared" si="354"/>
        <v>0</v>
      </c>
      <c r="J173" s="104">
        <f t="shared" si="354"/>
        <v>4</v>
      </c>
      <c r="K173" s="104">
        <f t="shared" si="354"/>
        <v>0</v>
      </c>
      <c r="L173" s="104">
        <f t="shared" si="354"/>
        <v>0</v>
      </c>
      <c r="M173" s="104">
        <f t="shared" si="354"/>
        <v>0</v>
      </c>
      <c r="N173" s="104">
        <f t="shared" si="354"/>
        <v>0</v>
      </c>
      <c r="O173" s="104">
        <f t="shared" ref="O173" si="355">ROUND(SUM(F173:I173),0)</f>
        <v>4</v>
      </c>
      <c r="P173" s="104" cm="1">
        <f t="array" ref="P173">2024+MATCH(1,0/AB173:BG173)</f>
        <v>2042</v>
      </c>
      <c r="Q173" s="104" t="str">
        <f t="shared" ref="Q173" si="356">D173</f>
        <v>Flatbush</v>
      </c>
      <c r="R173" s="104" t="str">
        <f t="shared" ref="R173" si="357">E173</f>
        <v>4NHPs nominally near 2 Skanda Cres, 304 Flat Bush School Rd, 117 Murphys Rd, 91 long George Dr</v>
      </c>
      <c r="S173" s="104"/>
      <c r="T173" s="104"/>
      <c r="U173" s="104"/>
      <c r="V173" s="104"/>
      <c r="W173" s="104"/>
      <c r="X173" s="104"/>
      <c r="Y173" s="104"/>
      <c r="Z173" s="104"/>
      <c r="AA173" s="104"/>
      <c r="AB173" s="103">
        <f t="shared" ref="AB173:BG173" si="358">AB58</f>
        <v>0</v>
      </c>
      <c r="AC173" s="103">
        <f t="shared" si="358"/>
        <v>0</v>
      </c>
      <c r="AD173" s="103">
        <f t="shared" si="358"/>
        <v>0</v>
      </c>
      <c r="AE173" s="103">
        <f t="shared" si="358"/>
        <v>0</v>
      </c>
      <c r="AF173" s="103">
        <f t="shared" si="358"/>
        <v>0</v>
      </c>
      <c r="AG173" s="103">
        <f t="shared" si="358"/>
        <v>0</v>
      </c>
      <c r="AH173" s="103">
        <f t="shared" si="358"/>
        <v>0</v>
      </c>
      <c r="AI173" s="103">
        <f t="shared" si="358"/>
        <v>0</v>
      </c>
      <c r="AJ173" s="103">
        <f t="shared" si="358"/>
        <v>0</v>
      </c>
      <c r="AK173" s="103">
        <f t="shared" si="358"/>
        <v>0</v>
      </c>
      <c r="AL173" s="103">
        <f t="shared" si="358"/>
        <v>0.10472734996525389</v>
      </c>
      <c r="AM173" s="103">
        <f t="shared" si="358"/>
        <v>0.10601471966704468</v>
      </c>
      <c r="AN173" s="103">
        <f t="shared" si="358"/>
        <v>0.10750477164694536</v>
      </c>
      <c r="AO173" s="103">
        <f t="shared" si="358"/>
        <v>0.10314837920794254</v>
      </c>
      <c r="AP173" s="103">
        <f t="shared" si="358"/>
        <v>4.8886873976350477E-2</v>
      </c>
      <c r="AQ173" s="103">
        <f t="shared" si="358"/>
        <v>5.2554477979523215E-2</v>
      </c>
      <c r="AR173" s="103">
        <f t="shared" si="358"/>
        <v>0.23858171377846993</v>
      </c>
      <c r="AS173" s="103">
        <f t="shared" si="358"/>
        <v>0.23858171377846993</v>
      </c>
      <c r="AT173" s="103">
        <f t="shared" si="358"/>
        <v>0</v>
      </c>
      <c r="AU173" s="103">
        <f t="shared" si="358"/>
        <v>0</v>
      </c>
      <c r="AV173" s="103">
        <f t="shared" si="358"/>
        <v>0</v>
      </c>
      <c r="AW173" s="103">
        <f t="shared" si="358"/>
        <v>0</v>
      </c>
      <c r="AX173" s="103">
        <f t="shared" si="358"/>
        <v>0</v>
      </c>
      <c r="AY173" s="103">
        <f t="shared" si="358"/>
        <v>0</v>
      </c>
      <c r="AZ173" s="103">
        <f t="shared" si="358"/>
        <v>0</v>
      </c>
      <c r="BA173" s="103">
        <f t="shared" si="358"/>
        <v>0</v>
      </c>
      <c r="BB173" s="103">
        <f t="shared" si="358"/>
        <v>0</v>
      </c>
      <c r="BC173" s="103">
        <f t="shared" si="358"/>
        <v>0</v>
      </c>
      <c r="BD173" s="103">
        <f t="shared" si="358"/>
        <v>0</v>
      </c>
      <c r="BE173" s="103">
        <f t="shared" si="358"/>
        <v>0</v>
      </c>
      <c r="BF173" s="103">
        <f t="shared" si="358"/>
        <v>0</v>
      </c>
      <c r="BG173" s="103">
        <f t="shared" si="358"/>
        <v>0</v>
      </c>
      <c r="BH173" s="103"/>
      <c r="BI173" s="104"/>
      <c r="BJ173" s="104"/>
      <c r="BK173" s="104"/>
      <c r="BL173" s="110">
        <f>$O173*AB173*'Cost inputs'!F$12/1000000</f>
        <v>0</v>
      </c>
      <c r="BM173" s="110">
        <f>$O173*AC173*'Cost inputs'!G$12/1000000</f>
        <v>0</v>
      </c>
      <c r="BN173" s="110">
        <f>$O173*AD173*'Cost inputs'!H$12/1000000</f>
        <v>0</v>
      </c>
      <c r="BO173" s="110">
        <f>$O173*AE173*'Cost inputs'!I$12/1000000</f>
        <v>0</v>
      </c>
      <c r="BP173" s="110">
        <f>$O173*AF173*'Cost inputs'!J$12/1000000</f>
        <v>0</v>
      </c>
      <c r="BQ173" s="110">
        <f>$O173*AG173*'Cost inputs'!K$12/1000000</f>
        <v>0</v>
      </c>
      <c r="BR173" s="110">
        <f>$O173*AH173*'Cost inputs'!L$12/1000000</f>
        <v>0</v>
      </c>
      <c r="BS173" s="110">
        <f>$O173*AI173*'Cost inputs'!M$12/1000000</f>
        <v>0</v>
      </c>
      <c r="BT173" s="110">
        <f>$O173*AJ173*'Cost inputs'!N$12/1000000</f>
        <v>0</v>
      </c>
      <c r="BU173" s="110">
        <f>$O173*AK173*'Cost inputs'!O$12/1000000</f>
        <v>0</v>
      </c>
      <c r="BV173" s="110">
        <f>$O173*AL173*'Cost inputs'!P$12/1000000</f>
        <v>1.7866955560362309E-2</v>
      </c>
      <c r="BW173" s="110">
        <f>$O173*AM173*'Cost inputs'!Q$12/1000000</f>
        <v>1.8484491510082104E-2</v>
      </c>
      <c r="BX173" s="110">
        <f>$O173*AN173*'Cost inputs'!R$12/1000000</f>
        <v>1.9156668130927666E-2</v>
      </c>
      <c r="BY173" s="110">
        <f>$O173*AO173*'Cost inputs'!S$12/1000000</f>
        <v>1.8784755148113164E-2</v>
      </c>
      <c r="BZ173" s="110">
        <f>$O173*AP173*'Cost inputs'!T$12/1000000</f>
        <v>9.0988455647725199E-3</v>
      </c>
      <c r="CA173" s="110">
        <f>$O173*AQ173*'Cost inputs'!U$12/1000000</f>
        <v>9.9966537202714201E-3</v>
      </c>
      <c r="CB173" s="110">
        <f>$O173*AR173*'Cost inputs'!V$12/1000000</f>
        <v>4.6380237867987215E-2</v>
      </c>
      <c r="CC173" s="110">
        <f>$O173*AS173*'Cost inputs'!W$12/1000000</f>
        <v>4.7400603101082933E-2</v>
      </c>
      <c r="CD173" s="110">
        <f>$O173*AT173*'Cost inputs'!X$12/1000000</f>
        <v>0</v>
      </c>
      <c r="CE173" s="110">
        <f>$O173*AU173*'Cost inputs'!Y$12/1000000</f>
        <v>0</v>
      </c>
      <c r="CF173" s="110">
        <f>$O173*AV173*'Cost inputs'!Z$12/1000000</f>
        <v>0</v>
      </c>
      <c r="CG173" s="110">
        <f>$O173*AW173*'Cost inputs'!AA$12/1000000</f>
        <v>0</v>
      </c>
      <c r="CH173" s="110">
        <f>$O173*AX173*'Cost inputs'!AB$12/1000000</f>
        <v>0</v>
      </c>
      <c r="CI173" s="110">
        <f>$O173*AY173*'Cost inputs'!AC$12/1000000</f>
        <v>0</v>
      </c>
      <c r="CJ173" s="110">
        <f>$O173*AZ173*'Cost inputs'!AD$12/1000000</f>
        <v>0</v>
      </c>
      <c r="CK173" s="110">
        <f>$O173*BA173*'Cost inputs'!AE$12/1000000</f>
        <v>0</v>
      </c>
      <c r="CL173" s="110">
        <f>$O173*BB173*'Cost inputs'!AF$12/1000000</f>
        <v>0</v>
      </c>
      <c r="CM173" s="110">
        <f>$O173*BC173*'Cost inputs'!AG$12/1000000</f>
        <v>0</v>
      </c>
      <c r="CN173" s="110">
        <f>$O173*BD173*'Cost inputs'!AH$12/1000000</f>
        <v>0</v>
      </c>
      <c r="CO173" s="110">
        <f>$O173*BE173*'Cost inputs'!AI$12/1000000</f>
        <v>0</v>
      </c>
      <c r="CP173" s="110">
        <f>$O173*BF173*'Cost inputs'!AJ$12/1000000</f>
        <v>0</v>
      </c>
      <c r="CQ173" s="110">
        <f>$O173*BG173*'Cost inputs'!AK$12/1000000</f>
        <v>0</v>
      </c>
      <c r="CR173" s="131">
        <f t="shared" ref="CR173" si="359">SUM(BL173:CQ173)</f>
        <v>0.18716921060359934</v>
      </c>
      <c r="CS173" s="26"/>
    </row>
    <row r="174" spans="1:97" x14ac:dyDescent="0.3">
      <c r="A174" s="104" t="str">
        <f t="shared" ref="A174:N174" si="360">A59</f>
        <v>Hingaia</v>
      </c>
      <c r="B174" s="104" t="str">
        <f t="shared" si="360"/>
        <v>South (West)</v>
      </c>
      <c r="C174" s="104">
        <f t="shared" si="360"/>
        <v>0</v>
      </c>
      <c r="D174" s="104" t="str">
        <f t="shared" si="360"/>
        <v>Oruarangi</v>
      </c>
      <c r="E174" s="104">
        <f t="shared" si="360"/>
        <v>0</v>
      </c>
      <c r="F174" s="104">
        <f t="shared" si="360"/>
        <v>1</v>
      </c>
      <c r="G174" s="104">
        <f t="shared" si="360"/>
        <v>0</v>
      </c>
      <c r="H174" s="104">
        <f t="shared" si="360"/>
        <v>0</v>
      </c>
      <c r="I174" s="104">
        <f t="shared" si="360"/>
        <v>0</v>
      </c>
      <c r="J174" s="104">
        <f t="shared" si="360"/>
        <v>1</v>
      </c>
      <c r="K174" s="104">
        <f t="shared" si="360"/>
        <v>0</v>
      </c>
      <c r="L174" s="104">
        <f t="shared" si="360"/>
        <v>0</v>
      </c>
      <c r="M174" s="104">
        <f t="shared" si="360"/>
        <v>0</v>
      </c>
      <c r="N174" s="104">
        <f t="shared" si="360"/>
        <v>0</v>
      </c>
      <c r="O174" s="104">
        <f t="shared" si="311"/>
        <v>1</v>
      </c>
      <c r="P174" s="104" cm="1">
        <f t="array" ref="P174">2024+MATCH(1,0/AB174:BG174)</f>
        <v>2037</v>
      </c>
      <c r="Q174" s="104" t="str">
        <f t="shared" si="318"/>
        <v>Oruarangi</v>
      </c>
      <c r="R174" s="104">
        <f t="shared" si="321"/>
        <v>0</v>
      </c>
      <c r="S174" s="104"/>
      <c r="T174" s="104"/>
      <c r="U174" s="104"/>
      <c r="V174" s="104"/>
      <c r="W174" s="104"/>
      <c r="X174" s="104"/>
      <c r="Y174" s="104"/>
      <c r="Z174" s="104"/>
      <c r="AA174" s="104"/>
      <c r="AB174" s="103">
        <f t="shared" ref="AB174:BG174" si="361">AB59</f>
        <v>0</v>
      </c>
      <c r="AC174" s="103">
        <f t="shared" si="361"/>
        <v>0</v>
      </c>
      <c r="AD174" s="103">
        <f t="shared" si="361"/>
        <v>0</v>
      </c>
      <c r="AE174" s="103">
        <f t="shared" si="361"/>
        <v>0</v>
      </c>
      <c r="AF174" s="103">
        <f t="shared" si="361"/>
        <v>0</v>
      </c>
      <c r="AG174" s="103">
        <f t="shared" si="361"/>
        <v>0</v>
      </c>
      <c r="AH174" s="103">
        <f t="shared" si="361"/>
        <v>0</v>
      </c>
      <c r="AI174" s="103">
        <f t="shared" si="361"/>
        <v>0.05</v>
      </c>
      <c r="AJ174" s="103">
        <f t="shared" si="361"/>
        <v>0.05</v>
      </c>
      <c r="AK174" s="103">
        <f t="shared" si="361"/>
        <v>0.1</v>
      </c>
      <c r="AL174" s="103">
        <f t="shared" si="361"/>
        <v>0.25</v>
      </c>
      <c r="AM174" s="103">
        <f t="shared" si="361"/>
        <v>0.25</v>
      </c>
      <c r="AN174" s="103">
        <f t="shared" si="361"/>
        <v>0.3</v>
      </c>
      <c r="AO174" s="103">
        <f t="shared" si="361"/>
        <v>0</v>
      </c>
      <c r="AP174" s="103">
        <f t="shared" si="361"/>
        <v>0</v>
      </c>
      <c r="AQ174" s="103">
        <f t="shared" si="361"/>
        <v>0</v>
      </c>
      <c r="AR174" s="103">
        <f t="shared" si="361"/>
        <v>0</v>
      </c>
      <c r="AS174" s="103">
        <f t="shared" si="361"/>
        <v>0</v>
      </c>
      <c r="AT174" s="103">
        <f t="shared" si="361"/>
        <v>0</v>
      </c>
      <c r="AU174" s="103">
        <f t="shared" si="361"/>
        <v>0</v>
      </c>
      <c r="AV174" s="103">
        <f t="shared" si="361"/>
        <v>0</v>
      </c>
      <c r="AW174" s="103">
        <f t="shared" si="361"/>
        <v>0</v>
      </c>
      <c r="AX174" s="103">
        <f t="shared" si="361"/>
        <v>0</v>
      </c>
      <c r="AY174" s="103">
        <f t="shared" si="361"/>
        <v>0</v>
      </c>
      <c r="AZ174" s="103">
        <f t="shared" si="361"/>
        <v>0</v>
      </c>
      <c r="BA174" s="103">
        <f t="shared" si="361"/>
        <v>0</v>
      </c>
      <c r="BB174" s="103">
        <f t="shared" si="361"/>
        <v>0</v>
      </c>
      <c r="BC174" s="103">
        <f t="shared" si="361"/>
        <v>0</v>
      </c>
      <c r="BD174" s="103">
        <f t="shared" si="361"/>
        <v>0</v>
      </c>
      <c r="BE174" s="103">
        <f t="shared" si="361"/>
        <v>0</v>
      </c>
      <c r="BF174" s="103">
        <f t="shared" si="361"/>
        <v>0</v>
      </c>
      <c r="BG174" s="103">
        <f t="shared" si="361"/>
        <v>0</v>
      </c>
      <c r="BH174" s="103"/>
      <c r="BI174" s="104"/>
      <c r="BJ174" s="104"/>
      <c r="BK174" s="104"/>
      <c r="BL174" s="110">
        <f>$O174*AB174*'Cost inputs'!F$12/1000000</f>
        <v>0</v>
      </c>
      <c r="BM174" s="110">
        <f>$O174*AC174*'Cost inputs'!G$12/1000000</f>
        <v>0</v>
      </c>
      <c r="BN174" s="110">
        <f>$O174*AD174*'Cost inputs'!H$12/1000000</f>
        <v>0</v>
      </c>
      <c r="BO174" s="110">
        <f>$O174*AE174*'Cost inputs'!I$12/1000000</f>
        <v>0</v>
      </c>
      <c r="BP174" s="110">
        <f>$O174*AF174*'Cost inputs'!J$12/1000000</f>
        <v>0</v>
      </c>
      <c r="BQ174" s="110">
        <f>$O174*AG174*'Cost inputs'!K$12/1000000</f>
        <v>0</v>
      </c>
      <c r="BR174" s="110">
        <f>$O174*AH174*'Cost inputs'!L$12/1000000</f>
        <v>0</v>
      </c>
      <c r="BS174" s="110">
        <f>$O174*AI174*'Cost inputs'!M$12/1000000</f>
        <v>1.9977804947274558E-3</v>
      </c>
      <c r="BT174" s="110">
        <f>$O174*AJ174*'Cost inputs'!N$12/1000000</f>
        <v>2.0417316656114598E-3</v>
      </c>
      <c r="BU174" s="110">
        <f>$O174*AK174*'Cost inputs'!O$12/1000000</f>
        <v>4.1732995245098237E-3</v>
      </c>
      <c r="BV174" s="110">
        <f>$O174*AL174*'Cost inputs'!P$12/1000000</f>
        <v>1.0662780285122601E-2</v>
      </c>
      <c r="BW174" s="110">
        <f>$O174*AM174*'Cost inputs'!Q$12/1000000</f>
        <v>1.0897361451395297E-2</v>
      </c>
      <c r="BX174" s="110">
        <f>$O174*AN174*'Cost inputs'!R$12/1000000</f>
        <v>1.3364524083991193E-2</v>
      </c>
      <c r="BY174" s="110">
        <f>$O174*AO174*'Cost inputs'!S$12/1000000</f>
        <v>0</v>
      </c>
      <c r="BZ174" s="110">
        <f>$O174*AP174*'Cost inputs'!T$12/1000000</f>
        <v>0</v>
      </c>
      <c r="CA174" s="110">
        <f>$O174*AQ174*'Cost inputs'!U$12/1000000</f>
        <v>0</v>
      </c>
      <c r="CB174" s="110">
        <f>$O174*AR174*'Cost inputs'!V$12/1000000</f>
        <v>0</v>
      </c>
      <c r="CC174" s="110">
        <f>$O174*AS174*'Cost inputs'!W$12/1000000</f>
        <v>0</v>
      </c>
      <c r="CD174" s="110">
        <f>$O174*AT174*'Cost inputs'!X$12/1000000</f>
        <v>0</v>
      </c>
      <c r="CE174" s="110">
        <f>$O174*AU174*'Cost inputs'!Y$12/1000000</f>
        <v>0</v>
      </c>
      <c r="CF174" s="110">
        <f>$O174*AV174*'Cost inputs'!Z$12/1000000</f>
        <v>0</v>
      </c>
      <c r="CG174" s="110">
        <f>$O174*AW174*'Cost inputs'!AA$12/1000000</f>
        <v>0</v>
      </c>
      <c r="CH174" s="110">
        <f>$O174*AX174*'Cost inputs'!AB$12/1000000</f>
        <v>0</v>
      </c>
      <c r="CI174" s="110">
        <f>$O174*AY174*'Cost inputs'!AC$12/1000000</f>
        <v>0</v>
      </c>
      <c r="CJ174" s="110">
        <f>$O174*AZ174*'Cost inputs'!AD$12/1000000</f>
        <v>0</v>
      </c>
      <c r="CK174" s="110">
        <f>$O174*BA174*'Cost inputs'!AE$12/1000000</f>
        <v>0</v>
      </c>
      <c r="CL174" s="110">
        <f>$O174*BB174*'Cost inputs'!AF$12/1000000</f>
        <v>0</v>
      </c>
      <c r="CM174" s="110">
        <f>$O174*BC174*'Cost inputs'!AG$12/1000000</f>
        <v>0</v>
      </c>
      <c r="CN174" s="110">
        <f>$O174*BD174*'Cost inputs'!AH$12/1000000</f>
        <v>0</v>
      </c>
      <c r="CO174" s="110">
        <f>$O174*BE174*'Cost inputs'!AI$12/1000000</f>
        <v>0</v>
      </c>
      <c r="CP174" s="110">
        <f>$O174*BF174*'Cost inputs'!AJ$12/1000000</f>
        <v>0</v>
      </c>
      <c r="CQ174" s="110">
        <f>$O174*BG174*'Cost inputs'!AK$12/1000000</f>
        <v>0</v>
      </c>
      <c r="CR174" s="131">
        <f t="shared" ref="CR174:CR197" si="362">SUM(BL174:CQ174)</f>
        <v>4.3137477505357832E-2</v>
      </c>
      <c r="CS174" s="26"/>
    </row>
    <row r="175" spans="1:97" x14ac:dyDescent="0.3">
      <c r="A175" s="104" t="str">
        <f t="shared" ref="A175:N175" si="363">A60</f>
        <v>Takanini</v>
      </c>
      <c r="B175" s="104" t="str">
        <f t="shared" si="363"/>
        <v>Takanini North</v>
      </c>
      <c r="C175" s="104">
        <f t="shared" si="363"/>
        <v>0</v>
      </c>
      <c r="D175" s="104" t="str">
        <f t="shared" si="363"/>
        <v>Takanini North</v>
      </c>
      <c r="E175" s="104">
        <f t="shared" si="363"/>
        <v>0</v>
      </c>
      <c r="F175" s="104">
        <f t="shared" si="363"/>
        <v>8</v>
      </c>
      <c r="G175" s="104">
        <f t="shared" si="363"/>
        <v>0</v>
      </c>
      <c r="H175" s="104">
        <f t="shared" si="363"/>
        <v>0</v>
      </c>
      <c r="I175" s="104">
        <f t="shared" si="363"/>
        <v>0</v>
      </c>
      <c r="J175" s="104">
        <f t="shared" si="363"/>
        <v>8</v>
      </c>
      <c r="K175" s="104">
        <f t="shared" si="363"/>
        <v>0</v>
      </c>
      <c r="L175" s="104">
        <f t="shared" si="363"/>
        <v>0</v>
      </c>
      <c r="M175" s="104">
        <f t="shared" si="363"/>
        <v>0</v>
      </c>
      <c r="N175" s="104">
        <f t="shared" si="363"/>
        <v>0</v>
      </c>
      <c r="O175" s="104">
        <f t="shared" si="311"/>
        <v>8</v>
      </c>
      <c r="P175" s="104" cm="1">
        <f t="array" ref="P175">2024+MATCH(1,0/AB175:BG175)</f>
        <v>2056</v>
      </c>
      <c r="Q175" s="104" t="str">
        <f t="shared" si="318"/>
        <v>Takanini North</v>
      </c>
      <c r="R175" s="104">
        <f t="shared" si="321"/>
        <v>0</v>
      </c>
      <c r="S175" s="104"/>
      <c r="T175" s="104"/>
      <c r="U175" s="104"/>
      <c r="V175" s="104"/>
      <c r="W175" s="104"/>
      <c r="X175" s="104"/>
      <c r="Y175" s="104"/>
      <c r="Z175" s="104"/>
      <c r="AA175" s="104"/>
      <c r="AB175" s="103">
        <f t="shared" ref="AB175:BG175" si="364">AB60</f>
        <v>0</v>
      </c>
      <c r="AC175" s="103">
        <f t="shared" si="364"/>
        <v>0</v>
      </c>
      <c r="AD175" s="103">
        <f t="shared" si="364"/>
        <v>0</v>
      </c>
      <c r="AE175" s="103">
        <f t="shared" si="364"/>
        <v>0</v>
      </c>
      <c r="AF175" s="103">
        <f t="shared" si="364"/>
        <v>0</v>
      </c>
      <c r="AG175" s="103">
        <f t="shared" si="364"/>
        <v>0</v>
      </c>
      <c r="AH175" s="103">
        <f t="shared" si="364"/>
        <v>0</v>
      </c>
      <c r="AI175" s="103">
        <f t="shared" si="364"/>
        <v>0</v>
      </c>
      <c r="AJ175" s="103">
        <f t="shared" si="364"/>
        <v>0</v>
      </c>
      <c r="AK175" s="103">
        <f t="shared" si="364"/>
        <v>0</v>
      </c>
      <c r="AL175" s="103">
        <f t="shared" si="364"/>
        <v>0</v>
      </c>
      <c r="AM175" s="103">
        <f t="shared" si="364"/>
        <v>0</v>
      </c>
      <c r="AN175" s="103">
        <f t="shared" si="364"/>
        <v>0</v>
      </c>
      <c r="AO175" s="103">
        <f t="shared" si="364"/>
        <v>0</v>
      </c>
      <c r="AP175" s="103">
        <f t="shared" si="364"/>
        <v>0</v>
      </c>
      <c r="AQ175" s="103">
        <f t="shared" si="364"/>
        <v>0</v>
      </c>
      <c r="AR175" s="103">
        <f t="shared" si="364"/>
        <v>0</v>
      </c>
      <c r="AS175" s="103">
        <f t="shared" si="364"/>
        <v>0</v>
      </c>
      <c r="AT175" s="103">
        <f t="shared" si="364"/>
        <v>0</v>
      </c>
      <c r="AU175" s="103">
        <f t="shared" si="364"/>
        <v>0</v>
      </c>
      <c r="AV175" s="103">
        <f t="shared" si="364"/>
        <v>0</v>
      </c>
      <c r="AW175" s="103">
        <f t="shared" si="364"/>
        <v>0.05</v>
      </c>
      <c r="AX175" s="103">
        <f t="shared" si="364"/>
        <v>0.05</v>
      </c>
      <c r="AY175" s="103">
        <f t="shared" si="364"/>
        <v>0.05</v>
      </c>
      <c r="AZ175" s="103">
        <f t="shared" si="364"/>
        <v>0.05</v>
      </c>
      <c r="BA175" s="103">
        <f t="shared" si="364"/>
        <v>7.4999999999999997E-2</v>
      </c>
      <c r="BB175" s="103">
        <f t="shared" si="364"/>
        <v>7.4999999999999997E-2</v>
      </c>
      <c r="BC175" s="103">
        <f t="shared" si="364"/>
        <v>7.4999999999999997E-2</v>
      </c>
      <c r="BD175" s="103">
        <f t="shared" si="364"/>
        <v>7.4999999999999997E-2</v>
      </c>
      <c r="BE175" s="103">
        <f t="shared" si="364"/>
        <v>0.16666666666666666</v>
      </c>
      <c r="BF175" s="103">
        <f t="shared" si="364"/>
        <v>0.16666666666666666</v>
      </c>
      <c r="BG175" s="103">
        <f t="shared" si="364"/>
        <v>0.16666666666666666</v>
      </c>
      <c r="BH175" s="103"/>
      <c r="BI175" s="104"/>
      <c r="BJ175" s="104"/>
      <c r="BK175" s="104"/>
      <c r="BL175" s="110">
        <f>$O175*AB175*'Cost inputs'!F$12/1000000</f>
        <v>0</v>
      </c>
      <c r="BM175" s="110">
        <f>$O175*AC175*'Cost inputs'!G$12/1000000</f>
        <v>0</v>
      </c>
      <c r="BN175" s="110">
        <f>$O175*AD175*'Cost inputs'!H$12/1000000</f>
        <v>0</v>
      </c>
      <c r="BO175" s="110">
        <f>$O175*AE175*'Cost inputs'!I$12/1000000</f>
        <v>0</v>
      </c>
      <c r="BP175" s="110">
        <f>$O175*AF175*'Cost inputs'!J$12/1000000</f>
        <v>0</v>
      </c>
      <c r="BQ175" s="110">
        <f>$O175*AG175*'Cost inputs'!K$12/1000000</f>
        <v>0</v>
      </c>
      <c r="BR175" s="110">
        <f>$O175*AH175*'Cost inputs'!L$12/1000000</f>
        <v>0</v>
      </c>
      <c r="BS175" s="110">
        <f>$O175*AI175*'Cost inputs'!M$12/1000000</f>
        <v>0</v>
      </c>
      <c r="BT175" s="110">
        <f>$O175*AJ175*'Cost inputs'!N$12/1000000</f>
        <v>0</v>
      </c>
      <c r="BU175" s="110">
        <f>$O175*AK175*'Cost inputs'!O$12/1000000</f>
        <v>0</v>
      </c>
      <c r="BV175" s="110">
        <f>$O175*AL175*'Cost inputs'!P$12/1000000</f>
        <v>0</v>
      </c>
      <c r="BW175" s="110">
        <f>$O175*AM175*'Cost inputs'!Q$12/1000000</f>
        <v>0</v>
      </c>
      <c r="BX175" s="110">
        <f>$O175*AN175*'Cost inputs'!R$12/1000000</f>
        <v>0</v>
      </c>
      <c r="BY175" s="110">
        <f>$O175*AO175*'Cost inputs'!S$12/1000000</f>
        <v>0</v>
      </c>
      <c r="BZ175" s="110">
        <f>$O175*AP175*'Cost inputs'!T$12/1000000</f>
        <v>0</v>
      </c>
      <c r="CA175" s="110">
        <f>$O175*AQ175*'Cost inputs'!U$12/1000000</f>
        <v>0</v>
      </c>
      <c r="CB175" s="110">
        <f>$O175*AR175*'Cost inputs'!V$12/1000000</f>
        <v>0</v>
      </c>
      <c r="CC175" s="110">
        <f>$O175*AS175*'Cost inputs'!W$12/1000000</f>
        <v>0</v>
      </c>
      <c r="CD175" s="110">
        <f>$O175*AT175*'Cost inputs'!X$12/1000000</f>
        <v>0</v>
      </c>
      <c r="CE175" s="110">
        <f>$O175*AU175*'Cost inputs'!Y$12/1000000</f>
        <v>0</v>
      </c>
      <c r="CF175" s="110">
        <f>$O175*AV175*'Cost inputs'!Z$12/1000000</f>
        <v>0</v>
      </c>
      <c r="CG175" s="110">
        <f>$O175*AW175*'Cost inputs'!AA$12/1000000</f>
        <v>2.1674560341100751E-2</v>
      </c>
      <c r="CH175" s="110">
        <f>$O175*AX175*'Cost inputs'!AB$12/1000000</f>
        <v>2.2151400668604968E-2</v>
      </c>
      <c r="CI175" s="110">
        <f>$O175*AY175*'Cost inputs'!AC$12/1000000</f>
        <v>2.2638731483314276E-2</v>
      </c>
      <c r="CJ175" s="110">
        <f>$O175*AZ175*'Cost inputs'!AD$12/1000000</f>
        <v>2.3136783575947194E-2</v>
      </c>
      <c r="CK175" s="110">
        <f>$O175*BA175*'Cost inputs'!AE$12/1000000</f>
        <v>3.5468689221927044E-2</v>
      </c>
      <c r="CL175" s="110">
        <f>$O175*BB175*'Cost inputs'!AF$12/1000000</f>
        <v>3.6249000384809438E-2</v>
      </c>
      <c r="CM175" s="110">
        <f>$O175*BC175*'Cost inputs'!AG$12/1000000</f>
        <v>3.7046478393275246E-2</v>
      </c>
      <c r="CN175" s="110">
        <f>$O175*BD175*'Cost inputs'!AH$12/1000000</f>
        <v>3.7861500917927296E-2</v>
      </c>
      <c r="CO175" s="110">
        <f>$O175*BE175*'Cost inputs'!AI$12/1000000</f>
        <v>8.5987675418048221E-2</v>
      </c>
      <c r="CP175" s="110">
        <f>$O175*BF175*'Cost inputs'!AJ$12/1000000</f>
        <v>8.7879404277245277E-2</v>
      </c>
      <c r="CQ175" s="110">
        <f>$O175*BG175*'Cost inputs'!AK$12/1000000</f>
        <v>8.9812751171344671E-2</v>
      </c>
      <c r="CR175" s="131">
        <f t="shared" si="362"/>
        <v>0.49990697585354438</v>
      </c>
      <c r="CS175" s="26"/>
    </row>
    <row r="176" spans="1:97" x14ac:dyDescent="0.3">
      <c r="A176" s="104" t="str">
        <f t="shared" ref="A176:N176" si="365">A61</f>
        <v>Takanini</v>
      </c>
      <c r="B176" s="104" t="str">
        <f t="shared" si="365"/>
        <v>Takanini North</v>
      </c>
      <c r="C176" s="104">
        <f t="shared" si="365"/>
        <v>0</v>
      </c>
      <c r="D176" s="104" t="str">
        <f t="shared" si="365"/>
        <v>Takanini North</v>
      </c>
      <c r="E176" s="104">
        <f t="shared" si="365"/>
        <v>0</v>
      </c>
      <c r="F176" s="104">
        <f t="shared" si="365"/>
        <v>0</v>
      </c>
      <c r="G176" s="104">
        <f t="shared" si="365"/>
        <v>1</v>
      </c>
      <c r="H176" s="104">
        <f t="shared" si="365"/>
        <v>0</v>
      </c>
      <c r="I176" s="104">
        <f t="shared" si="365"/>
        <v>0</v>
      </c>
      <c r="J176" s="104">
        <f t="shared" si="365"/>
        <v>0</v>
      </c>
      <c r="K176" s="104">
        <f t="shared" si="365"/>
        <v>1</v>
      </c>
      <c r="L176" s="104">
        <f t="shared" si="365"/>
        <v>0</v>
      </c>
      <c r="M176" s="104">
        <f t="shared" si="365"/>
        <v>0</v>
      </c>
      <c r="N176" s="104">
        <f t="shared" si="365"/>
        <v>0</v>
      </c>
      <c r="O176" s="104">
        <f t="shared" si="311"/>
        <v>1</v>
      </c>
      <c r="P176" s="104" cm="1">
        <f t="array" ref="P176">2024+MATCH(1,0/AB176:BG176)</f>
        <v>2056</v>
      </c>
      <c r="Q176" s="104" t="str">
        <f t="shared" si="318"/>
        <v>Takanini North</v>
      </c>
      <c r="R176" s="104">
        <f t="shared" si="321"/>
        <v>0</v>
      </c>
      <c r="S176" s="104"/>
      <c r="T176" s="104"/>
      <c r="U176" s="104"/>
      <c r="V176" s="104"/>
      <c r="W176" s="104"/>
      <c r="X176" s="104"/>
      <c r="Y176" s="104"/>
      <c r="Z176" s="104"/>
      <c r="AA176" s="104"/>
      <c r="AB176" s="103">
        <f t="shared" ref="AB176:BG176" si="366">AB61</f>
        <v>0</v>
      </c>
      <c r="AC176" s="103">
        <f t="shared" si="366"/>
        <v>0</v>
      </c>
      <c r="AD176" s="103">
        <f t="shared" si="366"/>
        <v>0</v>
      </c>
      <c r="AE176" s="103">
        <f t="shared" si="366"/>
        <v>0</v>
      </c>
      <c r="AF176" s="103">
        <f t="shared" si="366"/>
        <v>0</v>
      </c>
      <c r="AG176" s="103">
        <f t="shared" si="366"/>
        <v>0</v>
      </c>
      <c r="AH176" s="103">
        <f t="shared" si="366"/>
        <v>0</v>
      </c>
      <c r="AI176" s="103">
        <f t="shared" si="366"/>
        <v>0</v>
      </c>
      <c r="AJ176" s="103">
        <f t="shared" si="366"/>
        <v>0</v>
      </c>
      <c r="AK176" s="103">
        <f t="shared" si="366"/>
        <v>0</v>
      </c>
      <c r="AL176" s="103">
        <f t="shared" si="366"/>
        <v>0</v>
      </c>
      <c r="AM176" s="103">
        <f t="shared" si="366"/>
        <v>0</v>
      </c>
      <c r="AN176" s="103">
        <f t="shared" si="366"/>
        <v>0</v>
      </c>
      <c r="AO176" s="103">
        <f t="shared" si="366"/>
        <v>0</v>
      </c>
      <c r="AP176" s="103">
        <f t="shared" si="366"/>
        <v>0</v>
      </c>
      <c r="AQ176" s="103">
        <f t="shared" si="366"/>
        <v>0</v>
      </c>
      <c r="AR176" s="103">
        <f t="shared" si="366"/>
        <v>0</v>
      </c>
      <c r="AS176" s="103">
        <f t="shared" si="366"/>
        <v>0</v>
      </c>
      <c r="AT176" s="103">
        <f t="shared" si="366"/>
        <v>4.9999999999999996E-2</v>
      </c>
      <c r="AU176" s="103">
        <f t="shared" si="366"/>
        <v>4.9999999999999996E-2</v>
      </c>
      <c r="AV176" s="103">
        <f t="shared" si="366"/>
        <v>4.9999999999999996E-2</v>
      </c>
      <c r="AW176" s="103">
        <f t="shared" si="366"/>
        <v>0.125</v>
      </c>
      <c r="AX176" s="103">
        <f t="shared" si="366"/>
        <v>0.125</v>
      </c>
      <c r="AY176" s="103">
        <f t="shared" si="366"/>
        <v>0.125</v>
      </c>
      <c r="AZ176" s="103">
        <f t="shared" si="366"/>
        <v>0.125</v>
      </c>
      <c r="BA176" s="103">
        <f t="shared" si="366"/>
        <v>6.25E-2</v>
      </c>
      <c r="BB176" s="103">
        <f t="shared" si="366"/>
        <v>6.25E-2</v>
      </c>
      <c r="BC176" s="103">
        <f t="shared" si="366"/>
        <v>6.25E-2</v>
      </c>
      <c r="BD176" s="103">
        <f t="shared" si="366"/>
        <v>6.25E-2</v>
      </c>
      <c r="BE176" s="103">
        <f t="shared" si="366"/>
        <v>3.3333333333333333E-2</v>
      </c>
      <c r="BF176" s="103">
        <f t="shared" si="366"/>
        <v>3.3333333333333333E-2</v>
      </c>
      <c r="BG176" s="103">
        <f t="shared" si="366"/>
        <v>3.3333333333333333E-2</v>
      </c>
      <c r="BH176" s="103"/>
      <c r="BI176" s="104"/>
      <c r="BJ176" s="104"/>
      <c r="BK176" s="104"/>
      <c r="BL176" s="110">
        <f>$O176*AB176*'Cost inputs'!F$12/1000000</f>
        <v>0</v>
      </c>
      <c r="BM176" s="110">
        <f>$O176*AC176*'Cost inputs'!G$12/1000000</f>
        <v>0</v>
      </c>
      <c r="BN176" s="110">
        <f>$O176*AD176*'Cost inputs'!H$12/1000000</f>
        <v>0</v>
      </c>
      <c r="BO176" s="110">
        <f>$O176*AE176*'Cost inputs'!I$12/1000000</f>
        <v>0</v>
      </c>
      <c r="BP176" s="110">
        <f>$O176*AF176*'Cost inputs'!J$12/1000000</f>
        <v>0</v>
      </c>
      <c r="BQ176" s="110">
        <f>$O176*AG176*'Cost inputs'!K$12/1000000</f>
        <v>0</v>
      </c>
      <c r="BR176" s="110">
        <f>$O176*AH176*'Cost inputs'!L$12/1000000</f>
        <v>0</v>
      </c>
      <c r="BS176" s="110">
        <f>$O176*AI176*'Cost inputs'!M$12/1000000</f>
        <v>0</v>
      </c>
      <c r="BT176" s="110">
        <f>$O176*AJ176*'Cost inputs'!N$12/1000000</f>
        <v>0</v>
      </c>
      <c r="BU176" s="110">
        <f>$O176*AK176*'Cost inputs'!O$12/1000000</f>
        <v>0</v>
      </c>
      <c r="BV176" s="110">
        <f>$O176*AL176*'Cost inputs'!P$12/1000000</f>
        <v>0</v>
      </c>
      <c r="BW176" s="110">
        <f>$O176*AM176*'Cost inputs'!Q$12/1000000</f>
        <v>0</v>
      </c>
      <c r="BX176" s="110">
        <f>$O176*AN176*'Cost inputs'!R$12/1000000</f>
        <v>0</v>
      </c>
      <c r="BY176" s="110">
        <f>$O176*AO176*'Cost inputs'!S$12/1000000</f>
        <v>0</v>
      </c>
      <c r="BZ176" s="110">
        <f>$O176*AP176*'Cost inputs'!T$12/1000000</f>
        <v>0</v>
      </c>
      <c r="CA176" s="110">
        <f>$O176*AQ176*'Cost inputs'!U$12/1000000</f>
        <v>0</v>
      </c>
      <c r="CB176" s="110">
        <f>$O176*AR176*'Cost inputs'!V$12/1000000</f>
        <v>0</v>
      </c>
      <c r="CC176" s="110">
        <f>$O176*AS176*'Cost inputs'!W$12/1000000</f>
        <v>0</v>
      </c>
      <c r="CD176" s="110">
        <f>$O176*AT176*'Cost inputs'!X$12/1000000</f>
        <v>2.5380935320910574E-3</v>
      </c>
      <c r="CE176" s="110">
        <f>$O176*AU176*'Cost inputs'!Y$12/1000000</f>
        <v>2.5939315897970609E-3</v>
      </c>
      <c r="CF176" s="110">
        <f>$O176*AV176*'Cost inputs'!Z$12/1000000</f>
        <v>2.6509980847725964E-3</v>
      </c>
      <c r="CG176" s="110">
        <f>$O176*AW176*'Cost inputs'!AA$12/1000000</f>
        <v>6.773300106593984E-3</v>
      </c>
      <c r="CH176" s="110">
        <f>$O176*AX176*'Cost inputs'!AB$12/1000000</f>
        <v>6.9223127089390515E-3</v>
      </c>
      <c r="CI176" s="110">
        <f>$O176*AY176*'Cost inputs'!AC$12/1000000</f>
        <v>7.0746035885357111E-3</v>
      </c>
      <c r="CJ176" s="110">
        <f>$O176*AZ176*'Cost inputs'!AD$12/1000000</f>
        <v>7.2302448674834967E-3</v>
      </c>
      <c r="CK176" s="110">
        <f>$O176*BA176*'Cost inputs'!AE$12/1000000</f>
        <v>3.6946551272840672E-3</v>
      </c>
      <c r="CL176" s="110">
        <f>$O176*BB176*'Cost inputs'!AF$12/1000000</f>
        <v>3.7759375400843163E-3</v>
      </c>
      <c r="CM176" s="110">
        <f>$O176*BC176*'Cost inputs'!AG$12/1000000</f>
        <v>3.8590081659661715E-3</v>
      </c>
      <c r="CN176" s="110">
        <f>$O176*BD176*'Cost inputs'!AH$12/1000000</f>
        <v>3.9439063456174275E-3</v>
      </c>
      <c r="CO176" s="110">
        <f>$O176*BE176*'Cost inputs'!AI$12/1000000</f>
        <v>2.1496918854512054E-3</v>
      </c>
      <c r="CP176" s="110">
        <f>$O176*BF176*'Cost inputs'!AJ$12/1000000</f>
        <v>2.1969851069311322E-3</v>
      </c>
      <c r="CQ176" s="110">
        <f>$O176*BG176*'Cost inputs'!AK$12/1000000</f>
        <v>2.2453187792836169E-3</v>
      </c>
      <c r="CR176" s="131">
        <f t="shared" si="362"/>
        <v>5.76489874288309E-2</v>
      </c>
      <c r="CS176" s="26"/>
    </row>
    <row r="177" spans="1:97" x14ac:dyDescent="0.3">
      <c r="A177" s="104" t="str">
        <f t="shared" ref="A177:N177" si="367">A62</f>
        <v>Takanini</v>
      </c>
      <c r="B177" s="104" t="str">
        <f t="shared" si="367"/>
        <v>Takanini South</v>
      </c>
      <c r="C177" s="104">
        <f t="shared" si="367"/>
        <v>0</v>
      </c>
      <c r="D177" s="104" t="str">
        <f t="shared" si="367"/>
        <v>Takaanini &amp; Cosgrave Road</v>
      </c>
      <c r="E177" s="142" t="str">
        <f t="shared" si="367"/>
        <v>55 cosgrove Rd</v>
      </c>
      <c r="F177" s="104">
        <f t="shared" si="367"/>
        <v>1</v>
      </c>
      <c r="G177" s="104">
        <f t="shared" si="367"/>
        <v>0</v>
      </c>
      <c r="H177" s="104">
        <f t="shared" si="367"/>
        <v>0</v>
      </c>
      <c r="I177" s="104">
        <f t="shared" si="367"/>
        <v>0</v>
      </c>
      <c r="J177" s="104">
        <f t="shared" si="367"/>
        <v>1</v>
      </c>
      <c r="K177" s="104">
        <f t="shared" si="367"/>
        <v>0</v>
      </c>
      <c r="L177" s="104">
        <f t="shared" si="367"/>
        <v>0</v>
      </c>
      <c r="M177" s="104">
        <f t="shared" si="367"/>
        <v>0</v>
      </c>
      <c r="N177" s="104">
        <f t="shared" si="367"/>
        <v>0</v>
      </c>
      <c r="O177" s="104">
        <f t="shared" si="311"/>
        <v>1</v>
      </c>
      <c r="P177" s="104" cm="1">
        <f t="array" ref="P177">2024+MATCH(1,0/AB177:BG177)</f>
        <v>2056</v>
      </c>
      <c r="Q177" s="104" t="str">
        <f t="shared" si="318"/>
        <v>Takaanini &amp; Cosgrave Road</v>
      </c>
      <c r="R177" s="142" t="str">
        <f t="shared" si="321"/>
        <v>55 cosgrove Rd</v>
      </c>
      <c r="S177" s="142"/>
      <c r="T177" s="142"/>
      <c r="U177" s="142"/>
      <c r="V177" s="142"/>
      <c r="W177" s="142"/>
      <c r="X177" s="142"/>
      <c r="Y177" s="142"/>
      <c r="Z177" s="142"/>
      <c r="AA177" s="142"/>
      <c r="AB177" s="103">
        <f t="shared" ref="AB177:BG177" si="368">AB62</f>
        <v>0</v>
      </c>
      <c r="AC177" s="103">
        <f t="shared" si="368"/>
        <v>0</v>
      </c>
      <c r="AD177" s="103">
        <f t="shared" si="368"/>
        <v>0</v>
      </c>
      <c r="AE177" s="103">
        <f t="shared" si="368"/>
        <v>0</v>
      </c>
      <c r="AF177" s="103">
        <f t="shared" si="368"/>
        <v>0</v>
      </c>
      <c r="AG177" s="103">
        <f t="shared" si="368"/>
        <v>0</v>
      </c>
      <c r="AH177" s="103">
        <f t="shared" si="368"/>
        <v>0</v>
      </c>
      <c r="AI177" s="103">
        <f t="shared" si="368"/>
        <v>0</v>
      </c>
      <c r="AJ177" s="103">
        <f t="shared" si="368"/>
        <v>0</v>
      </c>
      <c r="AK177" s="103">
        <f t="shared" si="368"/>
        <v>0</v>
      </c>
      <c r="AL177" s="103">
        <f t="shared" si="368"/>
        <v>0</v>
      </c>
      <c r="AM177" s="103">
        <f t="shared" si="368"/>
        <v>0</v>
      </c>
      <c r="AN177" s="103">
        <f t="shared" si="368"/>
        <v>0</v>
      </c>
      <c r="AO177" s="103">
        <f t="shared" si="368"/>
        <v>0</v>
      </c>
      <c r="AP177" s="103">
        <f t="shared" si="368"/>
        <v>0</v>
      </c>
      <c r="AQ177" s="103">
        <f t="shared" si="368"/>
        <v>0</v>
      </c>
      <c r="AR177" s="103">
        <f t="shared" si="368"/>
        <v>0</v>
      </c>
      <c r="AS177" s="103">
        <f t="shared" si="368"/>
        <v>0</v>
      </c>
      <c r="AT177" s="103">
        <f t="shared" si="368"/>
        <v>0</v>
      </c>
      <c r="AU177" s="103">
        <f t="shared" si="368"/>
        <v>0</v>
      </c>
      <c r="AV177" s="103">
        <f t="shared" si="368"/>
        <v>0</v>
      </c>
      <c r="AW177" s="103">
        <f t="shared" si="368"/>
        <v>0.05</v>
      </c>
      <c r="AX177" s="103">
        <f t="shared" si="368"/>
        <v>0.05</v>
      </c>
      <c r="AY177" s="103">
        <f t="shared" si="368"/>
        <v>0.05</v>
      </c>
      <c r="AZ177" s="103">
        <f t="shared" si="368"/>
        <v>0.05</v>
      </c>
      <c r="BA177" s="103">
        <f t="shared" si="368"/>
        <v>7.4999999999999997E-2</v>
      </c>
      <c r="BB177" s="103">
        <f t="shared" si="368"/>
        <v>7.4999999999999997E-2</v>
      </c>
      <c r="BC177" s="103">
        <f t="shared" si="368"/>
        <v>7.4999999999999997E-2</v>
      </c>
      <c r="BD177" s="103">
        <f t="shared" si="368"/>
        <v>7.4999999999999997E-2</v>
      </c>
      <c r="BE177" s="103">
        <f t="shared" si="368"/>
        <v>0.16666666666666666</v>
      </c>
      <c r="BF177" s="103">
        <f t="shared" si="368"/>
        <v>0.16666666666666666</v>
      </c>
      <c r="BG177" s="103">
        <f t="shared" si="368"/>
        <v>0.16666666666666666</v>
      </c>
      <c r="BH177" s="103"/>
      <c r="BI177" s="104"/>
      <c r="BJ177" s="104"/>
      <c r="BK177" s="104"/>
      <c r="BL177" s="110">
        <f>$O177*AB177*'Cost inputs'!F$12/1000000</f>
        <v>0</v>
      </c>
      <c r="BM177" s="110">
        <f>$O177*AC177*'Cost inputs'!G$12/1000000</f>
        <v>0</v>
      </c>
      <c r="BN177" s="110">
        <f>$O177*AD177*'Cost inputs'!H$12/1000000</f>
        <v>0</v>
      </c>
      <c r="BO177" s="110">
        <f>$O177*AE177*'Cost inputs'!I$12/1000000</f>
        <v>0</v>
      </c>
      <c r="BP177" s="110">
        <f>$O177*AF177*'Cost inputs'!J$12/1000000</f>
        <v>0</v>
      </c>
      <c r="BQ177" s="110">
        <f>$O177*AG177*'Cost inputs'!K$12/1000000</f>
        <v>0</v>
      </c>
      <c r="BR177" s="110">
        <f>$O177*AH177*'Cost inputs'!L$12/1000000</f>
        <v>0</v>
      </c>
      <c r="BS177" s="110">
        <f>$O177*AI177*'Cost inputs'!M$12/1000000</f>
        <v>0</v>
      </c>
      <c r="BT177" s="110">
        <f>$O177*AJ177*'Cost inputs'!N$12/1000000</f>
        <v>0</v>
      </c>
      <c r="BU177" s="110">
        <f>$O177*AK177*'Cost inputs'!O$12/1000000</f>
        <v>0</v>
      </c>
      <c r="BV177" s="110">
        <f>$O177*AL177*'Cost inputs'!P$12/1000000</f>
        <v>0</v>
      </c>
      <c r="BW177" s="110">
        <f>$O177*AM177*'Cost inputs'!Q$12/1000000</f>
        <v>0</v>
      </c>
      <c r="BX177" s="110">
        <f>$O177*AN177*'Cost inputs'!R$12/1000000</f>
        <v>0</v>
      </c>
      <c r="BY177" s="110">
        <f>$O177*AO177*'Cost inputs'!S$12/1000000</f>
        <v>0</v>
      </c>
      <c r="BZ177" s="110">
        <f>$O177*AP177*'Cost inputs'!T$12/1000000</f>
        <v>0</v>
      </c>
      <c r="CA177" s="110">
        <f>$O177*AQ177*'Cost inputs'!U$12/1000000</f>
        <v>0</v>
      </c>
      <c r="CB177" s="110">
        <f>$O177*AR177*'Cost inputs'!V$12/1000000</f>
        <v>0</v>
      </c>
      <c r="CC177" s="110">
        <f>$O177*AS177*'Cost inputs'!W$12/1000000</f>
        <v>0</v>
      </c>
      <c r="CD177" s="110">
        <f>$O177*AT177*'Cost inputs'!X$12/1000000</f>
        <v>0</v>
      </c>
      <c r="CE177" s="110">
        <f>$O177*AU177*'Cost inputs'!Y$12/1000000</f>
        <v>0</v>
      </c>
      <c r="CF177" s="110">
        <f>$O177*AV177*'Cost inputs'!Z$12/1000000</f>
        <v>0</v>
      </c>
      <c r="CG177" s="110">
        <f>$O177*AW177*'Cost inputs'!AA$12/1000000</f>
        <v>2.7093200426375938E-3</v>
      </c>
      <c r="CH177" s="110">
        <f>$O177*AX177*'Cost inputs'!AB$12/1000000</f>
        <v>2.768925083575621E-3</v>
      </c>
      <c r="CI177" s="110">
        <f>$O177*AY177*'Cost inputs'!AC$12/1000000</f>
        <v>2.8298414354142845E-3</v>
      </c>
      <c r="CJ177" s="110">
        <f>$O177*AZ177*'Cost inputs'!AD$12/1000000</f>
        <v>2.8920979469933992E-3</v>
      </c>
      <c r="CK177" s="110">
        <f>$O177*BA177*'Cost inputs'!AE$12/1000000</f>
        <v>4.4335861527408805E-3</v>
      </c>
      <c r="CL177" s="110">
        <f>$O177*BB177*'Cost inputs'!AF$12/1000000</f>
        <v>4.5311250481011797E-3</v>
      </c>
      <c r="CM177" s="110">
        <f>$O177*BC177*'Cost inputs'!AG$12/1000000</f>
        <v>4.6308097991594058E-3</v>
      </c>
      <c r="CN177" s="110">
        <f>$O177*BD177*'Cost inputs'!AH$12/1000000</f>
        <v>4.732687614740912E-3</v>
      </c>
      <c r="CO177" s="110">
        <f>$O177*BE177*'Cost inputs'!AI$12/1000000</f>
        <v>1.0748459427256028E-2</v>
      </c>
      <c r="CP177" s="110">
        <f>$O177*BF177*'Cost inputs'!AJ$12/1000000</f>
        <v>1.098492553465566E-2</v>
      </c>
      <c r="CQ177" s="110">
        <f>$O177*BG177*'Cost inputs'!AK$12/1000000</f>
        <v>1.1226593896418084E-2</v>
      </c>
      <c r="CR177" s="131">
        <f t="shared" si="362"/>
        <v>6.2488371981693047E-2</v>
      </c>
      <c r="CS177" s="26"/>
    </row>
    <row r="178" spans="1:97" x14ac:dyDescent="0.3">
      <c r="A178" s="104" t="str">
        <f t="shared" ref="A178:N178" si="369">A63</f>
        <v>Hingaia</v>
      </c>
      <c r="B178" s="104" t="str">
        <f t="shared" si="369"/>
        <v>Hingaia</v>
      </c>
      <c r="C178" s="104">
        <f t="shared" si="369"/>
        <v>0</v>
      </c>
      <c r="D178" s="104" t="str">
        <f t="shared" si="369"/>
        <v>Hingaia LZ</v>
      </c>
      <c r="E178" s="142" t="str">
        <f t="shared" si="369"/>
        <v>295 hingaia Rd</v>
      </c>
      <c r="F178" s="142">
        <f t="shared" si="369"/>
        <v>0.97750000000000004</v>
      </c>
      <c r="G178" s="145">
        <f t="shared" si="369"/>
        <v>0</v>
      </c>
      <c r="H178" s="145">
        <f t="shared" si="369"/>
        <v>0</v>
      </c>
      <c r="I178" s="145">
        <f t="shared" si="369"/>
        <v>0</v>
      </c>
      <c r="J178" s="142">
        <f t="shared" si="369"/>
        <v>0.97750000000000004</v>
      </c>
      <c r="K178" s="104">
        <f t="shared" si="369"/>
        <v>0</v>
      </c>
      <c r="L178" s="104">
        <f t="shared" si="369"/>
        <v>0</v>
      </c>
      <c r="M178" s="104">
        <f t="shared" si="369"/>
        <v>0</v>
      </c>
      <c r="N178" s="104">
        <f t="shared" si="369"/>
        <v>0</v>
      </c>
      <c r="O178" s="104">
        <f t="shared" si="311"/>
        <v>1</v>
      </c>
      <c r="P178" s="104" cm="1">
        <f t="array" ref="P178">2024+MATCH(1,0/AB178:BG178)</f>
        <v>2036</v>
      </c>
      <c r="Q178" s="104" t="str">
        <f t="shared" si="318"/>
        <v>Hingaia LZ</v>
      </c>
      <c r="R178" s="142" t="str">
        <f t="shared" si="321"/>
        <v>295 hingaia Rd</v>
      </c>
      <c r="S178" s="142"/>
      <c r="T178" s="142"/>
      <c r="U178" s="142"/>
      <c r="V178" s="142"/>
      <c r="W178" s="142"/>
      <c r="X178" s="142"/>
      <c r="Y178" s="142"/>
      <c r="Z178" s="142"/>
      <c r="AA178" s="142"/>
      <c r="AB178" s="103">
        <f t="shared" ref="AB178:BG178" si="370">AB63</f>
        <v>7.2277777590649045E-2</v>
      </c>
      <c r="AC178" s="103">
        <f t="shared" si="370"/>
        <v>3.7144039148275132E-2</v>
      </c>
      <c r="AD178" s="103">
        <f t="shared" si="370"/>
        <v>4.693886925000864E-2</v>
      </c>
      <c r="AE178" s="103">
        <f t="shared" si="370"/>
        <v>1.9207251627271639E-2</v>
      </c>
      <c r="AF178" s="103">
        <f t="shared" si="370"/>
        <v>3.0671470308457977E-2</v>
      </c>
      <c r="AG178" s="103">
        <f t="shared" si="370"/>
        <v>7.0574517253221988E-2</v>
      </c>
      <c r="AH178" s="103">
        <f t="shared" si="370"/>
        <v>5.784797696261839E-2</v>
      </c>
      <c r="AI178" s="103">
        <f t="shared" si="370"/>
        <v>6.2267232328672428E-2</v>
      </c>
      <c r="AJ178" s="103">
        <f t="shared" si="370"/>
        <v>4.8241630734504208E-2</v>
      </c>
      <c r="AK178" s="103">
        <f t="shared" si="370"/>
        <v>1.4129803340614668E-2</v>
      </c>
      <c r="AL178" s="103">
        <f t="shared" si="370"/>
        <v>0.27500000000000002</v>
      </c>
      <c r="AM178" s="103">
        <f t="shared" si="370"/>
        <v>0.26569943145570585</v>
      </c>
      <c r="AN178" s="103">
        <f t="shared" si="370"/>
        <v>0</v>
      </c>
      <c r="AO178" s="103">
        <f t="shared" si="370"/>
        <v>0</v>
      </c>
      <c r="AP178" s="103">
        <f t="shared" si="370"/>
        <v>0</v>
      </c>
      <c r="AQ178" s="103">
        <f t="shared" si="370"/>
        <v>0</v>
      </c>
      <c r="AR178" s="103">
        <f t="shared" si="370"/>
        <v>0</v>
      </c>
      <c r="AS178" s="103">
        <f t="shared" si="370"/>
        <v>0</v>
      </c>
      <c r="AT178" s="103">
        <f t="shared" si="370"/>
        <v>0</v>
      </c>
      <c r="AU178" s="103">
        <f t="shared" si="370"/>
        <v>0</v>
      </c>
      <c r="AV178" s="103">
        <f t="shared" si="370"/>
        <v>0</v>
      </c>
      <c r="AW178" s="103">
        <f t="shared" si="370"/>
        <v>0</v>
      </c>
      <c r="AX178" s="103">
        <f t="shared" si="370"/>
        <v>0</v>
      </c>
      <c r="AY178" s="103">
        <f t="shared" si="370"/>
        <v>0</v>
      </c>
      <c r="AZ178" s="103">
        <f t="shared" si="370"/>
        <v>0</v>
      </c>
      <c r="BA178" s="103">
        <f t="shared" si="370"/>
        <v>0</v>
      </c>
      <c r="BB178" s="103">
        <f t="shared" si="370"/>
        <v>0</v>
      </c>
      <c r="BC178" s="103">
        <f t="shared" si="370"/>
        <v>0</v>
      </c>
      <c r="BD178" s="103">
        <f t="shared" si="370"/>
        <v>0</v>
      </c>
      <c r="BE178" s="103">
        <f t="shared" si="370"/>
        <v>0</v>
      </c>
      <c r="BF178" s="103">
        <f t="shared" si="370"/>
        <v>0</v>
      </c>
      <c r="BG178" s="103">
        <f t="shared" si="370"/>
        <v>0</v>
      </c>
      <c r="BH178" s="103"/>
      <c r="BI178" s="104"/>
      <c r="BJ178" s="104"/>
      <c r="BK178" s="104"/>
      <c r="BL178" s="110">
        <f>$O178*AB178*'Cost inputs'!F$12/1000000</f>
        <v>2.42967428235952E-3</v>
      </c>
      <c r="BM178" s="110">
        <f>$O178*AC178*'Cost inputs'!G$12/1000000</f>
        <v>1.2898307200221741E-3</v>
      </c>
      <c r="BN178" s="110">
        <f>$O178*AD178*'Cost inputs'!H$12/1000000</f>
        <v>1.6821158713796818E-3</v>
      </c>
      <c r="BO178" s="110">
        <f>$O178*AE178*'Cost inputs'!I$12/1000000</f>
        <v>7.0345999887039734E-4</v>
      </c>
      <c r="BP178" s="110">
        <f>$O178*AF178*'Cost inputs'!J$12/1000000</f>
        <v>1.1480470111371926E-3</v>
      </c>
      <c r="BQ178" s="110">
        <f>$O178*AG178*'Cost inputs'!K$12/1000000</f>
        <v>2.6997521071321956E-3</v>
      </c>
      <c r="BR178" s="110">
        <f>$O178*AH178*'Cost inputs'!L$12/1000000</f>
        <v>2.2615960867976956E-3</v>
      </c>
      <c r="BS178" s="110">
        <f>$O178*AI178*'Cost inputs'!M$12/1000000</f>
        <v>2.4879252441376929E-3</v>
      </c>
      <c r="BT178" s="110">
        <f>$O178*AJ178*'Cost inputs'!N$12/1000000</f>
        <v>1.9699293014274455E-3</v>
      </c>
      <c r="BU178" s="110">
        <f>$O178*AK178*'Cost inputs'!O$12/1000000</f>
        <v>5.8967901562804515E-4</v>
      </c>
      <c r="BV178" s="110">
        <f>$O178*AL178*'Cost inputs'!P$12/1000000</f>
        <v>1.1729058313634862E-2</v>
      </c>
      <c r="BW178" s="110">
        <f>$O178*AM178*'Cost inputs'!Q$12/1000000</f>
        <v>1.1581690968012225E-2</v>
      </c>
      <c r="BX178" s="110">
        <f>$O178*AN178*'Cost inputs'!R$12/1000000</f>
        <v>0</v>
      </c>
      <c r="BY178" s="110">
        <f>$O178*AO178*'Cost inputs'!S$12/1000000</f>
        <v>0</v>
      </c>
      <c r="BZ178" s="110">
        <f>$O178*AP178*'Cost inputs'!T$12/1000000</f>
        <v>0</v>
      </c>
      <c r="CA178" s="110">
        <f>$O178*AQ178*'Cost inputs'!U$12/1000000</f>
        <v>0</v>
      </c>
      <c r="CB178" s="110">
        <f>$O178*AR178*'Cost inputs'!V$12/1000000</f>
        <v>0</v>
      </c>
      <c r="CC178" s="110">
        <f>$O178*AS178*'Cost inputs'!W$12/1000000</f>
        <v>0</v>
      </c>
      <c r="CD178" s="110">
        <f>$O178*AT178*'Cost inputs'!X$12/1000000</f>
        <v>0</v>
      </c>
      <c r="CE178" s="110">
        <f>$O178*AU178*'Cost inputs'!Y$12/1000000</f>
        <v>0</v>
      </c>
      <c r="CF178" s="110">
        <f>$O178*AV178*'Cost inputs'!Z$12/1000000</f>
        <v>0</v>
      </c>
      <c r="CG178" s="110">
        <f>$O178*AW178*'Cost inputs'!AA$12/1000000</f>
        <v>0</v>
      </c>
      <c r="CH178" s="110">
        <f>$O178*AX178*'Cost inputs'!AB$12/1000000</f>
        <v>0</v>
      </c>
      <c r="CI178" s="110">
        <f>$O178*AY178*'Cost inputs'!AC$12/1000000</f>
        <v>0</v>
      </c>
      <c r="CJ178" s="110">
        <f>$O178*AZ178*'Cost inputs'!AD$12/1000000</f>
        <v>0</v>
      </c>
      <c r="CK178" s="110">
        <f>$O178*BA178*'Cost inputs'!AE$12/1000000</f>
        <v>0</v>
      </c>
      <c r="CL178" s="110">
        <f>$O178*BB178*'Cost inputs'!AF$12/1000000</f>
        <v>0</v>
      </c>
      <c r="CM178" s="110">
        <f>$O178*BC178*'Cost inputs'!AG$12/1000000</f>
        <v>0</v>
      </c>
      <c r="CN178" s="110">
        <f>$O178*BD178*'Cost inputs'!AH$12/1000000</f>
        <v>0</v>
      </c>
      <c r="CO178" s="110">
        <f>$O178*BE178*'Cost inputs'!AI$12/1000000</f>
        <v>0</v>
      </c>
      <c r="CP178" s="110">
        <f>$O178*BF178*'Cost inputs'!AJ$12/1000000</f>
        <v>0</v>
      </c>
      <c r="CQ178" s="110">
        <f>$O178*BG178*'Cost inputs'!AK$12/1000000</f>
        <v>0</v>
      </c>
      <c r="CR178" s="131">
        <f t="shared" si="362"/>
        <v>4.0572758920539131E-2</v>
      </c>
      <c r="CS178" s="26"/>
    </row>
    <row r="179" spans="1:97" x14ac:dyDescent="0.3">
      <c r="A179" s="104" t="str">
        <f t="shared" ref="A179:N179" si="371">A64</f>
        <v>Hingaia</v>
      </c>
      <c r="B179" s="104" t="str">
        <f t="shared" si="371"/>
        <v>Hingaia</v>
      </c>
      <c r="C179" s="104">
        <f t="shared" si="371"/>
        <v>0</v>
      </c>
      <c r="D179" s="104" t="str">
        <f t="shared" si="371"/>
        <v>Hingaia LZ</v>
      </c>
      <c r="E179" s="142" t="str">
        <f t="shared" si="371"/>
        <v>279 Park Estate Rd</v>
      </c>
      <c r="F179" s="104">
        <f t="shared" si="371"/>
        <v>1</v>
      </c>
      <c r="G179" s="104">
        <f t="shared" si="371"/>
        <v>0</v>
      </c>
      <c r="H179" s="104">
        <f t="shared" si="371"/>
        <v>0</v>
      </c>
      <c r="I179" s="104">
        <f t="shared" si="371"/>
        <v>0</v>
      </c>
      <c r="J179" s="104">
        <f t="shared" si="371"/>
        <v>1</v>
      </c>
      <c r="K179" s="104">
        <f t="shared" si="371"/>
        <v>0</v>
      </c>
      <c r="L179" s="104">
        <f t="shared" si="371"/>
        <v>0</v>
      </c>
      <c r="M179" s="104">
        <f t="shared" si="371"/>
        <v>0</v>
      </c>
      <c r="N179" s="104">
        <f t="shared" si="371"/>
        <v>0</v>
      </c>
      <c r="O179" s="104">
        <f t="shared" si="311"/>
        <v>1</v>
      </c>
      <c r="P179" s="104" cm="1">
        <f t="array" ref="P179">2024+MATCH(1,0/AB179:BG179)</f>
        <v>2025</v>
      </c>
      <c r="Q179" s="104" t="str">
        <f t="shared" si="318"/>
        <v>Hingaia LZ</v>
      </c>
      <c r="R179" s="142" t="str">
        <f t="shared" si="321"/>
        <v>279 Park Estate Rd</v>
      </c>
      <c r="S179" s="142"/>
      <c r="T179" s="142"/>
      <c r="U179" s="142"/>
      <c r="V179" s="142"/>
      <c r="W179" s="142"/>
      <c r="X179" s="142"/>
      <c r="Y179" s="142"/>
      <c r="Z179" s="142"/>
      <c r="AA179" s="142"/>
      <c r="AB179" s="149">
        <v>1</v>
      </c>
      <c r="AC179" s="149">
        <f t="shared" ref="AC179:BG179" si="372">AC64</f>
        <v>0</v>
      </c>
      <c r="AD179" s="149">
        <f t="shared" si="372"/>
        <v>0</v>
      </c>
      <c r="AE179" s="149">
        <f t="shared" si="372"/>
        <v>0</v>
      </c>
      <c r="AF179" s="149">
        <f t="shared" si="372"/>
        <v>0</v>
      </c>
      <c r="AG179" s="149">
        <f t="shared" si="372"/>
        <v>0</v>
      </c>
      <c r="AH179" s="149">
        <f t="shared" si="372"/>
        <v>0</v>
      </c>
      <c r="AI179" s="149">
        <f t="shared" si="372"/>
        <v>0</v>
      </c>
      <c r="AJ179" s="149">
        <f t="shared" si="372"/>
        <v>0</v>
      </c>
      <c r="AK179" s="149">
        <f t="shared" si="372"/>
        <v>0</v>
      </c>
      <c r="AL179" s="149">
        <f t="shared" si="372"/>
        <v>0</v>
      </c>
      <c r="AM179" s="149">
        <f t="shared" si="372"/>
        <v>0</v>
      </c>
      <c r="AN179" s="149">
        <f t="shared" si="372"/>
        <v>0</v>
      </c>
      <c r="AO179" s="149">
        <f t="shared" si="372"/>
        <v>0</v>
      </c>
      <c r="AP179" s="149">
        <f t="shared" si="372"/>
        <v>0</v>
      </c>
      <c r="AQ179" s="149">
        <f t="shared" si="372"/>
        <v>0</v>
      </c>
      <c r="AR179" s="149">
        <f t="shared" si="372"/>
        <v>0</v>
      </c>
      <c r="AS179" s="149">
        <f t="shared" si="372"/>
        <v>0</v>
      </c>
      <c r="AT179" s="149">
        <f t="shared" si="372"/>
        <v>0</v>
      </c>
      <c r="AU179" s="149">
        <f t="shared" si="372"/>
        <v>0</v>
      </c>
      <c r="AV179" s="149">
        <f t="shared" si="372"/>
        <v>0</v>
      </c>
      <c r="AW179" s="149">
        <f t="shared" si="372"/>
        <v>0</v>
      </c>
      <c r="AX179" s="149">
        <f t="shared" si="372"/>
        <v>0</v>
      </c>
      <c r="AY179" s="149">
        <f t="shared" si="372"/>
        <v>0</v>
      </c>
      <c r="AZ179" s="149">
        <f t="shared" si="372"/>
        <v>0</v>
      </c>
      <c r="BA179" s="149">
        <f t="shared" si="372"/>
        <v>0</v>
      </c>
      <c r="BB179" s="149">
        <f t="shared" si="372"/>
        <v>0</v>
      </c>
      <c r="BC179" s="149">
        <f t="shared" si="372"/>
        <v>0</v>
      </c>
      <c r="BD179" s="149">
        <f t="shared" si="372"/>
        <v>0</v>
      </c>
      <c r="BE179" s="149">
        <f t="shared" si="372"/>
        <v>0</v>
      </c>
      <c r="BF179" s="149">
        <f t="shared" si="372"/>
        <v>0</v>
      </c>
      <c r="BG179" s="149">
        <f t="shared" si="372"/>
        <v>0</v>
      </c>
      <c r="BH179" s="156"/>
      <c r="BI179" s="145"/>
      <c r="BJ179" s="145"/>
      <c r="BK179" s="145"/>
      <c r="BL179" s="154">
        <f>$O179*AB179*'Cost inputs'!F$12/1000000</f>
        <v>3.3615785699999991E-2</v>
      </c>
      <c r="BM179" s="154">
        <f>$O179*AC179*'Cost inputs'!G$12/1000000</f>
        <v>0</v>
      </c>
      <c r="BN179" s="154">
        <f>$O179*AD179*'Cost inputs'!H$12/1000000</f>
        <v>0</v>
      </c>
      <c r="BO179" s="154">
        <f>$O179*AE179*'Cost inputs'!I$12/1000000</f>
        <v>0</v>
      </c>
      <c r="BP179" s="154">
        <f>$O179*AF179*'Cost inputs'!J$12/1000000</f>
        <v>0</v>
      </c>
      <c r="BQ179" s="154">
        <f>$O179*AG179*'Cost inputs'!K$12/1000000</f>
        <v>0</v>
      </c>
      <c r="BR179" s="154">
        <f>$O179*AH179*'Cost inputs'!L$12/1000000</f>
        <v>0</v>
      </c>
      <c r="BS179" s="154">
        <f>$O179*AI179*'Cost inputs'!M$12/1000000</f>
        <v>0</v>
      </c>
      <c r="BT179" s="154">
        <f>$O179*AJ179*'Cost inputs'!N$12/1000000</f>
        <v>0</v>
      </c>
      <c r="BU179" s="154">
        <f>$O179*AK179*'Cost inputs'!O$12/1000000</f>
        <v>0</v>
      </c>
      <c r="BV179" s="154">
        <f>$O179*AL179*'Cost inputs'!P$12/1000000</f>
        <v>0</v>
      </c>
      <c r="BW179" s="154">
        <f>$O179*AM179*'Cost inputs'!Q$12/1000000</f>
        <v>0</v>
      </c>
      <c r="BX179" s="154">
        <f>$O179*AN179*'Cost inputs'!R$12/1000000</f>
        <v>0</v>
      </c>
      <c r="BY179" s="154">
        <f>$O179*AO179*'Cost inputs'!S$12/1000000</f>
        <v>0</v>
      </c>
      <c r="BZ179" s="154">
        <f>$O179*AP179*'Cost inputs'!T$12/1000000</f>
        <v>0</v>
      </c>
      <c r="CA179" s="154">
        <f>$O179*AQ179*'Cost inputs'!U$12/1000000</f>
        <v>0</v>
      </c>
      <c r="CB179" s="154">
        <f>$O179*AR179*'Cost inputs'!V$12/1000000</f>
        <v>0</v>
      </c>
      <c r="CC179" s="154">
        <f>$O179*AS179*'Cost inputs'!W$12/1000000</f>
        <v>0</v>
      </c>
      <c r="CD179" s="154">
        <f>$O179*AT179*'Cost inputs'!X$12/1000000</f>
        <v>0</v>
      </c>
      <c r="CE179" s="154">
        <f>$O179*AU179*'Cost inputs'!Y$12/1000000</f>
        <v>0</v>
      </c>
      <c r="CF179" s="154">
        <f>$O179*AV179*'Cost inputs'!Z$12/1000000</f>
        <v>0</v>
      </c>
      <c r="CG179" s="154">
        <f>$O179*AW179*'Cost inputs'!AA$12/1000000</f>
        <v>0</v>
      </c>
      <c r="CH179" s="154">
        <f>$O179*AX179*'Cost inputs'!AB$12/1000000</f>
        <v>0</v>
      </c>
      <c r="CI179" s="154">
        <f>$O179*AY179*'Cost inputs'!AC$12/1000000</f>
        <v>0</v>
      </c>
      <c r="CJ179" s="154">
        <f>$O179*AZ179*'Cost inputs'!AD$12/1000000</f>
        <v>0</v>
      </c>
      <c r="CK179" s="154">
        <f>$O179*BA179*'Cost inputs'!AE$12/1000000</f>
        <v>0</v>
      </c>
      <c r="CL179" s="154">
        <f>$O179*BB179*'Cost inputs'!AF$12/1000000</f>
        <v>0</v>
      </c>
      <c r="CM179" s="154">
        <f>$O179*BC179*'Cost inputs'!AG$12/1000000</f>
        <v>0</v>
      </c>
      <c r="CN179" s="154">
        <f>$O179*BD179*'Cost inputs'!AH$12/1000000</f>
        <v>0</v>
      </c>
      <c r="CO179" s="154">
        <f>$O179*BE179*'Cost inputs'!AI$12/1000000</f>
        <v>0</v>
      </c>
      <c r="CP179" s="154">
        <f>$O179*BF179*'Cost inputs'!AJ$12/1000000</f>
        <v>0</v>
      </c>
      <c r="CQ179" s="154">
        <f>$O179*BG179*'Cost inputs'!AK$12/1000000</f>
        <v>0</v>
      </c>
      <c r="CR179" s="155">
        <f t="shared" si="362"/>
        <v>3.3615785699999991E-2</v>
      </c>
      <c r="CS179" s="26"/>
    </row>
    <row r="180" spans="1:97" x14ac:dyDescent="0.3">
      <c r="A180" s="104" t="str">
        <f t="shared" ref="A180:N180" si="373">A65</f>
        <v>Hingaia</v>
      </c>
      <c r="B180" s="104" t="str">
        <f t="shared" si="373"/>
        <v>Hingaia</v>
      </c>
      <c r="C180" s="104">
        <f t="shared" si="373"/>
        <v>0</v>
      </c>
      <c r="D180" s="104" t="str">
        <f t="shared" si="373"/>
        <v>Hingaia</v>
      </c>
      <c r="E180" s="142" t="str">
        <f t="shared" si="373"/>
        <v>35 Hayfield, 81 Normanby, 264 hingaia, 99 Hingaia,  2NHPs in 144 Park-Est rd</v>
      </c>
      <c r="F180" s="104">
        <f t="shared" si="373"/>
        <v>6</v>
      </c>
      <c r="G180" s="104">
        <f t="shared" si="373"/>
        <v>0</v>
      </c>
      <c r="H180" s="104">
        <f t="shared" si="373"/>
        <v>0</v>
      </c>
      <c r="I180" s="104">
        <f t="shared" si="373"/>
        <v>0</v>
      </c>
      <c r="J180" s="104">
        <f t="shared" si="373"/>
        <v>6</v>
      </c>
      <c r="K180" s="104">
        <f t="shared" si="373"/>
        <v>0</v>
      </c>
      <c r="L180" s="104">
        <f t="shared" si="373"/>
        <v>0</v>
      </c>
      <c r="M180" s="104">
        <f t="shared" si="373"/>
        <v>0</v>
      </c>
      <c r="N180" s="104">
        <f t="shared" si="373"/>
        <v>0</v>
      </c>
      <c r="O180" s="104">
        <f t="shared" ref="O180:O215" si="374">ROUND(SUM(F180:I180),0)</f>
        <v>6</v>
      </c>
      <c r="P180" s="104" cm="1">
        <f t="array" ref="P180">2024+MATCH(1,0/AB180:BG180)</f>
        <v>2041</v>
      </c>
      <c r="Q180" s="104" t="str">
        <f t="shared" si="318"/>
        <v>Hingaia</v>
      </c>
      <c r="R180" s="142" t="str">
        <f t="shared" si="321"/>
        <v>35 Hayfield, 81 Normanby, 264 hingaia, 99 Hingaia,  2NHPs in 144 Park-Est rd</v>
      </c>
      <c r="S180" s="142"/>
      <c r="T180" s="142"/>
      <c r="U180" s="142"/>
      <c r="V180" s="142"/>
      <c r="W180" s="142"/>
      <c r="X180" s="142"/>
      <c r="Y180" s="142"/>
      <c r="Z180" s="142"/>
      <c r="AA180" s="142"/>
      <c r="AB180" s="103">
        <f>AB65</f>
        <v>7.2277777590649045E-2</v>
      </c>
      <c r="AC180" s="103">
        <f t="shared" ref="AC180:BG180" si="375">AC65</f>
        <v>3.7144039148275132E-2</v>
      </c>
      <c r="AD180" s="103">
        <f t="shared" si="375"/>
        <v>4.693886925000864E-2</v>
      </c>
      <c r="AE180" s="103">
        <f t="shared" si="375"/>
        <v>1.9207251627271639E-2</v>
      </c>
      <c r="AF180" s="103">
        <f t="shared" si="375"/>
        <v>3.0671470308457977E-2</v>
      </c>
      <c r="AG180" s="103">
        <f t="shared" si="375"/>
        <v>7.0574517253221988E-2</v>
      </c>
      <c r="AH180" s="103">
        <f t="shared" si="375"/>
        <v>5.784797696261839E-2</v>
      </c>
      <c r="AI180" s="103">
        <f t="shared" si="375"/>
        <v>6.2267232328672428E-2</v>
      </c>
      <c r="AJ180" s="103">
        <f t="shared" si="375"/>
        <v>4.8241630734504208E-2</v>
      </c>
      <c r="AK180" s="103">
        <f t="shared" si="375"/>
        <v>1.4129803340614668E-2</v>
      </c>
      <c r="AL180" s="103">
        <f t="shared" si="375"/>
        <v>0.10472734996525389</v>
      </c>
      <c r="AM180" s="103">
        <f t="shared" si="375"/>
        <v>0.10601471966704468</v>
      </c>
      <c r="AN180" s="103">
        <f t="shared" si="375"/>
        <v>0.10750477164694536</v>
      </c>
      <c r="AO180" s="103">
        <f t="shared" si="375"/>
        <v>0.10314837920794254</v>
      </c>
      <c r="AP180" s="103">
        <f t="shared" si="375"/>
        <v>4.8886873976350477E-2</v>
      </c>
      <c r="AQ180" s="103">
        <f t="shared" si="375"/>
        <v>5.2554477979523215E-2</v>
      </c>
      <c r="AR180" s="103">
        <f t="shared" si="375"/>
        <v>1.7862859012645727E-2</v>
      </c>
      <c r="AS180" s="103">
        <f t="shared" si="375"/>
        <v>0</v>
      </c>
      <c r="AT180" s="103">
        <f t="shared" si="375"/>
        <v>0</v>
      </c>
      <c r="AU180" s="103">
        <f t="shared" si="375"/>
        <v>0</v>
      </c>
      <c r="AV180" s="103">
        <f t="shared" si="375"/>
        <v>0</v>
      </c>
      <c r="AW180" s="103">
        <f t="shared" si="375"/>
        <v>0</v>
      </c>
      <c r="AX180" s="103">
        <f t="shared" si="375"/>
        <v>0</v>
      </c>
      <c r="AY180" s="103">
        <f t="shared" si="375"/>
        <v>0</v>
      </c>
      <c r="AZ180" s="103">
        <f t="shared" si="375"/>
        <v>0</v>
      </c>
      <c r="BA180" s="103">
        <f t="shared" si="375"/>
        <v>0</v>
      </c>
      <c r="BB180" s="103">
        <f t="shared" si="375"/>
        <v>0</v>
      </c>
      <c r="BC180" s="103">
        <f t="shared" si="375"/>
        <v>0</v>
      </c>
      <c r="BD180" s="103">
        <f t="shared" si="375"/>
        <v>0</v>
      </c>
      <c r="BE180" s="103">
        <f t="shared" si="375"/>
        <v>0</v>
      </c>
      <c r="BF180" s="103">
        <f t="shared" si="375"/>
        <v>0</v>
      </c>
      <c r="BG180" s="103">
        <f t="shared" si="375"/>
        <v>0</v>
      </c>
      <c r="BH180" s="103"/>
      <c r="BI180" s="104"/>
      <c r="BJ180" s="104"/>
      <c r="BK180" s="104"/>
      <c r="BL180" s="110">
        <f>$O180*AB180*'Cost inputs'!F$12/1000000</f>
        <v>1.457804569415712E-2</v>
      </c>
      <c r="BM180" s="110">
        <f>$O180*AC180*'Cost inputs'!G$12/1000000</f>
        <v>7.738984320133045E-3</v>
      </c>
      <c r="BN180" s="110">
        <f>$O180*AD180*'Cost inputs'!H$12/1000000</f>
        <v>1.009269522827809E-2</v>
      </c>
      <c r="BO180" s="110">
        <f>$O180*AE180*'Cost inputs'!I$12/1000000</f>
        <v>4.2207599932223847E-3</v>
      </c>
      <c r="BP180" s="110">
        <f>$O180*AF180*'Cost inputs'!J$12/1000000</f>
        <v>6.8882820668231563E-3</v>
      </c>
      <c r="BQ180" s="110">
        <f>$O180*AG180*'Cost inputs'!K$12/1000000</f>
        <v>1.6198512642793171E-2</v>
      </c>
      <c r="BR180" s="110">
        <f>$O180*AH180*'Cost inputs'!L$12/1000000</f>
        <v>1.3569576520786173E-2</v>
      </c>
      <c r="BS180" s="110">
        <f>$O180*AI180*'Cost inputs'!M$12/1000000</f>
        <v>1.4927551464826156E-2</v>
      </c>
      <c r="BT180" s="110">
        <f>$O180*AJ180*'Cost inputs'!N$12/1000000</f>
        <v>1.1819575808564672E-2</v>
      </c>
      <c r="BU180" s="110">
        <f>$O180*AK180*'Cost inputs'!O$12/1000000</f>
        <v>3.5380740937682709E-3</v>
      </c>
      <c r="BV180" s="110">
        <f>$O180*AL180*'Cost inputs'!P$12/1000000</f>
        <v>2.680043334054346E-2</v>
      </c>
      <c r="BW180" s="110">
        <f>$O180*AM180*'Cost inputs'!Q$12/1000000</f>
        <v>2.7726737265123161E-2</v>
      </c>
      <c r="BX180" s="110">
        <f>$O180*AN180*'Cost inputs'!R$12/1000000</f>
        <v>2.8735002196391496E-2</v>
      </c>
      <c r="BY180" s="110">
        <f>$O180*AO180*'Cost inputs'!S$12/1000000</f>
        <v>2.8177132722169748E-2</v>
      </c>
      <c r="BZ180" s="110">
        <f>$O180*AP180*'Cost inputs'!T$12/1000000</f>
        <v>1.3648268347158781E-2</v>
      </c>
      <c r="CA180" s="110">
        <f>$O180*AQ180*'Cost inputs'!U$12/1000000</f>
        <v>1.499498058040713E-2</v>
      </c>
      <c r="CB180" s="110">
        <f>$O180*AR180*'Cost inputs'!V$12/1000000</f>
        <v>5.208804377049403E-3</v>
      </c>
      <c r="CC180" s="110">
        <f>$O180*AS180*'Cost inputs'!W$12/1000000</f>
        <v>0</v>
      </c>
      <c r="CD180" s="110">
        <f>$O180*AT180*'Cost inputs'!X$12/1000000</f>
        <v>0</v>
      </c>
      <c r="CE180" s="110">
        <f>$O180*AU180*'Cost inputs'!Y$12/1000000</f>
        <v>0</v>
      </c>
      <c r="CF180" s="110">
        <f>$O180*AV180*'Cost inputs'!Z$12/1000000</f>
        <v>0</v>
      </c>
      <c r="CG180" s="110">
        <f>$O180*AW180*'Cost inputs'!AA$12/1000000</f>
        <v>0</v>
      </c>
      <c r="CH180" s="110">
        <f>$O180*AX180*'Cost inputs'!AB$12/1000000</f>
        <v>0</v>
      </c>
      <c r="CI180" s="110">
        <f>$O180*AY180*'Cost inputs'!AC$12/1000000</f>
        <v>0</v>
      </c>
      <c r="CJ180" s="110">
        <f>$O180*AZ180*'Cost inputs'!AD$12/1000000</f>
        <v>0</v>
      </c>
      <c r="CK180" s="110">
        <f>$O180*BA180*'Cost inputs'!AE$12/1000000</f>
        <v>0</v>
      </c>
      <c r="CL180" s="110">
        <f>$O180*BB180*'Cost inputs'!AF$12/1000000</f>
        <v>0</v>
      </c>
      <c r="CM180" s="110">
        <f>$O180*BC180*'Cost inputs'!AG$12/1000000</f>
        <v>0</v>
      </c>
      <c r="CN180" s="110">
        <f>$O180*BD180*'Cost inputs'!AH$12/1000000</f>
        <v>0</v>
      </c>
      <c r="CO180" s="110">
        <f>$O180*BE180*'Cost inputs'!AI$12/1000000</f>
        <v>0</v>
      </c>
      <c r="CP180" s="110">
        <f>$O180*BF180*'Cost inputs'!AJ$12/1000000</f>
        <v>0</v>
      </c>
      <c r="CQ180" s="110">
        <f>$O180*BG180*'Cost inputs'!AK$12/1000000</f>
        <v>0</v>
      </c>
      <c r="CR180" s="131">
        <f t="shared" si="362"/>
        <v>0.24886341666219541</v>
      </c>
      <c r="CS180" s="26"/>
    </row>
    <row r="181" spans="1:97" x14ac:dyDescent="0.3">
      <c r="A181" s="104" t="str">
        <f t="shared" ref="A181:N181" si="376">A66</f>
        <v>Opaheke / Drury</v>
      </c>
      <c r="B181" s="104" t="str">
        <f t="shared" si="376"/>
        <v>Drury</v>
      </c>
      <c r="C181" s="104">
        <f t="shared" si="376"/>
        <v>0</v>
      </c>
      <c r="D181" s="104" t="str">
        <f t="shared" si="376"/>
        <v>Auranga Existing Development</v>
      </c>
      <c r="E181" s="142" t="str">
        <f t="shared" si="376"/>
        <v>312 bremner</v>
      </c>
      <c r="F181" s="142">
        <f t="shared" si="376"/>
        <v>0.84225000000000005</v>
      </c>
      <c r="G181" s="145">
        <f t="shared" si="376"/>
        <v>0</v>
      </c>
      <c r="H181" s="145">
        <f t="shared" si="376"/>
        <v>0</v>
      </c>
      <c r="I181" s="145">
        <f t="shared" si="376"/>
        <v>0</v>
      </c>
      <c r="J181" s="142">
        <f t="shared" si="376"/>
        <v>0.84225000000000005</v>
      </c>
      <c r="K181" s="104">
        <f t="shared" si="376"/>
        <v>0</v>
      </c>
      <c r="L181" s="104">
        <f t="shared" si="376"/>
        <v>0</v>
      </c>
      <c r="M181" s="104">
        <f t="shared" si="376"/>
        <v>0</v>
      </c>
      <c r="N181" s="104">
        <f t="shared" si="376"/>
        <v>0</v>
      </c>
      <c r="O181" s="104">
        <f t="shared" si="374"/>
        <v>1</v>
      </c>
      <c r="P181" s="104" cm="1">
        <f t="array" ref="P181">2024+MATCH(1,0/AB181:BG181)</f>
        <v>2026</v>
      </c>
      <c r="Q181" s="104" t="str">
        <f t="shared" si="318"/>
        <v>Auranga Existing Development</v>
      </c>
      <c r="R181" s="142" t="str">
        <f t="shared" si="321"/>
        <v>312 bremner</v>
      </c>
      <c r="S181" s="142"/>
      <c r="T181" s="142"/>
      <c r="U181" s="142"/>
      <c r="V181" s="142"/>
      <c r="W181" s="142"/>
      <c r="X181" s="142"/>
      <c r="Y181" s="142"/>
      <c r="Z181" s="142"/>
      <c r="AA181" s="142"/>
      <c r="AB181" s="149">
        <f>AB66</f>
        <v>0</v>
      </c>
      <c r="AC181" s="149">
        <v>1</v>
      </c>
      <c r="AD181" s="149">
        <f t="shared" ref="AD181:BG181" si="377">AD66</f>
        <v>0</v>
      </c>
      <c r="AE181" s="149">
        <f t="shared" si="377"/>
        <v>0</v>
      </c>
      <c r="AF181" s="149">
        <f t="shared" si="377"/>
        <v>0</v>
      </c>
      <c r="AG181" s="149">
        <f t="shared" si="377"/>
        <v>0</v>
      </c>
      <c r="AH181" s="149">
        <f t="shared" si="377"/>
        <v>0</v>
      </c>
      <c r="AI181" s="149">
        <f t="shared" si="377"/>
        <v>0</v>
      </c>
      <c r="AJ181" s="149">
        <f t="shared" si="377"/>
        <v>0</v>
      </c>
      <c r="AK181" s="149">
        <f t="shared" si="377"/>
        <v>0</v>
      </c>
      <c r="AL181" s="149">
        <f t="shared" si="377"/>
        <v>0</v>
      </c>
      <c r="AM181" s="149">
        <f t="shared" si="377"/>
        <v>0</v>
      </c>
      <c r="AN181" s="149">
        <f t="shared" si="377"/>
        <v>0</v>
      </c>
      <c r="AO181" s="149">
        <f t="shared" si="377"/>
        <v>0</v>
      </c>
      <c r="AP181" s="149">
        <f t="shared" si="377"/>
        <v>0</v>
      </c>
      <c r="AQ181" s="149">
        <f t="shared" si="377"/>
        <v>0</v>
      </c>
      <c r="AR181" s="149">
        <f t="shared" si="377"/>
        <v>0</v>
      </c>
      <c r="AS181" s="149">
        <f t="shared" si="377"/>
        <v>0</v>
      </c>
      <c r="AT181" s="149">
        <f t="shared" si="377"/>
        <v>0</v>
      </c>
      <c r="AU181" s="149">
        <f t="shared" si="377"/>
        <v>0</v>
      </c>
      <c r="AV181" s="149">
        <f t="shared" si="377"/>
        <v>0</v>
      </c>
      <c r="AW181" s="149">
        <f t="shared" si="377"/>
        <v>0</v>
      </c>
      <c r="AX181" s="149">
        <f t="shared" si="377"/>
        <v>0</v>
      </c>
      <c r="AY181" s="149">
        <f t="shared" si="377"/>
        <v>0</v>
      </c>
      <c r="AZ181" s="149">
        <f t="shared" si="377"/>
        <v>0</v>
      </c>
      <c r="BA181" s="149">
        <f t="shared" si="377"/>
        <v>0</v>
      </c>
      <c r="BB181" s="149">
        <f t="shared" si="377"/>
        <v>0</v>
      </c>
      <c r="BC181" s="149">
        <f t="shared" si="377"/>
        <v>0</v>
      </c>
      <c r="BD181" s="149">
        <f t="shared" si="377"/>
        <v>0</v>
      </c>
      <c r="BE181" s="149">
        <f t="shared" si="377"/>
        <v>0</v>
      </c>
      <c r="BF181" s="149">
        <f t="shared" si="377"/>
        <v>0</v>
      </c>
      <c r="BG181" s="149">
        <f t="shared" si="377"/>
        <v>0</v>
      </c>
      <c r="BH181" s="156"/>
      <c r="BI181" s="145"/>
      <c r="BJ181" s="145"/>
      <c r="BK181" s="145"/>
      <c r="BL181" s="154">
        <f>$O181*AB181*'Cost inputs'!F$12/1000000</f>
        <v>0</v>
      </c>
      <c r="BM181" s="154">
        <f>$O181*AC181*'Cost inputs'!G$12/1000000</f>
        <v>3.4725106628099987E-2</v>
      </c>
      <c r="BN181" s="154">
        <f>$O181*AD181*'Cost inputs'!H$12/1000000</f>
        <v>0</v>
      </c>
      <c r="BO181" s="154">
        <f>$O181*AE181*'Cost inputs'!I$12/1000000</f>
        <v>0</v>
      </c>
      <c r="BP181" s="154">
        <f>$O181*AF181*'Cost inputs'!J$12/1000000</f>
        <v>0</v>
      </c>
      <c r="BQ181" s="154">
        <f>$O181*AG181*'Cost inputs'!K$12/1000000</f>
        <v>0</v>
      </c>
      <c r="BR181" s="154">
        <f>$O181*AH181*'Cost inputs'!L$12/1000000</f>
        <v>0</v>
      </c>
      <c r="BS181" s="154">
        <f>$O181*AI181*'Cost inputs'!M$12/1000000</f>
        <v>0</v>
      </c>
      <c r="BT181" s="154">
        <f>$O181*AJ181*'Cost inputs'!N$12/1000000</f>
        <v>0</v>
      </c>
      <c r="BU181" s="154">
        <f>$O181*AK181*'Cost inputs'!O$12/1000000</f>
        <v>0</v>
      </c>
      <c r="BV181" s="154">
        <f>$O181*AL181*'Cost inputs'!P$12/1000000</f>
        <v>0</v>
      </c>
      <c r="BW181" s="154">
        <f>$O181*AM181*'Cost inputs'!Q$12/1000000</f>
        <v>0</v>
      </c>
      <c r="BX181" s="154">
        <f>$O181*AN181*'Cost inputs'!R$12/1000000</f>
        <v>0</v>
      </c>
      <c r="BY181" s="154">
        <f>$O181*AO181*'Cost inputs'!S$12/1000000</f>
        <v>0</v>
      </c>
      <c r="BZ181" s="154">
        <f>$O181*AP181*'Cost inputs'!T$12/1000000</f>
        <v>0</v>
      </c>
      <c r="CA181" s="154">
        <f>$O181*AQ181*'Cost inputs'!U$12/1000000</f>
        <v>0</v>
      </c>
      <c r="CB181" s="154">
        <f>$O181*AR181*'Cost inputs'!V$12/1000000</f>
        <v>0</v>
      </c>
      <c r="CC181" s="154">
        <f>$O181*AS181*'Cost inputs'!W$12/1000000</f>
        <v>0</v>
      </c>
      <c r="CD181" s="154">
        <f>$O181*AT181*'Cost inputs'!X$12/1000000</f>
        <v>0</v>
      </c>
      <c r="CE181" s="154">
        <f>$O181*AU181*'Cost inputs'!Y$12/1000000</f>
        <v>0</v>
      </c>
      <c r="CF181" s="154">
        <f>$O181*AV181*'Cost inputs'!Z$12/1000000</f>
        <v>0</v>
      </c>
      <c r="CG181" s="154">
        <f>$O181*AW181*'Cost inputs'!AA$12/1000000</f>
        <v>0</v>
      </c>
      <c r="CH181" s="154">
        <f>$O181*AX181*'Cost inputs'!AB$12/1000000</f>
        <v>0</v>
      </c>
      <c r="CI181" s="154">
        <f>$O181*AY181*'Cost inputs'!AC$12/1000000</f>
        <v>0</v>
      </c>
      <c r="CJ181" s="154">
        <f>$O181*AZ181*'Cost inputs'!AD$12/1000000</f>
        <v>0</v>
      </c>
      <c r="CK181" s="154">
        <f>$O181*BA181*'Cost inputs'!AE$12/1000000</f>
        <v>0</v>
      </c>
      <c r="CL181" s="154">
        <f>$O181*BB181*'Cost inputs'!AF$12/1000000</f>
        <v>0</v>
      </c>
      <c r="CM181" s="154">
        <f>$O181*BC181*'Cost inputs'!AG$12/1000000</f>
        <v>0</v>
      </c>
      <c r="CN181" s="154">
        <f>$O181*BD181*'Cost inputs'!AH$12/1000000</f>
        <v>0</v>
      </c>
      <c r="CO181" s="154">
        <f>$O181*BE181*'Cost inputs'!AI$12/1000000</f>
        <v>0</v>
      </c>
      <c r="CP181" s="154">
        <f>$O181*BF181*'Cost inputs'!AJ$12/1000000</f>
        <v>0</v>
      </c>
      <c r="CQ181" s="154">
        <f>$O181*BG181*'Cost inputs'!AK$12/1000000</f>
        <v>0</v>
      </c>
      <c r="CR181" s="155">
        <f t="shared" si="362"/>
        <v>3.4725106628099987E-2</v>
      </c>
      <c r="CS181" s="26"/>
    </row>
    <row r="182" spans="1:97" x14ac:dyDescent="0.3">
      <c r="A182" s="104" t="str">
        <f t="shared" ref="A182:N182" si="378">A67</f>
        <v>Opaheke / Drury</v>
      </c>
      <c r="B182" s="104" t="str">
        <f t="shared" si="378"/>
        <v>Drury</v>
      </c>
      <c r="C182" s="104">
        <f t="shared" si="378"/>
        <v>0</v>
      </c>
      <c r="D182" s="104" t="str">
        <f t="shared" si="378"/>
        <v>Auranga Existing Development</v>
      </c>
      <c r="E182" s="142" t="str">
        <f t="shared" si="378"/>
        <v>31 &amp; 37 Burberry</v>
      </c>
      <c r="F182" s="142">
        <f t="shared" si="378"/>
        <v>0.76275000000000004</v>
      </c>
      <c r="G182" s="145">
        <f t="shared" si="378"/>
        <v>0</v>
      </c>
      <c r="H182" s="145">
        <f t="shared" si="378"/>
        <v>0</v>
      </c>
      <c r="I182" s="145">
        <f t="shared" si="378"/>
        <v>0</v>
      </c>
      <c r="J182" s="142">
        <f t="shared" si="378"/>
        <v>0.76275000000000004</v>
      </c>
      <c r="K182" s="104">
        <f t="shared" si="378"/>
        <v>0</v>
      </c>
      <c r="L182" s="104">
        <f t="shared" si="378"/>
        <v>0</v>
      </c>
      <c r="M182" s="104">
        <f t="shared" si="378"/>
        <v>0</v>
      </c>
      <c r="N182" s="104">
        <f t="shared" si="378"/>
        <v>0</v>
      </c>
      <c r="O182" s="104">
        <f t="shared" si="374"/>
        <v>1</v>
      </c>
      <c r="P182" s="104" cm="1">
        <f t="array" ref="P182">2024+MATCH(1,0/AB182:BG182)</f>
        <v>2025</v>
      </c>
      <c r="Q182" s="104" t="str">
        <f t="shared" si="318"/>
        <v>Auranga Existing Development</v>
      </c>
      <c r="R182" s="142" t="str">
        <f t="shared" si="321"/>
        <v>31 &amp; 37 Burberry</v>
      </c>
      <c r="S182" s="142"/>
      <c r="T182" s="142"/>
      <c r="U182" s="142"/>
      <c r="V182" s="142"/>
      <c r="W182" s="142"/>
      <c r="X182" s="142"/>
      <c r="Y182" s="142"/>
      <c r="Z182" s="142"/>
      <c r="AA182" s="142"/>
      <c r="AB182" s="149">
        <v>1</v>
      </c>
      <c r="AC182" s="149">
        <f t="shared" ref="AC182:AC215" si="379">AC67</f>
        <v>0</v>
      </c>
      <c r="AD182" s="149">
        <f t="shared" ref="AD182:BG182" si="380">AD67</f>
        <v>0</v>
      </c>
      <c r="AE182" s="149">
        <f t="shared" si="380"/>
        <v>0</v>
      </c>
      <c r="AF182" s="149">
        <f t="shared" si="380"/>
        <v>0</v>
      </c>
      <c r="AG182" s="149">
        <f t="shared" si="380"/>
        <v>0</v>
      </c>
      <c r="AH182" s="149">
        <f t="shared" si="380"/>
        <v>0</v>
      </c>
      <c r="AI182" s="149">
        <f t="shared" si="380"/>
        <v>0</v>
      </c>
      <c r="AJ182" s="149">
        <f t="shared" si="380"/>
        <v>0</v>
      </c>
      <c r="AK182" s="149">
        <f t="shared" si="380"/>
        <v>0</v>
      </c>
      <c r="AL182" s="149">
        <f t="shared" si="380"/>
        <v>0</v>
      </c>
      <c r="AM182" s="149">
        <f t="shared" si="380"/>
        <v>0</v>
      </c>
      <c r="AN182" s="149">
        <f t="shared" si="380"/>
        <v>0</v>
      </c>
      <c r="AO182" s="149">
        <f t="shared" si="380"/>
        <v>0</v>
      </c>
      <c r="AP182" s="149">
        <f t="shared" si="380"/>
        <v>0</v>
      </c>
      <c r="AQ182" s="149">
        <f t="shared" si="380"/>
        <v>0</v>
      </c>
      <c r="AR182" s="149">
        <f t="shared" si="380"/>
        <v>0</v>
      </c>
      <c r="AS182" s="149">
        <f t="shared" si="380"/>
        <v>0</v>
      </c>
      <c r="AT182" s="149">
        <f t="shared" si="380"/>
        <v>0</v>
      </c>
      <c r="AU182" s="149">
        <f t="shared" si="380"/>
        <v>0</v>
      </c>
      <c r="AV182" s="149">
        <f t="shared" si="380"/>
        <v>0</v>
      </c>
      <c r="AW182" s="149">
        <f t="shared" si="380"/>
        <v>0</v>
      </c>
      <c r="AX182" s="149">
        <f t="shared" si="380"/>
        <v>0</v>
      </c>
      <c r="AY182" s="149">
        <f t="shared" si="380"/>
        <v>0</v>
      </c>
      <c r="AZ182" s="149">
        <f t="shared" si="380"/>
        <v>0</v>
      </c>
      <c r="BA182" s="149">
        <f t="shared" si="380"/>
        <v>0</v>
      </c>
      <c r="BB182" s="149">
        <f t="shared" si="380"/>
        <v>0</v>
      </c>
      <c r="BC182" s="149">
        <f t="shared" si="380"/>
        <v>0</v>
      </c>
      <c r="BD182" s="149">
        <f t="shared" si="380"/>
        <v>0</v>
      </c>
      <c r="BE182" s="149">
        <f t="shared" si="380"/>
        <v>0</v>
      </c>
      <c r="BF182" s="149">
        <f t="shared" si="380"/>
        <v>0</v>
      </c>
      <c r="BG182" s="149">
        <f t="shared" si="380"/>
        <v>0</v>
      </c>
      <c r="BH182" s="156"/>
      <c r="BI182" s="145"/>
      <c r="BJ182" s="145"/>
      <c r="BK182" s="145"/>
      <c r="BL182" s="154">
        <f>$O182*AB182*'Cost inputs'!F$12/1000000</f>
        <v>3.3615785699999991E-2</v>
      </c>
      <c r="BM182" s="154">
        <f>$O182*AC182*'Cost inputs'!G$12/1000000</f>
        <v>0</v>
      </c>
      <c r="BN182" s="154">
        <f>$O182*AD182*'Cost inputs'!H$12/1000000</f>
        <v>0</v>
      </c>
      <c r="BO182" s="154">
        <f>$O182*AE182*'Cost inputs'!I$12/1000000</f>
        <v>0</v>
      </c>
      <c r="BP182" s="154">
        <f>$O182*AF182*'Cost inputs'!J$12/1000000</f>
        <v>0</v>
      </c>
      <c r="BQ182" s="154">
        <f>$O182*AG182*'Cost inputs'!K$12/1000000</f>
        <v>0</v>
      </c>
      <c r="BR182" s="154">
        <f>$O182*AH182*'Cost inputs'!L$12/1000000</f>
        <v>0</v>
      </c>
      <c r="BS182" s="154">
        <f>$O182*AI182*'Cost inputs'!M$12/1000000</f>
        <v>0</v>
      </c>
      <c r="BT182" s="154">
        <f>$O182*AJ182*'Cost inputs'!N$12/1000000</f>
        <v>0</v>
      </c>
      <c r="BU182" s="154">
        <f>$O182*AK182*'Cost inputs'!O$12/1000000</f>
        <v>0</v>
      </c>
      <c r="BV182" s="154">
        <f>$O182*AL182*'Cost inputs'!P$12/1000000</f>
        <v>0</v>
      </c>
      <c r="BW182" s="154">
        <f>$O182*AM182*'Cost inputs'!Q$12/1000000</f>
        <v>0</v>
      </c>
      <c r="BX182" s="154">
        <f>$O182*AN182*'Cost inputs'!R$12/1000000</f>
        <v>0</v>
      </c>
      <c r="BY182" s="154">
        <f>$O182*AO182*'Cost inputs'!S$12/1000000</f>
        <v>0</v>
      </c>
      <c r="BZ182" s="154">
        <f>$O182*AP182*'Cost inputs'!T$12/1000000</f>
        <v>0</v>
      </c>
      <c r="CA182" s="154">
        <f>$O182*AQ182*'Cost inputs'!U$12/1000000</f>
        <v>0</v>
      </c>
      <c r="CB182" s="154">
        <f>$O182*AR182*'Cost inputs'!V$12/1000000</f>
        <v>0</v>
      </c>
      <c r="CC182" s="154">
        <f>$O182*AS182*'Cost inputs'!W$12/1000000</f>
        <v>0</v>
      </c>
      <c r="CD182" s="154">
        <f>$O182*AT182*'Cost inputs'!X$12/1000000</f>
        <v>0</v>
      </c>
      <c r="CE182" s="154">
        <f>$O182*AU182*'Cost inputs'!Y$12/1000000</f>
        <v>0</v>
      </c>
      <c r="CF182" s="154">
        <f>$O182*AV182*'Cost inputs'!Z$12/1000000</f>
        <v>0</v>
      </c>
      <c r="CG182" s="154">
        <f>$O182*AW182*'Cost inputs'!AA$12/1000000</f>
        <v>0</v>
      </c>
      <c r="CH182" s="154">
        <f>$O182*AX182*'Cost inputs'!AB$12/1000000</f>
        <v>0</v>
      </c>
      <c r="CI182" s="154">
        <f>$O182*AY182*'Cost inputs'!AC$12/1000000</f>
        <v>0</v>
      </c>
      <c r="CJ182" s="154">
        <f>$O182*AZ182*'Cost inputs'!AD$12/1000000</f>
        <v>0</v>
      </c>
      <c r="CK182" s="154">
        <f>$O182*BA182*'Cost inputs'!AE$12/1000000</f>
        <v>0</v>
      </c>
      <c r="CL182" s="154">
        <f>$O182*BB182*'Cost inputs'!AF$12/1000000</f>
        <v>0</v>
      </c>
      <c r="CM182" s="154">
        <f>$O182*BC182*'Cost inputs'!AG$12/1000000</f>
        <v>0</v>
      </c>
      <c r="CN182" s="154">
        <f>$O182*BD182*'Cost inputs'!AH$12/1000000</f>
        <v>0</v>
      </c>
      <c r="CO182" s="154">
        <f>$O182*BE182*'Cost inputs'!AI$12/1000000</f>
        <v>0</v>
      </c>
      <c r="CP182" s="154">
        <f>$O182*BF182*'Cost inputs'!AJ$12/1000000</f>
        <v>0</v>
      </c>
      <c r="CQ182" s="154">
        <f>$O182*BG182*'Cost inputs'!AK$12/1000000</f>
        <v>0</v>
      </c>
      <c r="CR182" s="155">
        <f t="shared" si="362"/>
        <v>3.3615785699999991E-2</v>
      </c>
      <c r="CS182" s="26"/>
    </row>
    <row r="183" spans="1:97" x14ac:dyDescent="0.3">
      <c r="A183" s="104" t="str">
        <f t="shared" ref="A183:N183" si="381">A68</f>
        <v>Opaheke / Drury</v>
      </c>
      <c r="B183" s="104" t="str">
        <f t="shared" si="381"/>
        <v>Drury</v>
      </c>
      <c r="C183" s="104">
        <f t="shared" si="381"/>
        <v>0</v>
      </c>
      <c r="D183" s="104" t="str">
        <f t="shared" si="381"/>
        <v>Opaheke (timing indicated as II in 2033)</v>
      </c>
      <c r="E183" s="104">
        <f t="shared" si="381"/>
        <v>0</v>
      </c>
      <c r="F183" s="104">
        <f t="shared" si="381"/>
        <v>5</v>
      </c>
      <c r="G183" s="104">
        <f t="shared" si="381"/>
        <v>0</v>
      </c>
      <c r="H183" s="104">
        <f t="shared" si="381"/>
        <v>0</v>
      </c>
      <c r="I183" s="104">
        <f t="shared" si="381"/>
        <v>0</v>
      </c>
      <c r="J183" s="104">
        <f t="shared" si="381"/>
        <v>5</v>
      </c>
      <c r="K183" s="104">
        <f t="shared" si="381"/>
        <v>0</v>
      </c>
      <c r="L183" s="104">
        <f t="shared" si="381"/>
        <v>0</v>
      </c>
      <c r="M183" s="104">
        <f t="shared" si="381"/>
        <v>0</v>
      </c>
      <c r="N183" s="104">
        <f t="shared" si="381"/>
        <v>0</v>
      </c>
      <c r="O183" s="104">
        <f t="shared" si="374"/>
        <v>5</v>
      </c>
      <c r="P183" s="104" cm="1">
        <f t="array" ref="P183">2024+MATCH(1,0/AB183:BG183)</f>
        <v>2041</v>
      </c>
      <c r="Q183" s="104" t="str">
        <f t="shared" si="318"/>
        <v>Opaheke (timing indicated as II in 2033)</v>
      </c>
      <c r="R183" s="104">
        <f t="shared" si="321"/>
        <v>0</v>
      </c>
      <c r="S183" s="104"/>
      <c r="T183" s="104"/>
      <c r="U183" s="104"/>
      <c r="V183" s="104"/>
      <c r="W183" s="104"/>
      <c r="X183" s="104"/>
      <c r="Y183" s="104"/>
      <c r="Z183" s="104"/>
      <c r="AA183" s="104"/>
      <c r="AB183" s="103">
        <f t="shared" ref="AB183:AB215" si="382">AB68</f>
        <v>0</v>
      </c>
      <c r="AC183" s="103">
        <f t="shared" si="379"/>
        <v>0</v>
      </c>
      <c r="AD183" s="103">
        <f t="shared" ref="AD183:BG183" si="383">AD68</f>
        <v>0</v>
      </c>
      <c r="AE183" s="103">
        <f t="shared" si="383"/>
        <v>0</v>
      </c>
      <c r="AF183" s="103">
        <f t="shared" si="383"/>
        <v>3.0671470308457977E-2</v>
      </c>
      <c r="AG183" s="103">
        <f t="shared" si="383"/>
        <v>7.0574517253221988E-2</v>
      </c>
      <c r="AH183" s="103">
        <f t="shared" si="383"/>
        <v>5.784797696261839E-2</v>
      </c>
      <c r="AI183" s="103">
        <f t="shared" si="383"/>
        <v>6.2267232328672428E-2</v>
      </c>
      <c r="AJ183" s="103">
        <f t="shared" si="383"/>
        <v>4.8241630734504208E-2</v>
      </c>
      <c r="AK183" s="103">
        <f t="shared" si="383"/>
        <v>1.4129803340614668E-2</v>
      </c>
      <c r="AL183" s="103">
        <f t="shared" si="383"/>
        <v>0.10472734996525389</v>
      </c>
      <c r="AM183" s="103">
        <f t="shared" si="383"/>
        <v>0.10601471966704468</v>
      </c>
      <c r="AN183" s="103">
        <f t="shared" si="383"/>
        <v>0.10750477164694536</v>
      </c>
      <c r="AO183" s="103">
        <f t="shared" si="383"/>
        <v>0.10314837920794254</v>
      </c>
      <c r="AP183" s="103">
        <f t="shared" si="383"/>
        <v>4.8886873976350477E-2</v>
      </c>
      <c r="AQ183" s="103">
        <f t="shared" si="383"/>
        <v>5.2554477979523215E-2</v>
      </c>
      <c r="AR183" s="103">
        <f t="shared" si="383"/>
        <v>0.19343079662885021</v>
      </c>
      <c r="AS183" s="103">
        <f t="shared" si="383"/>
        <v>0</v>
      </c>
      <c r="AT183" s="103">
        <f t="shared" si="383"/>
        <v>0</v>
      </c>
      <c r="AU183" s="103">
        <f t="shared" si="383"/>
        <v>0</v>
      </c>
      <c r="AV183" s="103">
        <f t="shared" si="383"/>
        <v>0</v>
      </c>
      <c r="AW183" s="103">
        <f t="shared" si="383"/>
        <v>0</v>
      </c>
      <c r="AX183" s="103">
        <f t="shared" si="383"/>
        <v>0</v>
      </c>
      <c r="AY183" s="103">
        <f t="shared" si="383"/>
        <v>0</v>
      </c>
      <c r="AZ183" s="103">
        <f t="shared" si="383"/>
        <v>0</v>
      </c>
      <c r="BA183" s="103">
        <f t="shared" si="383"/>
        <v>0</v>
      </c>
      <c r="BB183" s="103">
        <f t="shared" si="383"/>
        <v>0</v>
      </c>
      <c r="BC183" s="103">
        <f t="shared" si="383"/>
        <v>0</v>
      </c>
      <c r="BD183" s="103">
        <f t="shared" si="383"/>
        <v>0</v>
      </c>
      <c r="BE183" s="103">
        <f t="shared" si="383"/>
        <v>0</v>
      </c>
      <c r="BF183" s="103">
        <f t="shared" si="383"/>
        <v>0</v>
      </c>
      <c r="BG183" s="103">
        <f t="shared" si="383"/>
        <v>0</v>
      </c>
      <c r="BH183" s="103"/>
      <c r="BI183" s="104"/>
      <c r="BJ183" s="104"/>
      <c r="BK183" s="104"/>
      <c r="BL183" s="110">
        <f>$O183*AB183*'Cost inputs'!F$12/1000000</f>
        <v>0</v>
      </c>
      <c r="BM183" s="110">
        <f>$O183*AC183*'Cost inputs'!G$12/1000000</f>
        <v>0</v>
      </c>
      <c r="BN183" s="110">
        <f>$O183*AD183*'Cost inputs'!H$12/1000000</f>
        <v>0</v>
      </c>
      <c r="BO183" s="110">
        <f>$O183*AE183*'Cost inputs'!I$12/1000000</f>
        <v>0</v>
      </c>
      <c r="BP183" s="110">
        <f>$O183*AF183*'Cost inputs'!J$12/1000000</f>
        <v>5.7402350556859626E-3</v>
      </c>
      <c r="BQ183" s="110">
        <f>$O183*AG183*'Cost inputs'!K$12/1000000</f>
        <v>1.3498760535660978E-2</v>
      </c>
      <c r="BR183" s="110">
        <f>$O183*AH183*'Cost inputs'!L$12/1000000</f>
        <v>1.1307980433988478E-2</v>
      </c>
      <c r="BS183" s="110">
        <f>$O183*AI183*'Cost inputs'!M$12/1000000</f>
        <v>1.2439626220688465E-2</v>
      </c>
      <c r="BT183" s="110">
        <f>$O183*AJ183*'Cost inputs'!N$12/1000000</f>
        <v>9.8496465071372281E-3</v>
      </c>
      <c r="BU183" s="110">
        <f>$O183*AK183*'Cost inputs'!O$12/1000000</f>
        <v>2.948395078140226E-3</v>
      </c>
      <c r="BV183" s="110">
        <f>$O183*AL183*'Cost inputs'!P$12/1000000</f>
        <v>2.2333694450452884E-2</v>
      </c>
      <c r="BW183" s="110">
        <f>$O183*AM183*'Cost inputs'!Q$12/1000000</f>
        <v>2.3105614387602634E-2</v>
      </c>
      <c r="BX183" s="110">
        <f>$O183*AN183*'Cost inputs'!R$12/1000000</f>
        <v>2.3945835163659585E-2</v>
      </c>
      <c r="BY183" s="110">
        <f>$O183*AO183*'Cost inputs'!S$12/1000000</f>
        <v>2.3480943935141451E-2</v>
      </c>
      <c r="BZ183" s="110">
        <f>$O183*AP183*'Cost inputs'!T$12/1000000</f>
        <v>1.1373556955965649E-2</v>
      </c>
      <c r="CA183" s="110">
        <f>$O183*AQ183*'Cost inputs'!U$12/1000000</f>
        <v>1.2495817150339277E-2</v>
      </c>
      <c r="CB183" s="110">
        <f>$O183*AR183*'Cost inputs'!V$12/1000000</f>
        <v>4.7003635654629977E-2</v>
      </c>
      <c r="CC183" s="110">
        <f>$O183*AS183*'Cost inputs'!W$12/1000000</f>
        <v>0</v>
      </c>
      <c r="CD183" s="110">
        <f>$O183*AT183*'Cost inputs'!X$12/1000000</f>
        <v>0</v>
      </c>
      <c r="CE183" s="110">
        <f>$O183*AU183*'Cost inputs'!Y$12/1000000</f>
        <v>0</v>
      </c>
      <c r="CF183" s="110">
        <f>$O183*AV183*'Cost inputs'!Z$12/1000000</f>
        <v>0</v>
      </c>
      <c r="CG183" s="110">
        <f>$O183*AW183*'Cost inputs'!AA$12/1000000</f>
        <v>0</v>
      </c>
      <c r="CH183" s="110">
        <f>$O183*AX183*'Cost inputs'!AB$12/1000000</f>
        <v>0</v>
      </c>
      <c r="CI183" s="110">
        <f>$O183*AY183*'Cost inputs'!AC$12/1000000</f>
        <v>0</v>
      </c>
      <c r="CJ183" s="110">
        <f>$O183*AZ183*'Cost inputs'!AD$12/1000000</f>
        <v>0</v>
      </c>
      <c r="CK183" s="110">
        <f>$O183*BA183*'Cost inputs'!AE$12/1000000</f>
        <v>0</v>
      </c>
      <c r="CL183" s="110">
        <f>$O183*BB183*'Cost inputs'!AF$12/1000000</f>
        <v>0</v>
      </c>
      <c r="CM183" s="110">
        <f>$O183*BC183*'Cost inputs'!AG$12/1000000</f>
        <v>0</v>
      </c>
      <c r="CN183" s="110">
        <f>$O183*BD183*'Cost inputs'!AH$12/1000000</f>
        <v>0</v>
      </c>
      <c r="CO183" s="110">
        <f>$O183*BE183*'Cost inputs'!AI$12/1000000</f>
        <v>0</v>
      </c>
      <c r="CP183" s="110">
        <f>$O183*BF183*'Cost inputs'!AJ$12/1000000</f>
        <v>0</v>
      </c>
      <c r="CQ183" s="110">
        <f>$O183*BG183*'Cost inputs'!AK$12/1000000</f>
        <v>0</v>
      </c>
      <c r="CR183" s="131">
        <f t="shared" si="362"/>
        <v>0.21952374152909279</v>
      </c>
      <c r="CS183" s="26"/>
    </row>
    <row r="184" spans="1:97" x14ac:dyDescent="0.3">
      <c r="A184" s="104" t="str">
        <f t="shared" ref="A184:N184" si="384">A69</f>
        <v>Opaheke / Drury</v>
      </c>
      <c r="B184" s="104" t="str">
        <f t="shared" si="384"/>
        <v>Drury</v>
      </c>
      <c r="C184" s="104">
        <f t="shared" si="384"/>
        <v>0</v>
      </c>
      <c r="D184" s="104" t="str">
        <f t="shared" si="384"/>
        <v>Opaheke (timing indicated as II in 2033)</v>
      </c>
      <c r="E184" s="104" t="str">
        <f t="shared" si="384"/>
        <v>1 SBP was removed in area</v>
      </c>
      <c r="F184" s="104">
        <f t="shared" si="384"/>
        <v>0</v>
      </c>
      <c r="G184" s="104">
        <f t="shared" si="384"/>
        <v>1</v>
      </c>
      <c r="H184" s="104">
        <f t="shared" si="384"/>
        <v>0</v>
      </c>
      <c r="I184" s="104">
        <f t="shared" si="384"/>
        <v>0</v>
      </c>
      <c r="J184" s="104">
        <f t="shared" si="384"/>
        <v>0</v>
      </c>
      <c r="K184" s="104">
        <f t="shared" si="384"/>
        <v>1</v>
      </c>
      <c r="L184" s="104">
        <f t="shared" si="384"/>
        <v>0</v>
      </c>
      <c r="M184" s="104">
        <f t="shared" si="384"/>
        <v>0</v>
      </c>
      <c r="N184" s="104">
        <f t="shared" si="384"/>
        <v>0</v>
      </c>
      <c r="O184" s="104">
        <f t="shared" si="374"/>
        <v>1</v>
      </c>
      <c r="P184" s="104" cm="1">
        <f t="array" ref="P184">2024+MATCH(1,0/AB184:BG184)</f>
        <v>2041</v>
      </c>
      <c r="Q184" s="104" t="str">
        <f t="shared" si="318"/>
        <v>Opaheke (timing indicated as II in 2033)</v>
      </c>
      <c r="R184" s="104" t="str">
        <f t="shared" si="321"/>
        <v>1 SBP was removed in area</v>
      </c>
      <c r="S184" s="104"/>
      <c r="T184" s="104"/>
      <c r="U184" s="104"/>
      <c r="V184" s="104"/>
      <c r="W184" s="104"/>
      <c r="X184" s="104"/>
      <c r="Y184" s="104"/>
      <c r="Z184" s="104"/>
      <c r="AA184" s="104"/>
      <c r="AB184" s="103">
        <f t="shared" si="382"/>
        <v>0</v>
      </c>
      <c r="AC184" s="103">
        <f t="shared" si="379"/>
        <v>3.7144039148275132E-2</v>
      </c>
      <c r="AD184" s="103">
        <f t="shared" ref="AD184:BG184" si="385">AD69</f>
        <v>4.693886925000864E-2</v>
      </c>
      <c r="AE184" s="103">
        <f t="shared" si="385"/>
        <v>1.9207251627271639E-2</v>
      </c>
      <c r="AF184" s="103">
        <f t="shared" si="385"/>
        <v>3.0671470308457977E-2</v>
      </c>
      <c r="AG184" s="103">
        <f t="shared" si="385"/>
        <v>7.0574517253221988E-2</v>
      </c>
      <c r="AH184" s="103">
        <f t="shared" si="385"/>
        <v>5.784797696261839E-2</v>
      </c>
      <c r="AI184" s="103">
        <f t="shared" si="385"/>
        <v>6.2267232328672428E-2</v>
      </c>
      <c r="AJ184" s="103">
        <f t="shared" si="385"/>
        <v>4.8241630734504208E-2</v>
      </c>
      <c r="AK184" s="103">
        <f t="shared" si="385"/>
        <v>1.4129803340614668E-2</v>
      </c>
      <c r="AL184" s="103">
        <f t="shared" si="385"/>
        <v>0.10472734996525389</v>
      </c>
      <c r="AM184" s="103">
        <f t="shared" si="385"/>
        <v>0.10601471966704468</v>
      </c>
      <c r="AN184" s="103">
        <f t="shared" si="385"/>
        <v>0.10750477164694536</v>
      </c>
      <c r="AO184" s="103">
        <f t="shared" si="385"/>
        <v>0.10314837920794254</v>
      </c>
      <c r="AP184" s="103">
        <f t="shared" si="385"/>
        <v>4.8886873976350477E-2</v>
      </c>
      <c r="AQ184" s="103">
        <f t="shared" si="385"/>
        <v>5.2554477979523215E-2</v>
      </c>
      <c r="AR184" s="103">
        <f t="shared" si="385"/>
        <v>9.0140636603294855E-2</v>
      </c>
      <c r="AS184" s="103">
        <f t="shared" si="385"/>
        <v>0</v>
      </c>
      <c r="AT184" s="103">
        <f t="shared" si="385"/>
        <v>0</v>
      </c>
      <c r="AU184" s="103">
        <f t="shared" si="385"/>
        <v>0</v>
      </c>
      <c r="AV184" s="103">
        <f t="shared" si="385"/>
        <v>0</v>
      </c>
      <c r="AW184" s="103">
        <f t="shared" si="385"/>
        <v>0</v>
      </c>
      <c r="AX184" s="103">
        <f t="shared" si="385"/>
        <v>0</v>
      </c>
      <c r="AY184" s="103">
        <f t="shared" si="385"/>
        <v>0</v>
      </c>
      <c r="AZ184" s="103">
        <f t="shared" si="385"/>
        <v>0</v>
      </c>
      <c r="BA184" s="103">
        <f t="shared" si="385"/>
        <v>0</v>
      </c>
      <c r="BB184" s="103">
        <f t="shared" si="385"/>
        <v>0</v>
      </c>
      <c r="BC184" s="103">
        <f t="shared" si="385"/>
        <v>0</v>
      </c>
      <c r="BD184" s="103">
        <f t="shared" si="385"/>
        <v>0</v>
      </c>
      <c r="BE184" s="103">
        <f t="shared" si="385"/>
        <v>0</v>
      </c>
      <c r="BF184" s="103">
        <f t="shared" si="385"/>
        <v>0</v>
      </c>
      <c r="BG184" s="103">
        <f t="shared" si="385"/>
        <v>0</v>
      </c>
      <c r="BH184" s="103"/>
      <c r="BI184" s="104"/>
      <c r="BJ184" s="104"/>
      <c r="BK184" s="104"/>
      <c r="BL184" s="110">
        <f>$O184*AB184*'Cost inputs'!F$12/1000000</f>
        <v>0</v>
      </c>
      <c r="BM184" s="110">
        <f>$O184*AC184*'Cost inputs'!G$12/1000000</f>
        <v>1.2898307200221741E-3</v>
      </c>
      <c r="BN184" s="110">
        <f>$O184*AD184*'Cost inputs'!H$12/1000000</f>
        <v>1.6821158713796818E-3</v>
      </c>
      <c r="BO184" s="110">
        <f>$O184*AE184*'Cost inputs'!I$12/1000000</f>
        <v>7.0345999887039734E-4</v>
      </c>
      <c r="BP184" s="110">
        <f>$O184*AF184*'Cost inputs'!J$12/1000000</f>
        <v>1.1480470111371926E-3</v>
      </c>
      <c r="BQ184" s="110">
        <f>$O184*AG184*'Cost inputs'!K$12/1000000</f>
        <v>2.6997521071321956E-3</v>
      </c>
      <c r="BR184" s="110">
        <f>$O184*AH184*'Cost inputs'!L$12/1000000</f>
        <v>2.2615960867976956E-3</v>
      </c>
      <c r="BS184" s="110">
        <f>$O184*AI184*'Cost inputs'!M$12/1000000</f>
        <v>2.4879252441376929E-3</v>
      </c>
      <c r="BT184" s="110">
        <f>$O184*AJ184*'Cost inputs'!N$12/1000000</f>
        <v>1.9699293014274455E-3</v>
      </c>
      <c r="BU184" s="110">
        <f>$O184*AK184*'Cost inputs'!O$12/1000000</f>
        <v>5.8967901562804515E-4</v>
      </c>
      <c r="BV184" s="110">
        <f>$O184*AL184*'Cost inputs'!P$12/1000000</f>
        <v>4.4667388900905772E-3</v>
      </c>
      <c r="BW184" s="110">
        <f>$O184*AM184*'Cost inputs'!Q$12/1000000</f>
        <v>4.6211228775205259E-3</v>
      </c>
      <c r="BX184" s="110">
        <f>$O184*AN184*'Cost inputs'!R$12/1000000</f>
        <v>4.7891670327319166E-3</v>
      </c>
      <c r="BY184" s="110">
        <f>$O184*AO184*'Cost inputs'!S$12/1000000</f>
        <v>4.6961887870282911E-3</v>
      </c>
      <c r="BZ184" s="110">
        <f>$O184*AP184*'Cost inputs'!T$12/1000000</f>
        <v>2.27471139119313E-3</v>
      </c>
      <c r="CA184" s="110">
        <f>$O184*AQ184*'Cost inputs'!U$12/1000000</f>
        <v>2.499163430067855E-3</v>
      </c>
      <c r="CB184" s="110">
        <f>$O184*AR184*'Cost inputs'!V$12/1000000</f>
        <v>4.3808304721066685E-3</v>
      </c>
      <c r="CC184" s="110">
        <f>$O184*AS184*'Cost inputs'!W$12/1000000</f>
        <v>0</v>
      </c>
      <c r="CD184" s="110">
        <f>$O184*AT184*'Cost inputs'!X$12/1000000</f>
        <v>0</v>
      </c>
      <c r="CE184" s="110">
        <f>$O184*AU184*'Cost inputs'!Y$12/1000000</f>
        <v>0</v>
      </c>
      <c r="CF184" s="110">
        <f>$O184*AV184*'Cost inputs'!Z$12/1000000</f>
        <v>0</v>
      </c>
      <c r="CG184" s="110">
        <f>$O184*AW184*'Cost inputs'!AA$12/1000000</f>
        <v>0</v>
      </c>
      <c r="CH184" s="110">
        <f>$O184*AX184*'Cost inputs'!AB$12/1000000</f>
        <v>0</v>
      </c>
      <c r="CI184" s="110">
        <f>$O184*AY184*'Cost inputs'!AC$12/1000000</f>
        <v>0</v>
      </c>
      <c r="CJ184" s="110">
        <f>$O184*AZ184*'Cost inputs'!AD$12/1000000</f>
        <v>0</v>
      </c>
      <c r="CK184" s="110">
        <f>$O184*BA184*'Cost inputs'!AE$12/1000000</f>
        <v>0</v>
      </c>
      <c r="CL184" s="110">
        <f>$O184*BB184*'Cost inputs'!AF$12/1000000</f>
        <v>0</v>
      </c>
      <c r="CM184" s="110">
        <f>$O184*BC184*'Cost inputs'!AG$12/1000000</f>
        <v>0</v>
      </c>
      <c r="CN184" s="110">
        <f>$O184*BD184*'Cost inputs'!AH$12/1000000</f>
        <v>0</v>
      </c>
      <c r="CO184" s="110">
        <f>$O184*BE184*'Cost inputs'!AI$12/1000000</f>
        <v>0</v>
      </c>
      <c r="CP184" s="110">
        <f>$O184*BF184*'Cost inputs'!AJ$12/1000000</f>
        <v>0</v>
      </c>
      <c r="CQ184" s="110">
        <f>$O184*BG184*'Cost inputs'!AK$12/1000000</f>
        <v>0</v>
      </c>
      <c r="CR184" s="131">
        <f t="shared" si="362"/>
        <v>4.2560258237271491E-2</v>
      </c>
      <c r="CS184" s="26"/>
    </row>
    <row r="185" spans="1:97" x14ac:dyDescent="0.3">
      <c r="A185" s="104" t="str">
        <f t="shared" ref="A185:N185" si="386">A70</f>
        <v>Opaheke / Drury</v>
      </c>
      <c r="B185" s="104" t="str">
        <f t="shared" si="386"/>
        <v>Drury</v>
      </c>
      <c r="C185" s="104">
        <f t="shared" si="386"/>
        <v>0</v>
      </c>
      <c r="D185" s="104" t="str">
        <f t="shared" si="386"/>
        <v>Drury East PC area</v>
      </c>
      <c r="E185" s="104">
        <f t="shared" si="386"/>
        <v>0</v>
      </c>
      <c r="F185" s="104">
        <f t="shared" si="386"/>
        <v>7</v>
      </c>
      <c r="G185" s="104">
        <f t="shared" si="386"/>
        <v>0</v>
      </c>
      <c r="H185" s="104">
        <f t="shared" si="386"/>
        <v>0</v>
      </c>
      <c r="I185" s="104">
        <f t="shared" si="386"/>
        <v>0</v>
      </c>
      <c r="J185" s="104">
        <f t="shared" si="386"/>
        <v>7</v>
      </c>
      <c r="K185" s="104">
        <f t="shared" si="386"/>
        <v>0</v>
      </c>
      <c r="L185" s="104">
        <f t="shared" si="386"/>
        <v>0</v>
      </c>
      <c r="M185" s="104">
        <f t="shared" si="386"/>
        <v>0</v>
      </c>
      <c r="N185" s="104">
        <f t="shared" si="386"/>
        <v>0</v>
      </c>
      <c r="O185" s="104">
        <f t="shared" si="374"/>
        <v>7</v>
      </c>
      <c r="P185" s="104" cm="1">
        <f t="array" ref="P185">2024+MATCH(1,0/AB185:BG185)</f>
        <v>2041</v>
      </c>
      <c r="Q185" s="104" t="str">
        <f t="shared" si="318"/>
        <v>Drury East PC area</v>
      </c>
      <c r="R185" s="104">
        <f t="shared" si="321"/>
        <v>0</v>
      </c>
      <c r="S185" s="104"/>
      <c r="T185" s="104"/>
      <c r="U185" s="104"/>
      <c r="V185" s="104"/>
      <c r="W185" s="104"/>
      <c r="X185" s="104"/>
      <c r="Y185" s="104"/>
      <c r="Z185" s="104"/>
      <c r="AA185" s="104"/>
      <c r="AB185" s="103">
        <f t="shared" si="382"/>
        <v>7.2277777590649045E-2</v>
      </c>
      <c r="AC185" s="103">
        <f t="shared" si="379"/>
        <v>3.7144039148275132E-2</v>
      </c>
      <c r="AD185" s="103">
        <f t="shared" ref="AD185:BG185" si="387">AD70</f>
        <v>4.693886925000864E-2</v>
      </c>
      <c r="AE185" s="103">
        <f t="shared" si="387"/>
        <v>1.9207251627271639E-2</v>
      </c>
      <c r="AF185" s="103">
        <f t="shared" si="387"/>
        <v>3.0671470308457977E-2</v>
      </c>
      <c r="AG185" s="103">
        <f t="shared" si="387"/>
        <v>7.0574517253221988E-2</v>
      </c>
      <c r="AH185" s="103">
        <f t="shared" si="387"/>
        <v>5.784797696261839E-2</v>
      </c>
      <c r="AI185" s="103">
        <f t="shared" si="387"/>
        <v>6.2267232328672428E-2</v>
      </c>
      <c r="AJ185" s="103">
        <f t="shared" si="387"/>
        <v>4.8241630734504208E-2</v>
      </c>
      <c r="AK185" s="103">
        <f t="shared" si="387"/>
        <v>1.4129803340614668E-2</v>
      </c>
      <c r="AL185" s="103">
        <f t="shared" si="387"/>
        <v>0.10472734996525389</v>
      </c>
      <c r="AM185" s="103">
        <f t="shared" si="387"/>
        <v>0.10601471966704468</v>
      </c>
      <c r="AN185" s="103">
        <f t="shared" si="387"/>
        <v>0.10750477164694536</v>
      </c>
      <c r="AO185" s="103">
        <f t="shared" si="387"/>
        <v>0.10314837920794254</v>
      </c>
      <c r="AP185" s="103">
        <f t="shared" si="387"/>
        <v>4.8886873976350477E-2</v>
      </c>
      <c r="AQ185" s="103">
        <f t="shared" si="387"/>
        <v>5.2554477979523215E-2</v>
      </c>
      <c r="AR185" s="103">
        <f t="shared" si="387"/>
        <v>1.7862859012645727E-2</v>
      </c>
      <c r="AS185" s="103">
        <f t="shared" si="387"/>
        <v>0</v>
      </c>
      <c r="AT185" s="103">
        <f t="shared" si="387"/>
        <v>0</v>
      </c>
      <c r="AU185" s="103">
        <f t="shared" si="387"/>
        <v>0</v>
      </c>
      <c r="AV185" s="103">
        <f t="shared" si="387"/>
        <v>0</v>
      </c>
      <c r="AW185" s="103">
        <f t="shared" si="387"/>
        <v>0</v>
      </c>
      <c r="AX185" s="103">
        <f t="shared" si="387"/>
        <v>0</v>
      </c>
      <c r="AY185" s="103">
        <f t="shared" si="387"/>
        <v>0</v>
      </c>
      <c r="AZ185" s="103">
        <f t="shared" si="387"/>
        <v>0</v>
      </c>
      <c r="BA185" s="103">
        <f t="shared" si="387"/>
        <v>0</v>
      </c>
      <c r="BB185" s="103">
        <f t="shared" si="387"/>
        <v>0</v>
      </c>
      <c r="BC185" s="103">
        <f t="shared" si="387"/>
        <v>0</v>
      </c>
      <c r="BD185" s="103">
        <f t="shared" si="387"/>
        <v>0</v>
      </c>
      <c r="BE185" s="103">
        <f t="shared" si="387"/>
        <v>0</v>
      </c>
      <c r="BF185" s="103">
        <f t="shared" si="387"/>
        <v>0</v>
      </c>
      <c r="BG185" s="103">
        <f t="shared" si="387"/>
        <v>0</v>
      </c>
      <c r="BH185" s="103"/>
      <c r="BI185" s="104"/>
      <c r="BJ185" s="104"/>
      <c r="BK185" s="104"/>
      <c r="BL185" s="110">
        <f>$O185*AB185*'Cost inputs'!F$12/1000000</f>
        <v>1.7007719976516639E-2</v>
      </c>
      <c r="BM185" s="110">
        <f>$O185*AC185*'Cost inputs'!G$12/1000000</f>
        <v>9.0288150401552185E-3</v>
      </c>
      <c r="BN185" s="110">
        <f>$O185*AD185*'Cost inputs'!H$12/1000000</f>
        <v>1.1774811099657773E-2</v>
      </c>
      <c r="BO185" s="110">
        <f>$O185*AE185*'Cost inputs'!I$12/1000000</f>
        <v>4.9242199920927826E-3</v>
      </c>
      <c r="BP185" s="110">
        <f>$O185*AF185*'Cost inputs'!J$12/1000000</f>
        <v>8.0363290779603483E-3</v>
      </c>
      <c r="BQ185" s="110">
        <f>$O185*AG185*'Cost inputs'!K$12/1000000</f>
        <v>1.889826474992537E-2</v>
      </c>
      <c r="BR185" s="110">
        <f>$O185*AH185*'Cost inputs'!L$12/1000000</f>
        <v>1.583117260758387E-2</v>
      </c>
      <c r="BS185" s="110">
        <f>$O185*AI185*'Cost inputs'!M$12/1000000</f>
        <v>1.7415476708963849E-2</v>
      </c>
      <c r="BT185" s="110">
        <f>$O185*AJ185*'Cost inputs'!N$12/1000000</f>
        <v>1.3789505109992118E-2</v>
      </c>
      <c r="BU185" s="110">
        <f>$O185*AK185*'Cost inputs'!O$12/1000000</f>
        <v>4.1277531093963163E-3</v>
      </c>
      <c r="BV185" s="110">
        <f>$O185*AL185*'Cost inputs'!P$12/1000000</f>
        <v>3.1267172230634036E-2</v>
      </c>
      <c r="BW185" s="110">
        <f>$O185*AM185*'Cost inputs'!Q$12/1000000</f>
        <v>3.2347860142643688E-2</v>
      </c>
      <c r="BX185" s="110">
        <f>$O185*AN185*'Cost inputs'!R$12/1000000</f>
        <v>3.3524169229123414E-2</v>
      </c>
      <c r="BY185" s="110">
        <f>$O185*AO185*'Cost inputs'!S$12/1000000</f>
        <v>3.2873321509198028E-2</v>
      </c>
      <c r="BZ185" s="110">
        <f>$O185*AP185*'Cost inputs'!T$12/1000000</f>
        <v>1.5922979738351908E-2</v>
      </c>
      <c r="CA185" s="110">
        <f>$O185*AQ185*'Cost inputs'!U$12/1000000</f>
        <v>1.7494144010474985E-2</v>
      </c>
      <c r="CB185" s="110">
        <f>$O185*AR185*'Cost inputs'!V$12/1000000</f>
        <v>6.0769384398909696E-3</v>
      </c>
      <c r="CC185" s="110">
        <f>$O185*AS185*'Cost inputs'!W$12/1000000</f>
        <v>0</v>
      </c>
      <c r="CD185" s="110">
        <f>$O185*AT185*'Cost inputs'!X$12/1000000</f>
        <v>0</v>
      </c>
      <c r="CE185" s="110">
        <f>$O185*AU185*'Cost inputs'!Y$12/1000000</f>
        <v>0</v>
      </c>
      <c r="CF185" s="110">
        <f>$O185*AV185*'Cost inputs'!Z$12/1000000</f>
        <v>0</v>
      </c>
      <c r="CG185" s="110">
        <f>$O185*AW185*'Cost inputs'!AA$12/1000000</f>
        <v>0</v>
      </c>
      <c r="CH185" s="110">
        <f>$O185*AX185*'Cost inputs'!AB$12/1000000</f>
        <v>0</v>
      </c>
      <c r="CI185" s="110">
        <f>$O185*AY185*'Cost inputs'!AC$12/1000000</f>
        <v>0</v>
      </c>
      <c r="CJ185" s="110">
        <f>$O185*AZ185*'Cost inputs'!AD$12/1000000</f>
        <v>0</v>
      </c>
      <c r="CK185" s="110">
        <f>$O185*BA185*'Cost inputs'!AE$12/1000000</f>
        <v>0</v>
      </c>
      <c r="CL185" s="110">
        <f>$O185*BB185*'Cost inputs'!AF$12/1000000</f>
        <v>0</v>
      </c>
      <c r="CM185" s="110">
        <f>$O185*BC185*'Cost inputs'!AG$12/1000000</f>
        <v>0</v>
      </c>
      <c r="CN185" s="110">
        <f>$O185*BD185*'Cost inputs'!AH$12/1000000</f>
        <v>0</v>
      </c>
      <c r="CO185" s="110">
        <f>$O185*BE185*'Cost inputs'!AI$12/1000000</f>
        <v>0</v>
      </c>
      <c r="CP185" s="110">
        <f>$O185*BF185*'Cost inputs'!AJ$12/1000000</f>
        <v>0</v>
      </c>
      <c r="CQ185" s="110">
        <f>$O185*BG185*'Cost inputs'!AK$12/1000000</f>
        <v>0</v>
      </c>
      <c r="CR185" s="131">
        <f t="shared" si="362"/>
        <v>0.29034065277256127</v>
      </c>
      <c r="CS185" s="26"/>
    </row>
    <row r="186" spans="1:97" x14ac:dyDescent="0.3">
      <c r="A186" s="104" t="str">
        <f t="shared" ref="A186:N186" si="388">A71</f>
        <v>Opaheke / Drury</v>
      </c>
      <c r="B186" s="104" t="str">
        <f t="shared" si="388"/>
        <v>Drury</v>
      </c>
      <c r="C186" s="104">
        <f t="shared" si="388"/>
        <v>0</v>
      </c>
      <c r="D186" s="104" t="str">
        <f t="shared" si="388"/>
        <v>Drury East PC area</v>
      </c>
      <c r="E186" s="104">
        <f t="shared" si="388"/>
        <v>0</v>
      </c>
      <c r="F186" s="104">
        <f t="shared" si="388"/>
        <v>0</v>
      </c>
      <c r="G186" s="104">
        <f t="shared" si="388"/>
        <v>1</v>
      </c>
      <c r="H186" s="104">
        <f t="shared" si="388"/>
        <v>0</v>
      </c>
      <c r="I186" s="104">
        <f t="shared" si="388"/>
        <v>0</v>
      </c>
      <c r="J186" s="104">
        <f t="shared" si="388"/>
        <v>0</v>
      </c>
      <c r="K186" s="104">
        <f t="shared" si="388"/>
        <v>1</v>
      </c>
      <c r="L186" s="104">
        <f t="shared" si="388"/>
        <v>0</v>
      </c>
      <c r="M186" s="104">
        <f t="shared" si="388"/>
        <v>0</v>
      </c>
      <c r="N186" s="104">
        <f t="shared" si="388"/>
        <v>0</v>
      </c>
      <c r="O186" s="104">
        <f t="shared" si="374"/>
        <v>1</v>
      </c>
      <c r="P186" s="104" cm="1">
        <f t="array" ref="P186">2024+MATCH(1,0/AB186:BG186)</f>
        <v>2041</v>
      </c>
      <c r="Q186" s="104" t="str">
        <f t="shared" si="318"/>
        <v>Drury East PC area</v>
      </c>
      <c r="R186" s="104">
        <f t="shared" si="321"/>
        <v>0</v>
      </c>
      <c r="S186" s="104"/>
      <c r="T186" s="104"/>
      <c r="U186" s="104"/>
      <c r="V186" s="104"/>
      <c r="W186" s="104"/>
      <c r="X186" s="104"/>
      <c r="Y186" s="104"/>
      <c r="Z186" s="104"/>
      <c r="AA186" s="104"/>
      <c r="AB186" s="103">
        <f t="shared" si="382"/>
        <v>7.2277777590649045E-2</v>
      </c>
      <c r="AC186" s="103">
        <f t="shared" si="379"/>
        <v>3.7144039148275132E-2</v>
      </c>
      <c r="AD186" s="103">
        <f t="shared" ref="AD186:BG186" si="389">AD71</f>
        <v>4.693886925000864E-2</v>
      </c>
      <c r="AE186" s="103">
        <f t="shared" si="389"/>
        <v>1.9207251627271639E-2</v>
      </c>
      <c r="AF186" s="103">
        <f t="shared" si="389"/>
        <v>3.0671470308457977E-2</v>
      </c>
      <c r="AG186" s="103">
        <f t="shared" si="389"/>
        <v>7.0574517253221988E-2</v>
      </c>
      <c r="AH186" s="103">
        <f t="shared" si="389"/>
        <v>5.784797696261839E-2</v>
      </c>
      <c r="AI186" s="103">
        <f t="shared" si="389"/>
        <v>6.2267232328672428E-2</v>
      </c>
      <c r="AJ186" s="103">
        <f t="shared" si="389"/>
        <v>4.8241630734504208E-2</v>
      </c>
      <c r="AK186" s="103">
        <f t="shared" si="389"/>
        <v>1.4129803340614668E-2</v>
      </c>
      <c r="AL186" s="103">
        <f t="shared" si="389"/>
        <v>0.10472734996525389</v>
      </c>
      <c r="AM186" s="103">
        <f t="shared" si="389"/>
        <v>0.10601471966704468</v>
      </c>
      <c r="AN186" s="103">
        <f t="shared" si="389"/>
        <v>0.10750477164694536</v>
      </c>
      <c r="AO186" s="103">
        <f t="shared" si="389"/>
        <v>0.10314837920794254</v>
      </c>
      <c r="AP186" s="103">
        <f t="shared" si="389"/>
        <v>4.8886873976350477E-2</v>
      </c>
      <c r="AQ186" s="103">
        <f t="shared" si="389"/>
        <v>5.2554477979523215E-2</v>
      </c>
      <c r="AR186" s="103">
        <f t="shared" si="389"/>
        <v>1.7862859012645727E-2</v>
      </c>
      <c r="AS186" s="103">
        <f t="shared" si="389"/>
        <v>0</v>
      </c>
      <c r="AT186" s="103">
        <f t="shared" si="389"/>
        <v>0</v>
      </c>
      <c r="AU186" s="103">
        <f t="shared" si="389"/>
        <v>0</v>
      </c>
      <c r="AV186" s="103">
        <f t="shared" si="389"/>
        <v>0</v>
      </c>
      <c r="AW186" s="103">
        <f t="shared" si="389"/>
        <v>0</v>
      </c>
      <c r="AX186" s="103">
        <f t="shared" si="389"/>
        <v>0</v>
      </c>
      <c r="AY186" s="103">
        <f t="shared" si="389"/>
        <v>0</v>
      </c>
      <c r="AZ186" s="103">
        <f t="shared" si="389"/>
        <v>0</v>
      </c>
      <c r="BA186" s="103">
        <f t="shared" si="389"/>
        <v>0</v>
      </c>
      <c r="BB186" s="103">
        <f t="shared" si="389"/>
        <v>0</v>
      </c>
      <c r="BC186" s="103">
        <f t="shared" si="389"/>
        <v>0</v>
      </c>
      <c r="BD186" s="103">
        <f t="shared" si="389"/>
        <v>0</v>
      </c>
      <c r="BE186" s="103">
        <f t="shared" si="389"/>
        <v>0</v>
      </c>
      <c r="BF186" s="103">
        <f t="shared" si="389"/>
        <v>0</v>
      </c>
      <c r="BG186" s="103">
        <f t="shared" si="389"/>
        <v>0</v>
      </c>
      <c r="BH186" s="103"/>
      <c r="BI186" s="104"/>
      <c r="BJ186" s="104"/>
      <c r="BK186" s="104"/>
      <c r="BL186" s="110">
        <f>$O186*AB186*'Cost inputs'!F$12/1000000</f>
        <v>2.42967428235952E-3</v>
      </c>
      <c r="BM186" s="110">
        <f>$O186*AC186*'Cost inputs'!G$12/1000000</f>
        <v>1.2898307200221741E-3</v>
      </c>
      <c r="BN186" s="110">
        <f>$O186*AD186*'Cost inputs'!H$12/1000000</f>
        <v>1.6821158713796818E-3</v>
      </c>
      <c r="BO186" s="110">
        <f>$O186*AE186*'Cost inputs'!I$12/1000000</f>
        <v>7.0345999887039734E-4</v>
      </c>
      <c r="BP186" s="110">
        <f>$O186*AF186*'Cost inputs'!J$12/1000000</f>
        <v>1.1480470111371926E-3</v>
      </c>
      <c r="BQ186" s="110">
        <f>$O186*AG186*'Cost inputs'!K$12/1000000</f>
        <v>2.6997521071321956E-3</v>
      </c>
      <c r="BR186" s="110">
        <f>$O186*AH186*'Cost inputs'!L$12/1000000</f>
        <v>2.2615960867976956E-3</v>
      </c>
      <c r="BS186" s="110">
        <f>$O186*AI186*'Cost inputs'!M$12/1000000</f>
        <v>2.4879252441376929E-3</v>
      </c>
      <c r="BT186" s="110">
        <f>$O186*AJ186*'Cost inputs'!N$12/1000000</f>
        <v>1.9699293014274455E-3</v>
      </c>
      <c r="BU186" s="110">
        <f>$O186*AK186*'Cost inputs'!O$12/1000000</f>
        <v>5.8967901562804515E-4</v>
      </c>
      <c r="BV186" s="110">
        <f>$O186*AL186*'Cost inputs'!P$12/1000000</f>
        <v>4.4667388900905772E-3</v>
      </c>
      <c r="BW186" s="110">
        <f>$O186*AM186*'Cost inputs'!Q$12/1000000</f>
        <v>4.6211228775205259E-3</v>
      </c>
      <c r="BX186" s="110">
        <f>$O186*AN186*'Cost inputs'!R$12/1000000</f>
        <v>4.7891670327319166E-3</v>
      </c>
      <c r="BY186" s="110">
        <f>$O186*AO186*'Cost inputs'!S$12/1000000</f>
        <v>4.6961887870282911E-3</v>
      </c>
      <c r="BZ186" s="110">
        <f>$O186*AP186*'Cost inputs'!T$12/1000000</f>
        <v>2.27471139119313E-3</v>
      </c>
      <c r="CA186" s="110">
        <f>$O186*AQ186*'Cost inputs'!U$12/1000000</f>
        <v>2.499163430067855E-3</v>
      </c>
      <c r="CB186" s="110">
        <f>$O186*AR186*'Cost inputs'!V$12/1000000</f>
        <v>8.6813406284156713E-4</v>
      </c>
      <c r="CC186" s="110">
        <f>$O186*AS186*'Cost inputs'!W$12/1000000</f>
        <v>0</v>
      </c>
      <c r="CD186" s="110">
        <f>$O186*AT186*'Cost inputs'!X$12/1000000</f>
        <v>0</v>
      </c>
      <c r="CE186" s="110">
        <f>$O186*AU186*'Cost inputs'!Y$12/1000000</f>
        <v>0</v>
      </c>
      <c r="CF186" s="110">
        <f>$O186*AV186*'Cost inputs'!Z$12/1000000</f>
        <v>0</v>
      </c>
      <c r="CG186" s="110">
        <f>$O186*AW186*'Cost inputs'!AA$12/1000000</f>
        <v>0</v>
      </c>
      <c r="CH186" s="110">
        <f>$O186*AX186*'Cost inputs'!AB$12/1000000</f>
        <v>0</v>
      </c>
      <c r="CI186" s="110">
        <f>$O186*AY186*'Cost inputs'!AC$12/1000000</f>
        <v>0</v>
      </c>
      <c r="CJ186" s="110">
        <f>$O186*AZ186*'Cost inputs'!AD$12/1000000</f>
        <v>0</v>
      </c>
      <c r="CK186" s="110">
        <f>$O186*BA186*'Cost inputs'!AE$12/1000000</f>
        <v>0</v>
      </c>
      <c r="CL186" s="110">
        <f>$O186*BB186*'Cost inputs'!AF$12/1000000</f>
        <v>0</v>
      </c>
      <c r="CM186" s="110">
        <f>$O186*BC186*'Cost inputs'!AG$12/1000000</f>
        <v>0</v>
      </c>
      <c r="CN186" s="110">
        <f>$O186*BD186*'Cost inputs'!AH$12/1000000</f>
        <v>0</v>
      </c>
      <c r="CO186" s="110">
        <f>$O186*BE186*'Cost inputs'!AI$12/1000000</f>
        <v>0</v>
      </c>
      <c r="CP186" s="110">
        <f>$O186*BF186*'Cost inputs'!AJ$12/1000000</f>
        <v>0</v>
      </c>
      <c r="CQ186" s="110">
        <f>$O186*BG186*'Cost inputs'!AK$12/1000000</f>
        <v>0</v>
      </c>
      <c r="CR186" s="131">
        <f t="shared" si="362"/>
        <v>4.1477236110365912E-2</v>
      </c>
      <c r="CS186" s="26"/>
    </row>
    <row r="187" spans="1:97" x14ac:dyDescent="0.3">
      <c r="A187" s="104" t="str">
        <f t="shared" ref="A187:N187" si="390">A72</f>
        <v>Opaheke / Drury</v>
      </c>
      <c r="B187" s="104" t="str">
        <f t="shared" si="390"/>
        <v>Drury</v>
      </c>
      <c r="C187" s="104">
        <f t="shared" si="390"/>
        <v>0</v>
      </c>
      <c r="D187" s="104" t="str">
        <f t="shared" si="390"/>
        <v>Drury East PC area</v>
      </c>
      <c r="E187" s="104">
        <f t="shared" si="390"/>
        <v>0</v>
      </c>
      <c r="F187" s="104">
        <f t="shared" si="390"/>
        <v>0</v>
      </c>
      <c r="G187" s="104">
        <f t="shared" si="390"/>
        <v>0</v>
      </c>
      <c r="H187" s="104">
        <f t="shared" si="390"/>
        <v>0</v>
      </c>
      <c r="I187" s="104">
        <f t="shared" si="390"/>
        <v>1</v>
      </c>
      <c r="J187" s="104">
        <f t="shared" si="390"/>
        <v>0</v>
      </c>
      <c r="K187" s="104">
        <f t="shared" si="390"/>
        <v>0</v>
      </c>
      <c r="L187" s="104">
        <f t="shared" si="390"/>
        <v>0</v>
      </c>
      <c r="M187" s="104">
        <f t="shared" si="390"/>
        <v>1</v>
      </c>
      <c r="N187" s="104">
        <f t="shared" si="390"/>
        <v>0</v>
      </c>
      <c r="O187" s="104">
        <f t="shared" si="374"/>
        <v>1</v>
      </c>
      <c r="P187" s="104" cm="1">
        <f t="array" ref="P187">2024+MATCH(1,0/AB187:BG187)</f>
        <v>2039</v>
      </c>
      <c r="Q187" s="104" t="str">
        <f t="shared" si="318"/>
        <v>Drury East PC area</v>
      </c>
      <c r="R187" s="104">
        <f t="shared" si="321"/>
        <v>0</v>
      </c>
      <c r="S187" s="104"/>
      <c r="T187" s="104"/>
      <c r="U187" s="104"/>
      <c r="V187" s="104"/>
      <c r="W187" s="104"/>
      <c r="X187" s="104"/>
      <c r="Y187" s="104"/>
      <c r="Z187" s="104"/>
      <c r="AA187" s="104"/>
      <c r="AB187" s="103">
        <f t="shared" si="382"/>
        <v>0</v>
      </c>
      <c r="AC187" s="103">
        <f t="shared" si="379"/>
        <v>0</v>
      </c>
      <c r="AD187" s="103">
        <f t="shared" ref="AD187:BG187" si="391">AD72</f>
        <v>0</v>
      </c>
      <c r="AE187" s="103">
        <f t="shared" si="391"/>
        <v>0</v>
      </c>
      <c r="AF187" s="103">
        <f t="shared" si="391"/>
        <v>0</v>
      </c>
      <c r="AG187" s="103">
        <f t="shared" si="391"/>
        <v>0</v>
      </c>
      <c r="AH187" s="103">
        <f t="shared" si="391"/>
        <v>0</v>
      </c>
      <c r="AI187" s="103">
        <f t="shared" si="391"/>
        <v>0.125</v>
      </c>
      <c r="AJ187" s="103">
        <f t="shared" si="391"/>
        <v>0.125</v>
      </c>
      <c r="AK187" s="103">
        <f t="shared" si="391"/>
        <v>0.125</v>
      </c>
      <c r="AL187" s="103">
        <f t="shared" si="391"/>
        <v>0.125</v>
      </c>
      <c r="AM187" s="103">
        <f t="shared" si="391"/>
        <v>0.125</v>
      </c>
      <c r="AN187" s="103">
        <f t="shared" si="391"/>
        <v>0.125</v>
      </c>
      <c r="AO187" s="103">
        <f t="shared" si="391"/>
        <v>0.125</v>
      </c>
      <c r="AP187" s="103">
        <f t="shared" si="391"/>
        <v>0.125</v>
      </c>
      <c r="AQ187" s="103">
        <f t="shared" si="391"/>
        <v>0</v>
      </c>
      <c r="AR187" s="103">
        <f t="shared" si="391"/>
        <v>0</v>
      </c>
      <c r="AS187" s="103">
        <f t="shared" si="391"/>
        <v>0</v>
      </c>
      <c r="AT187" s="103">
        <f t="shared" si="391"/>
        <v>0</v>
      </c>
      <c r="AU187" s="103">
        <f t="shared" si="391"/>
        <v>0</v>
      </c>
      <c r="AV187" s="103">
        <f t="shared" si="391"/>
        <v>0</v>
      </c>
      <c r="AW187" s="103">
        <f t="shared" si="391"/>
        <v>0</v>
      </c>
      <c r="AX187" s="103">
        <f t="shared" si="391"/>
        <v>0</v>
      </c>
      <c r="AY187" s="103">
        <f t="shared" si="391"/>
        <v>0</v>
      </c>
      <c r="AZ187" s="103">
        <f t="shared" si="391"/>
        <v>0</v>
      </c>
      <c r="BA187" s="103">
        <f t="shared" si="391"/>
        <v>0</v>
      </c>
      <c r="BB187" s="103">
        <f t="shared" si="391"/>
        <v>0</v>
      </c>
      <c r="BC187" s="103">
        <f t="shared" si="391"/>
        <v>0</v>
      </c>
      <c r="BD187" s="103">
        <f t="shared" si="391"/>
        <v>0</v>
      </c>
      <c r="BE187" s="103">
        <f t="shared" si="391"/>
        <v>0</v>
      </c>
      <c r="BF187" s="103">
        <f t="shared" si="391"/>
        <v>0</v>
      </c>
      <c r="BG187" s="103">
        <f t="shared" si="391"/>
        <v>0</v>
      </c>
      <c r="BH187" s="103"/>
      <c r="BI187" s="104"/>
      <c r="BJ187" s="104"/>
      <c r="BK187" s="104"/>
      <c r="BL187" s="110">
        <f>$O187*AB187*'Cost inputs'!F$12/1000000</f>
        <v>0</v>
      </c>
      <c r="BM187" s="110">
        <f>$O187*AC187*'Cost inputs'!G$12/1000000</f>
        <v>0</v>
      </c>
      <c r="BN187" s="110">
        <f>$O187*AD187*'Cost inputs'!H$12/1000000</f>
        <v>0</v>
      </c>
      <c r="BO187" s="110">
        <f>$O187*AE187*'Cost inputs'!I$12/1000000</f>
        <v>0</v>
      </c>
      <c r="BP187" s="110">
        <f>$O187*AF187*'Cost inputs'!J$12/1000000</f>
        <v>0</v>
      </c>
      <c r="BQ187" s="110">
        <f>$O187*AG187*'Cost inputs'!K$12/1000000</f>
        <v>0</v>
      </c>
      <c r="BR187" s="110">
        <f>$O187*AH187*'Cost inputs'!L$12/1000000</f>
        <v>0</v>
      </c>
      <c r="BS187" s="110">
        <f>$O187*AI187*'Cost inputs'!M$12/1000000</f>
        <v>4.9944512368186398E-3</v>
      </c>
      <c r="BT187" s="110">
        <f>$O187*AJ187*'Cost inputs'!N$12/1000000</f>
        <v>5.1043291640286495E-3</v>
      </c>
      <c r="BU187" s="110">
        <f>$O187*AK187*'Cost inputs'!O$12/1000000</f>
        <v>5.2166244056372794E-3</v>
      </c>
      <c r="BV187" s="110">
        <f>$O187*AL187*'Cost inputs'!P$12/1000000</f>
        <v>5.3313901425613005E-3</v>
      </c>
      <c r="BW187" s="110">
        <f>$O187*AM187*'Cost inputs'!Q$12/1000000</f>
        <v>5.4486807256976487E-3</v>
      </c>
      <c r="BX187" s="110">
        <f>$O187*AN187*'Cost inputs'!R$12/1000000</f>
        <v>5.5685517016629974E-3</v>
      </c>
      <c r="BY187" s="110">
        <f>$O187*AO187*'Cost inputs'!S$12/1000000</f>
        <v>5.6910598390995841E-3</v>
      </c>
      <c r="BZ187" s="110">
        <f>$O187*AP187*'Cost inputs'!T$12/1000000</f>
        <v>5.8162631555597746E-3</v>
      </c>
      <c r="CA187" s="110">
        <f>$O187*AQ187*'Cost inputs'!U$12/1000000</f>
        <v>0</v>
      </c>
      <c r="CB187" s="110">
        <f>$O187*AR187*'Cost inputs'!V$12/1000000</f>
        <v>0</v>
      </c>
      <c r="CC187" s="110">
        <f>$O187*AS187*'Cost inputs'!W$12/1000000</f>
        <v>0</v>
      </c>
      <c r="CD187" s="110">
        <f>$O187*AT187*'Cost inputs'!X$12/1000000</f>
        <v>0</v>
      </c>
      <c r="CE187" s="110">
        <f>$O187*AU187*'Cost inputs'!Y$12/1000000</f>
        <v>0</v>
      </c>
      <c r="CF187" s="110">
        <f>$O187*AV187*'Cost inputs'!Z$12/1000000</f>
        <v>0</v>
      </c>
      <c r="CG187" s="110">
        <f>$O187*AW187*'Cost inputs'!AA$12/1000000</f>
        <v>0</v>
      </c>
      <c r="CH187" s="110">
        <f>$O187*AX187*'Cost inputs'!AB$12/1000000</f>
        <v>0</v>
      </c>
      <c r="CI187" s="110">
        <f>$O187*AY187*'Cost inputs'!AC$12/1000000</f>
        <v>0</v>
      </c>
      <c r="CJ187" s="110">
        <f>$O187*AZ187*'Cost inputs'!AD$12/1000000</f>
        <v>0</v>
      </c>
      <c r="CK187" s="110">
        <f>$O187*BA187*'Cost inputs'!AE$12/1000000</f>
        <v>0</v>
      </c>
      <c r="CL187" s="110">
        <f>$O187*BB187*'Cost inputs'!AF$12/1000000</f>
        <v>0</v>
      </c>
      <c r="CM187" s="110">
        <f>$O187*BC187*'Cost inputs'!AG$12/1000000</f>
        <v>0</v>
      </c>
      <c r="CN187" s="110">
        <f>$O187*BD187*'Cost inputs'!AH$12/1000000</f>
        <v>0</v>
      </c>
      <c r="CO187" s="110">
        <f>$O187*BE187*'Cost inputs'!AI$12/1000000</f>
        <v>0</v>
      </c>
      <c r="CP187" s="110">
        <f>$O187*BF187*'Cost inputs'!AJ$12/1000000</f>
        <v>0</v>
      </c>
      <c r="CQ187" s="110">
        <f>$O187*BG187*'Cost inputs'!AK$12/1000000</f>
        <v>0</v>
      </c>
      <c r="CR187" s="131">
        <f t="shared" si="362"/>
        <v>4.3171350371065877E-2</v>
      </c>
      <c r="CS187" s="26"/>
    </row>
    <row r="188" spans="1:97" x14ac:dyDescent="0.3">
      <c r="A188" s="104" t="str">
        <f t="shared" ref="A188:N188" si="392">A73</f>
        <v>Opaheke / Drury</v>
      </c>
      <c r="B188" s="104" t="str">
        <f t="shared" si="392"/>
        <v>Drury</v>
      </c>
      <c r="C188" s="104">
        <f t="shared" si="392"/>
        <v>0</v>
      </c>
      <c r="D188" s="104" t="str">
        <f t="shared" si="392"/>
        <v>Drury East</v>
      </c>
      <c r="E188" s="104">
        <f t="shared" si="392"/>
        <v>0</v>
      </c>
      <c r="F188" s="104">
        <f t="shared" si="392"/>
        <v>3</v>
      </c>
      <c r="G188" s="104">
        <f t="shared" si="392"/>
        <v>0</v>
      </c>
      <c r="H188" s="104">
        <f t="shared" si="392"/>
        <v>0</v>
      </c>
      <c r="I188" s="104">
        <f t="shared" si="392"/>
        <v>0</v>
      </c>
      <c r="J188" s="104">
        <f t="shared" si="392"/>
        <v>3</v>
      </c>
      <c r="K188" s="104">
        <f t="shared" si="392"/>
        <v>0</v>
      </c>
      <c r="L188" s="104">
        <f t="shared" si="392"/>
        <v>0</v>
      </c>
      <c r="M188" s="104">
        <f t="shared" si="392"/>
        <v>0</v>
      </c>
      <c r="N188" s="104">
        <f t="shared" si="392"/>
        <v>0</v>
      </c>
      <c r="O188" s="104">
        <f t="shared" si="374"/>
        <v>3</v>
      </c>
      <c r="P188" s="104" cm="1">
        <f t="array" ref="P188">2024+MATCH(1,0/AB188:BG188)</f>
        <v>2041</v>
      </c>
      <c r="Q188" s="104" t="str">
        <f t="shared" si="318"/>
        <v>Drury East</v>
      </c>
      <c r="R188" s="104">
        <f t="shared" si="321"/>
        <v>0</v>
      </c>
      <c r="S188" s="104"/>
      <c r="T188" s="104"/>
      <c r="U188" s="104"/>
      <c r="V188" s="104"/>
      <c r="W188" s="104"/>
      <c r="X188" s="104"/>
      <c r="Y188" s="104"/>
      <c r="Z188" s="104"/>
      <c r="AA188" s="104"/>
      <c r="AB188" s="103">
        <f t="shared" si="382"/>
        <v>0</v>
      </c>
      <c r="AC188" s="103">
        <f t="shared" si="379"/>
        <v>0</v>
      </c>
      <c r="AD188" s="103">
        <f t="shared" ref="AD188:BG188" si="393">AD73</f>
        <v>0</v>
      </c>
      <c r="AE188" s="103">
        <f t="shared" si="393"/>
        <v>0</v>
      </c>
      <c r="AF188" s="103">
        <f t="shared" si="393"/>
        <v>0</v>
      </c>
      <c r="AG188" s="103">
        <f t="shared" si="393"/>
        <v>0</v>
      </c>
      <c r="AH188" s="103">
        <f t="shared" si="393"/>
        <v>0.05</v>
      </c>
      <c r="AI188" s="103">
        <f t="shared" si="393"/>
        <v>0.05</v>
      </c>
      <c r="AJ188" s="103">
        <f t="shared" si="393"/>
        <v>0.05</v>
      </c>
      <c r="AK188" s="103">
        <f t="shared" si="393"/>
        <v>0.05</v>
      </c>
      <c r="AL188" s="103">
        <f t="shared" si="393"/>
        <v>7.4999999999999997E-2</v>
      </c>
      <c r="AM188" s="103">
        <f t="shared" si="393"/>
        <v>7.4999999999999997E-2</v>
      </c>
      <c r="AN188" s="103">
        <f t="shared" si="393"/>
        <v>7.4999999999999997E-2</v>
      </c>
      <c r="AO188" s="103">
        <f t="shared" si="393"/>
        <v>7.4999999999999997E-2</v>
      </c>
      <c r="AP188" s="103">
        <f t="shared" si="393"/>
        <v>0.16666666666666666</v>
      </c>
      <c r="AQ188" s="103">
        <f t="shared" si="393"/>
        <v>0.16666666666666666</v>
      </c>
      <c r="AR188" s="103">
        <f t="shared" si="393"/>
        <v>0.16666666666666666</v>
      </c>
      <c r="AS188" s="103">
        <f t="shared" si="393"/>
        <v>0</v>
      </c>
      <c r="AT188" s="103">
        <f t="shared" si="393"/>
        <v>0</v>
      </c>
      <c r="AU188" s="103">
        <f t="shared" si="393"/>
        <v>0</v>
      </c>
      <c r="AV188" s="103">
        <f t="shared" si="393"/>
        <v>0</v>
      </c>
      <c r="AW188" s="103">
        <f t="shared" si="393"/>
        <v>0</v>
      </c>
      <c r="AX188" s="103">
        <f t="shared" si="393"/>
        <v>0</v>
      </c>
      <c r="AY188" s="103">
        <f t="shared" si="393"/>
        <v>0</v>
      </c>
      <c r="AZ188" s="103">
        <f t="shared" si="393"/>
        <v>0</v>
      </c>
      <c r="BA188" s="103">
        <f t="shared" si="393"/>
        <v>0</v>
      </c>
      <c r="BB188" s="103">
        <f t="shared" si="393"/>
        <v>0</v>
      </c>
      <c r="BC188" s="103">
        <f t="shared" si="393"/>
        <v>0</v>
      </c>
      <c r="BD188" s="103">
        <f t="shared" si="393"/>
        <v>0</v>
      </c>
      <c r="BE188" s="103">
        <f t="shared" si="393"/>
        <v>0</v>
      </c>
      <c r="BF188" s="103">
        <f t="shared" si="393"/>
        <v>0</v>
      </c>
      <c r="BG188" s="103">
        <f t="shared" si="393"/>
        <v>0</v>
      </c>
      <c r="BH188" s="103"/>
      <c r="BI188" s="104"/>
      <c r="BJ188" s="104"/>
      <c r="BK188" s="104"/>
      <c r="BL188" s="110">
        <f>$O188*AB188*'Cost inputs'!F$12/1000000</f>
        <v>0</v>
      </c>
      <c r="BM188" s="110">
        <f>$O188*AC188*'Cost inputs'!G$12/1000000</f>
        <v>0</v>
      </c>
      <c r="BN188" s="110">
        <f>$O188*AD188*'Cost inputs'!H$12/1000000</f>
        <v>0</v>
      </c>
      <c r="BO188" s="110">
        <f>$O188*AE188*'Cost inputs'!I$12/1000000</f>
        <v>0</v>
      </c>
      <c r="BP188" s="110">
        <f>$O188*AF188*'Cost inputs'!J$12/1000000</f>
        <v>0</v>
      </c>
      <c r="BQ188" s="110">
        <f>$O188*AG188*'Cost inputs'!K$12/1000000</f>
        <v>0</v>
      </c>
      <c r="BR188" s="110">
        <f>$O188*AH188*'Cost inputs'!L$12/1000000</f>
        <v>5.8643263054622002E-3</v>
      </c>
      <c r="BS188" s="110">
        <f>$O188*AI188*'Cost inputs'!M$12/1000000</f>
        <v>5.9933414841823688E-3</v>
      </c>
      <c r="BT188" s="110">
        <f>$O188*AJ188*'Cost inputs'!N$12/1000000</f>
        <v>6.1251949968343803E-3</v>
      </c>
      <c r="BU188" s="110">
        <f>$O188*AK188*'Cost inputs'!O$12/1000000</f>
        <v>6.2599492867647369E-3</v>
      </c>
      <c r="BV188" s="110">
        <f>$O188*AL188*'Cost inputs'!P$12/1000000</f>
        <v>9.5965022566103404E-3</v>
      </c>
      <c r="BW188" s="110">
        <f>$O188*AM188*'Cost inputs'!Q$12/1000000</f>
        <v>9.8076253062557676E-3</v>
      </c>
      <c r="BX188" s="110">
        <f>$O188*AN188*'Cost inputs'!R$12/1000000</f>
        <v>1.0023393062993395E-2</v>
      </c>
      <c r="BY188" s="110">
        <f>$O188*AO188*'Cost inputs'!S$12/1000000</f>
        <v>1.024390771037925E-2</v>
      </c>
      <c r="BZ188" s="110">
        <f>$O188*AP188*'Cost inputs'!T$12/1000000</f>
        <v>2.3265052622239098E-2</v>
      </c>
      <c r="CA188" s="110">
        <f>$O188*AQ188*'Cost inputs'!U$12/1000000</f>
        <v>2.3776883779928357E-2</v>
      </c>
      <c r="CB188" s="110">
        <f>$O188*AR188*'Cost inputs'!V$12/1000000</f>
        <v>2.4299975223086783E-2</v>
      </c>
      <c r="CC188" s="110">
        <f>$O188*AS188*'Cost inputs'!W$12/1000000</f>
        <v>0</v>
      </c>
      <c r="CD188" s="110">
        <f>$O188*AT188*'Cost inputs'!X$12/1000000</f>
        <v>0</v>
      </c>
      <c r="CE188" s="110">
        <f>$O188*AU188*'Cost inputs'!Y$12/1000000</f>
        <v>0</v>
      </c>
      <c r="CF188" s="110">
        <f>$O188*AV188*'Cost inputs'!Z$12/1000000</f>
        <v>0</v>
      </c>
      <c r="CG188" s="110">
        <f>$O188*AW188*'Cost inputs'!AA$12/1000000</f>
        <v>0</v>
      </c>
      <c r="CH188" s="110">
        <f>$O188*AX188*'Cost inputs'!AB$12/1000000</f>
        <v>0</v>
      </c>
      <c r="CI188" s="110">
        <f>$O188*AY188*'Cost inputs'!AC$12/1000000</f>
        <v>0</v>
      </c>
      <c r="CJ188" s="110">
        <f>$O188*AZ188*'Cost inputs'!AD$12/1000000</f>
        <v>0</v>
      </c>
      <c r="CK188" s="110">
        <f>$O188*BA188*'Cost inputs'!AE$12/1000000</f>
        <v>0</v>
      </c>
      <c r="CL188" s="110">
        <f>$O188*BB188*'Cost inputs'!AF$12/1000000</f>
        <v>0</v>
      </c>
      <c r="CM188" s="110">
        <f>$O188*BC188*'Cost inputs'!AG$12/1000000</f>
        <v>0</v>
      </c>
      <c r="CN188" s="110">
        <f>$O188*BD188*'Cost inputs'!AH$12/1000000</f>
        <v>0</v>
      </c>
      <c r="CO188" s="110">
        <f>$O188*BE188*'Cost inputs'!AI$12/1000000</f>
        <v>0</v>
      </c>
      <c r="CP188" s="110">
        <f>$O188*BF188*'Cost inputs'!AJ$12/1000000</f>
        <v>0</v>
      </c>
      <c r="CQ188" s="110">
        <f>$O188*BG188*'Cost inputs'!AK$12/1000000</f>
        <v>0</v>
      </c>
      <c r="CR188" s="131">
        <f t="shared" si="362"/>
        <v>0.13525615203473668</v>
      </c>
      <c r="CS188" s="26"/>
    </row>
    <row r="189" spans="1:97" x14ac:dyDescent="0.3">
      <c r="A189" s="104" t="str">
        <f t="shared" ref="A189:N189" si="394">A74</f>
        <v>Opaheke / Drury</v>
      </c>
      <c r="B189" s="104" t="str">
        <f t="shared" si="394"/>
        <v>Drury</v>
      </c>
      <c r="C189" s="104">
        <f t="shared" si="394"/>
        <v>0</v>
      </c>
      <c r="D189" s="104" t="str">
        <f t="shared" si="394"/>
        <v>Auranga (Late)</v>
      </c>
      <c r="E189" s="104" t="str">
        <f t="shared" si="394"/>
        <v>by sat inspection</v>
      </c>
      <c r="F189" s="104">
        <f t="shared" si="394"/>
        <v>1</v>
      </c>
      <c r="G189" s="104">
        <f t="shared" si="394"/>
        <v>0</v>
      </c>
      <c r="H189" s="104">
        <f t="shared" si="394"/>
        <v>0</v>
      </c>
      <c r="I189" s="104">
        <f t="shared" si="394"/>
        <v>0</v>
      </c>
      <c r="J189" s="104">
        <f t="shared" si="394"/>
        <v>1</v>
      </c>
      <c r="K189" s="104">
        <f t="shared" si="394"/>
        <v>0</v>
      </c>
      <c r="L189" s="104">
        <f t="shared" si="394"/>
        <v>0</v>
      </c>
      <c r="M189" s="104">
        <f t="shared" si="394"/>
        <v>0</v>
      </c>
      <c r="N189" s="104">
        <f t="shared" si="394"/>
        <v>0</v>
      </c>
      <c r="O189" s="104">
        <f t="shared" si="374"/>
        <v>1</v>
      </c>
      <c r="P189" s="104" cm="1">
        <f t="array" ref="P189">2024+MATCH(1,0/AB189:BG189)</f>
        <v>2029</v>
      </c>
      <c r="Q189" s="104" t="str">
        <f t="shared" si="318"/>
        <v>Auranga (Late)</v>
      </c>
      <c r="R189" s="104" t="str">
        <f t="shared" si="321"/>
        <v>by sat inspection</v>
      </c>
      <c r="S189" s="104"/>
      <c r="T189" s="104"/>
      <c r="U189" s="104"/>
      <c r="V189" s="104"/>
      <c r="W189" s="104"/>
      <c r="X189" s="104"/>
      <c r="Y189" s="104"/>
      <c r="Z189" s="104"/>
      <c r="AA189" s="104"/>
      <c r="AB189" s="103">
        <f t="shared" si="382"/>
        <v>0.18749999999999997</v>
      </c>
      <c r="AC189" s="103">
        <f t="shared" si="379"/>
        <v>0.18749999999999997</v>
      </c>
      <c r="AD189" s="103">
        <f t="shared" ref="AD189:BG189" si="395">AD74</f>
        <v>0.20833333333333334</v>
      </c>
      <c r="AE189" s="103">
        <f t="shared" si="395"/>
        <v>0.20833333333333334</v>
      </c>
      <c r="AF189" s="103">
        <f t="shared" si="395"/>
        <v>0.20833333333333334</v>
      </c>
      <c r="AG189" s="103">
        <f t="shared" si="395"/>
        <v>0</v>
      </c>
      <c r="AH189" s="103">
        <f t="shared" si="395"/>
        <v>0</v>
      </c>
      <c r="AI189" s="103">
        <f t="shared" si="395"/>
        <v>0</v>
      </c>
      <c r="AJ189" s="103">
        <f t="shared" si="395"/>
        <v>0</v>
      </c>
      <c r="AK189" s="103">
        <f t="shared" si="395"/>
        <v>0</v>
      </c>
      <c r="AL189" s="103">
        <f t="shared" si="395"/>
        <v>0</v>
      </c>
      <c r="AM189" s="103">
        <f t="shared" si="395"/>
        <v>0</v>
      </c>
      <c r="AN189" s="103">
        <f t="shared" si="395"/>
        <v>0</v>
      </c>
      <c r="AO189" s="103">
        <f t="shared" si="395"/>
        <v>0</v>
      </c>
      <c r="AP189" s="103">
        <f t="shared" si="395"/>
        <v>0</v>
      </c>
      <c r="AQ189" s="103">
        <f t="shared" si="395"/>
        <v>0</v>
      </c>
      <c r="AR189" s="103">
        <f t="shared" si="395"/>
        <v>0</v>
      </c>
      <c r="AS189" s="103">
        <f t="shared" si="395"/>
        <v>0</v>
      </c>
      <c r="AT189" s="103">
        <f t="shared" si="395"/>
        <v>0</v>
      </c>
      <c r="AU189" s="103">
        <f t="shared" si="395"/>
        <v>0</v>
      </c>
      <c r="AV189" s="103">
        <f t="shared" si="395"/>
        <v>0</v>
      </c>
      <c r="AW189" s="103">
        <f t="shared" si="395"/>
        <v>0</v>
      </c>
      <c r="AX189" s="103">
        <f t="shared" si="395"/>
        <v>0</v>
      </c>
      <c r="AY189" s="103">
        <f t="shared" si="395"/>
        <v>0</v>
      </c>
      <c r="AZ189" s="103">
        <f t="shared" si="395"/>
        <v>0</v>
      </c>
      <c r="BA189" s="103">
        <f t="shared" si="395"/>
        <v>0</v>
      </c>
      <c r="BB189" s="103">
        <f t="shared" si="395"/>
        <v>0</v>
      </c>
      <c r="BC189" s="103">
        <f t="shared" si="395"/>
        <v>0</v>
      </c>
      <c r="BD189" s="103">
        <f t="shared" si="395"/>
        <v>0</v>
      </c>
      <c r="BE189" s="103">
        <f t="shared" si="395"/>
        <v>0</v>
      </c>
      <c r="BF189" s="103">
        <f t="shared" si="395"/>
        <v>0</v>
      </c>
      <c r="BG189" s="103">
        <f t="shared" si="395"/>
        <v>0</v>
      </c>
      <c r="BH189" s="103"/>
      <c r="BI189" s="104"/>
      <c r="BJ189" s="104"/>
      <c r="BK189" s="104"/>
      <c r="BL189" s="110">
        <f>$O189*AB189*'Cost inputs'!F$12/1000000</f>
        <v>6.3029598187499978E-3</v>
      </c>
      <c r="BM189" s="110">
        <f>$O189*AC189*'Cost inputs'!G$12/1000000</f>
        <v>6.5109574927687463E-3</v>
      </c>
      <c r="BN189" s="110">
        <f>$O189*AD189*'Cost inputs'!H$12/1000000</f>
        <v>7.4658979250414982E-3</v>
      </c>
      <c r="BO189" s="110">
        <f>$O189*AE189*'Cost inputs'!I$12/1000000</f>
        <v>7.6301476793924116E-3</v>
      </c>
      <c r="BP189" s="110">
        <f>$O189*AF189*'Cost inputs'!J$12/1000000</f>
        <v>7.7980109283390438E-3</v>
      </c>
      <c r="BQ189" s="110">
        <f>$O189*AG189*'Cost inputs'!K$12/1000000</f>
        <v>0</v>
      </c>
      <c r="BR189" s="110">
        <f>$O189*AH189*'Cost inputs'!L$12/1000000</f>
        <v>0</v>
      </c>
      <c r="BS189" s="110">
        <f>$O189*AI189*'Cost inputs'!M$12/1000000</f>
        <v>0</v>
      </c>
      <c r="BT189" s="110">
        <f>$O189*AJ189*'Cost inputs'!N$12/1000000</f>
        <v>0</v>
      </c>
      <c r="BU189" s="110">
        <f>$O189*AK189*'Cost inputs'!O$12/1000000</f>
        <v>0</v>
      </c>
      <c r="BV189" s="110">
        <f>$O189*AL189*'Cost inputs'!P$12/1000000</f>
        <v>0</v>
      </c>
      <c r="BW189" s="110">
        <f>$O189*AM189*'Cost inputs'!Q$12/1000000</f>
        <v>0</v>
      </c>
      <c r="BX189" s="110">
        <f>$O189*AN189*'Cost inputs'!R$12/1000000</f>
        <v>0</v>
      </c>
      <c r="BY189" s="110">
        <f>$O189*AO189*'Cost inputs'!S$12/1000000</f>
        <v>0</v>
      </c>
      <c r="BZ189" s="110">
        <f>$O189*AP189*'Cost inputs'!T$12/1000000</f>
        <v>0</v>
      </c>
      <c r="CA189" s="110">
        <f>$O189*AQ189*'Cost inputs'!U$12/1000000</f>
        <v>0</v>
      </c>
      <c r="CB189" s="110">
        <f>$O189*AR189*'Cost inputs'!V$12/1000000</f>
        <v>0</v>
      </c>
      <c r="CC189" s="110">
        <f>$O189*AS189*'Cost inputs'!W$12/1000000</f>
        <v>0</v>
      </c>
      <c r="CD189" s="110">
        <f>$O189*AT189*'Cost inputs'!X$12/1000000</f>
        <v>0</v>
      </c>
      <c r="CE189" s="110">
        <f>$O189*AU189*'Cost inputs'!Y$12/1000000</f>
        <v>0</v>
      </c>
      <c r="CF189" s="110">
        <f>$O189*AV189*'Cost inputs'!Z$12/1000000</f>
        <v>0</v>
      </c>
      <c r="CG189" s="110">
        <f>$O189*AW189*'Cost inputs'!AA$12/1000000</f>
        <v>0</v>
      </c>
      <c r="CH189" s="110">
        <f>$O189*AX189*'Cost inputs'!AB$12/1000000</f>
        <v>0</v>
      </c>
      <c r="CI189" s="110">
        <f>$O189*AY189*'Cost inputs'!AC$12/1000000</f>
        <v>0</v>
      </c>
      <c r="CJ189" s="110">
        <f>$O189*AZ189*'Cost inputs'!AD$12/1000000</f>
        <v>0</v>
      </c>
      <c r="CK189" s="110">
        <f>$O189*BA189*'Cost inputs'!AE$12/1000000</f>
        <v>0</v>
      </c>
      <c r="CL189" s="110">
        <f>$O189*BB189*'Cost inputs'!AF$12/1000000</f>
        <v>0</v>
      </c>
      <c r="CM189" s="110">
        <f>$O189*BC189*'Cost inputs'!AG$12/1000000</f>
        <v>0</v>
      </c>
      <c r="CN189" s="110">
        <f>$O189*BD189*'Cost inputs'!AH$12/1000000</f>
        <v>0</v>
      </c>
      <c r="CO189" s="110">
        <f>$O189*BE189*'Cost inputs'!AI$12/1000000</f>
        <v>0</v>
      </c>
      <c r="CP189" s="110">
        <f>$O189*BF189*'Cost inputs'!AJ$12/1000000</f>
        <v>0</v>
      </c>
      <c r="CQ189" s="110">
        <f>$O189*BG189*'Cost inputs'!AK$12/1000000</f>
        <v>0</v>
      </c>
      <c r="CR189" s="131">
        <f t="shared" si="362"/>
        <v>3.5707973844291696E-2</v>
      </c>
      <c r="CS189" s="26"/>
    </row>
    <row r="190" spans="1:97" x14ac:dyDescent="0.3">
      <c r="A190" s="104" t="str">
        <f t="shared" ref="A190:N190" si="396">A75</f>
        <v>Opaheke / Drury</v>
      </c>
      <c r="B190" s="104" t="str">
        <f t="shared" si="396"/>
        <v>Drury</v>
      </c>
      <c r="C190" s="104">
        <f t="shared" si="396"/>
        <v>0</v>
      </c>
      <c r="D190" s="104" t="str">
        <f t="shared" si="396"/>
        <v>Drury West (Stage 1) (remainder)</v>
      </c>
      <c r="E190" s="104">
        <f t="shared" si="396"/>
        <v>0</v>
      </c>
      <c r="F190" s="104">
        <f t="shared" si="396"/>
        <v>7</v>
      </c>
      <c r="G190" s="104">
        <f t="shared" si="396"/>
        <v>0</v>
      </c>
      <c r="H190" s="104">
        <f t="shared" si="396"/>
        <v>0</v>
      </c>
      <c r="I190" s="104">
        <f t="shared" si="396"/>
        <v>0</v>
      </c>
      <c r="J190" s="104">
        <f t="shared" si="396"/>
        <v>7</v>
      </c>
      <c r="K190" s="104">
        <f t="shared" si="396"/>
        <v>0</v>
      </c>
      <c r="L190" s="104">
        <f t="shared" si="396"/>
        <v>0</v>
      </c>
      <c r="M190" s="104">
        <f t="shared" si="396"/>
        <v>0</v>
      </c>
      <c r="N190" s="104">
        <f t="shared" si="396"/>
        <v>0</v>
      </c>
      <c r="O190" s="104">
        <f t="shared" si="374"/>
        <v>7</v>
      </c>
      <c r="P190" s="104" cm="1">
        <f t="array" ref="P190">2024+MATCH(1,0/AB190:BG190)</f>
        <v>2045</v>
      </c>
      <c r="Q190" s="104" t="str">
        <f t="shared" si="318"/>
        <v>Drury West (Stage 1) (remainder)</v>
      </c>
      <c r="R190" s="104">
        <f t="shared" si="321"/>
        <v>0</v>
      </c>
      <c r="S190" s="104"/>
      <c r="T190" s="104"/>
      <c r="U190" s="104"/>
      <c r="V190" s="104"/>
      <c r="W190" s="104"/>
      <c r="X190" s="104"/>
      <c r="Y190" s="104"/>
      <c r="Z190" s="104"/>
      <c r="AA190" s="104"/>
      <c r="AB190" s="103">
        <f t="shared" si="382"/>
        <v>0</v>
      </c>
      <c r="AC190" s="103">
        <f t="shared" si="379"/>
        <v>0</v>
      </c>
      <c r="AD190" s="103">
        <f t="shared" ref="AD190:BG190" si="397">AD75</f>
        <v>0</v>
      </c>
      <c r="AE190" s="103">
        <f t="shared" si="397"/>
        <v>0</v>
      </c>
      <c r="AF190" s="103">
        <f t="shared" si="397"/>
        <v>0</v>
      </c>
      <c r="AG190" s="103">
        <f t="shared" si="397"/>
        <v>0</v>
      </c>
      <c r="AH190" s="103">
        <f t="shared" si="397"/>
        <v>0</v>
      </c>
      <c r="AI190" s="103">
        <f t="shared" si="397"/>
        <v>0</v>
      </c>
      <c r="AJ190" s="103">
        <f t="shared" si="397"/>
        <v>0</v>
      </c>
      <c r="AK190" s="103">
        <f t="shared" si="397"/>
        <v>0</v>
      </c>
      <c r="AL190" s="103">
        <f t="shared" si="397"/>
        <v>0.05</v>
      </c>
      <c r="AM190" s="103">
        <f t="shared" si="397"/>
        <v>0.05</v>
      </c>
      <c r="AN190" s="103">
        <f t="shared" si="397"/>
        <v>0.05</v>
      </c>
      <c r="AO190" s="103">
        <f t="shared" si="397"/>
        <v>0.05</v>
      </c>
      <c r="AP190" s="103">
        <f t="shared" si="397"/>
        <v>7.4999999999999997E-2</v>
      </c>
      <c r="AQ190" s="103">
        <f t="shared" si="397"/>
        <v>7.4999999999999997E-2</v>
      </c>
      <c r="AR190" s="103">
        <f t="shared" si="397"/>
        <v>7.4999999999999997E-2</v>
      </c>
      <c r="AS190" s="103">
        <f t="shared" si="397"/>
        <v>7.4999999999999997E-2</v>
      </c>
      <c r="AT190" s="103">
        <f t="shared" si="397"/>
        <v>0.16666666666666666</v>
      </c>
      <c r="AU190" s="103">
        <f t="shared" si="397"/>
        <v>0.16666666666666666</v>
      </c>
      <c r="AV190" s="103">
        <f t="shared" si="397"/>
        <v>0.16666666666666666</v>
      </c>
      <c r="AW190" s="103">
        <f t="shared" si="397"/>
        <v>0</v>
      </c>
      <c r="AX190" s="103">
        <f t="shared" si="397"/>
        <v>0</v>
      </c>
      <c r="AY190" s="103">
        <f t="shared" si="397"/>
        <v>0</v>
      </c>
      <c r="AZ190" s="103">
        <f t="shared" si="397"/>
        <v>0</v>
      </c>
      <c r="BA190" s="103">
        <f t="shared" si="397"/>
        <v>0</v>
      </c>
      <c r="BB190" s="103">
        <f t="shared" si="397"/>
        <v>0</v>
      </c>
      <c r="BC190" s="103">
        <f t="shared" si="397"/>
        <v>0</v>
      </c>
      <c r="BD190" s="103">
        <f t="shared" si="397"/>
        <v>0</v>
      </c>
      <c r="BE190" s="103">
        <f t="shared" si="397"/>
        <v>0</v>
      </c>
      <c r="BF190" s="103">
        <f t="shared" si="397"/>
        <v>0</v>
      </c>
      <c r="BG190" s="103">
        <f t="shared" si="397"/>
        <v>0</v>
      </c>
      <c r="BH190" s="103"/>
      <c r="BI190" s="104"/>
      <c r="BJ190" s="104"/>
      <c r="BK190" s="104"/>
      <c r="BL190" s="110">
        <f>$O190*AB190*'Cost inputs'!F$12/1000000</f>
        <v>0</v>
      </c>
      <c r="BM190" s="110">
        <f>$O190*AC190*'Cost inputs'!G$12/1000000</f>
        <v>0</v>
      </c>
      <c r="BN190" s="110">
        <f>$O190*AD190*'Cost inputs'!H$12/1000000</f>
        <v>0</v>
      </c>
      <c r="BO190" s="110">
        <f>$O190*AE190*'Cost inputs'!I$12/1000000</f>
        <v>0</v>
      </c>
      <c r="BP190" s="110">
        <f>$O190*AF190*'Cost inputs'!J$12/1000000</f>
        <v>0</v>
      </c>
      <c r="BQ190" s="110">
        <f>$O190*AG190*'Cost inputs'!K$12/1000000</f>
        <v>0</v>
      </c>
      <c r="BR190" s="110">
        <f>$O190*AH190*'Cost inputs'!L$12/1000000</f>
        <v>0</v>
      </c>
      <c r="BS190" s="110">
        <f>$O190*AI190*'Cost inputs'!M$12/1000000</f>
        <v>0</v>
      </c>
      <c r="BT190" s="110">
        <f>$O190*AJ190*'Cost inputs'!N$12/1000000</f>
        <v>0</v>
      </c>
      <c r="BU190" s="110">
        <f>$O190*AK190*'Cost inputs'!O$12/1000000</f>
        <v>0</v>
      </c>
      <c r="BV190" s="110">
        <f>$O190*AL190*'Cost inputs'!P$12/1000000</f>
        <v>1.4927892399171642E-2</v>
      </c>
      <c r="BW190" s="110">
        <f>$O190*AM190*'Cost inputs'!Q$12/1000000</f>
        <v>1.5256306031953418E-2</v>
      </c>
      <c r="BX190" s="110">
        <f>$O190*AN190*'Cost inputs'!R$12/1000000</f>
        <v>1.5591944764656395E-2</v>
      </c>
      <c r="BY190" s="110">
        <f>$O190*AO190*'Cost inputs'!S$12/1000000</f>
        <v>1.5934967549478835E-2</v>
      </c>
      <c r="BZ190" s="110">
        <f>$O190*AP190*'Cost inputs'!T$12/1000000</f>
        <v>2.4428305253351053E-2</v>
      </c>
      <c r="CA190" s="110">
        <f>$O190*AQ190*'Cost inputs'!U$12/1000000</f>
        <v>2.4965727968924777E-2</v>
      </c>
      <c r="CB190" s="110">
        <f>$O190*AR190*'Cost inputs'!V$12/1000000</f>
        <v>2.5514973984241122E-2</v>
      </c>
      <c r="CC190" s="110">
        <f>$O190*AS190*'Cost inputs'!W$12/1000000</f>
        <v>2.607630341189443E-2</v>
      </c>
      <c r="CD190" s="110">
        <f>$O190*AT190*'Cost inputs'!X$12/1000000</f>
        <v>5.9222182415458E-2</v>
      </c>
      <c r="CE190" s="110">
        <f>$O190*AU190*'Cost inputs'!Y$12/1000000</f>
        <v>6.0525070428598081E-2</v>
      </c>
      <c r="CF190" s="110">
        <f>$O190*AV190*'Cost inputs'!Z$12/1000000</f>
        <v>6.1856621978027243E-2</v>
      </c>
      <c r="CG190" s="110">
        <f>$O190*AW190*'Cost inputs'!AA$12/1000000</f>
        <v>0</v>
      </c>
      <c r="CH190" s="110">
        <f>$O190*AX190*'Cost inputs'!AB$12/1000000</f>
        <v>0</v>
      </c>
      <c r="CI190" s="110">
        <f>$O190*AY190*'Cost inputs'!AC$12/1000000</f>
        <v>0</v>
      </c>
      <c r="CJ190" s="110">
        <f>$O190*AZ190*'Cost inputs'!AD$12/1000000</f>
        <v>0</v>
      </c>
      <c r="CK190" s="110">
        <f>$O190*BA190*'Cost inputs'!AE$12/1000000</f>
        <v>0</v>
      </c>
      <c r="CL190" s="110">
        <f>$O190*BB190*'Cost inputs'!AF$12/1000000</f>
        <v>0</v>
      </c>
      <c r="CM190" s="110">
        <f>$O190*BC190*'Cost inputs'!AG$12/1000000</f>
        <v>0</v>
      </c>
      <c r="CN190" s="110">
        <f>$O190*BD190*'Cost inputs'!AH$12/1000000</f>
        <v>0</v>
      </c>
      <c r="CO190" s="110">
        <f>$O190*BE190*'Cost inputs'!AI$12/1000000</f>
        <v>0</v>
      </c>
      <c r="CP190" s="110">
        <f>$O190*BF190*'Cost inputs'!AJ$12/1000000</f>
        <v>0</v>
      </c>
      <c r="CQ190" s="110">
        <f>$O190*BG190*'Cost inputs'!AK$12/1000000</f>
        <v>0</v>
      </c>
      <c r="CR190" s="131">
        <f t="shared" si="362"/>
        <v>0.34430029618575497</v>
      </c>
      <c r="CS190" s="26"/>
    </row>
    <row r="191" spans="1:97" x14ac:dyDescent="0.3">
      <c r="A191" s="104" t="str">
        <f t="shared" ref="A191:N191" si="398">A76</f>
        <v>Opaheke / Drury</v>
      </c>
      <c r="B191" s="104" t="str">
        <f t="shared" si="398"/>
        <v>Drury</v>
      </c>
      <c r="C191" s="104">
        <f t="shared" si="398"/>
        <v>0</v>
      </c>
      <c r="D191" s="104" t="str">
        <f t="shared" si="398"/>
        <v>Drury West (Stage 1) (remainder)</v>
      </c>
      <c r="E191" s="104">
        <f t="shared" si="398"/>
        <v>0</v>
      </c>
      <c r="F191" s="104">
        <f t="shared" si="398"/>
        <v>0</v>
      </c>
      <c r="G191" s="104">
        <f t="shared" si="398"/>
        <v>1</v>
      </c>
      <c r="H191" s="104">
        <f t="shared" si="398"/>
        <v>0</v>
      </c>
      <c r="I191" s="104">
        <f t="shared" si="398"/>
        <v>0</v>
      </c>
      <c r="J191" s="104">
        <f t="shared" si="398"/>
        <v>0</v>
      </c>
      <c r="K191" s="104">
        <f t="shared" si="398"/>
        <v>1</v>
      </c>
      <c r="L191" s="104">
        <f t="shared" si="398"/>
        <v>0</v>
      </c>
      <c r="M191" s="104">
        <f t="shared" si="398"/>
        <v>0</v>
      </c>
      <c r="N191" s="104">
        <f t="shared" si="398"/>
        <v>0</v>
      </c>
      <c r="O191" s="104">
        <f t="shared" si="374"/>
        <v>1</v>
      </c>
      <c r="P191" s="104" cm="1">
        <f t="array" ref="P191">2024+MATCH(1,0/AB191:BG191)</f>
        <v>2045</v>
      </c>
      <c r="Q191" s="104" t="str">
        <f t="shared" si="318"/>
        <v>Drury West (Stage 1) (remainder)</v>
      </c>
      <c r="R191" s="104">
        <f t="shared" si="321"/>
        <v>0</v>
      </c>
      <c r="S191" s="104"/>
      <c r="T191" s="104"/>
      <c r="U191" s="104"/>
      <c r="V191" s="104"/>
      <c r="W191" s="104"/>
      <c r="X191" s="104"/>
      <c r="Y191" s="104"/>
      <c r="Z191" s="104"/>
      <c r="AA191" s="104"/>
      <c r="AB191" s="103">
        <f t="shared" si="382"/>
        <v>0</v>
      </c>
      <c r="AC191" s="103">
        <f t="shared" si="379"/>
        <v>0</v>
      </c>
      <c r="AD191" s="103">
        <f t="shared" ref="AD191:BG191" si="399">AD76</f>
        <v>0</v>
      </c>
      <c r="AE191" s="103">
        <f t="shared" si="399"/>
        <v>0</v>
      </c>
      <c r="AF191" s="103">
        <f t="shared" si="399"/>
        <v>0</v>
      </c>
      <c r="AG191" s="103">
        <f t="shared" si="399"/>
        <v>0</v>
      </c>
      <c r="AH191" s="103">
        <f t="shared" si="399"/>
        <v>0</v>
      </c>
      <c r="AI191" s="103">
        <f t="shared" si="399"/>
        <v>4.9999999999999996E-2</v>
      </c>
      <c r="AJ191" s="103">
        <f t="shared" si="399"/>
        <v>4.9999999999999996E-2</v>
      </c>
      <c r="AK191" s="103">
        <f t="shared" si="399"/>
        <v>4.9999999999999996E-2</v>
      </c>
      <c r="AL191" s="103">
        <f t="shared" si="399"/>
        <v>0.125</v>
      </c>
      <c r="AM191" s="103">
        <f t="shared" si="399"/>
        <v>0.125</v>
      </c>
      <c r="AN191" s="103">
        <f t="shared" si="399"/>
        <v>0.125</v>
      </c>
      <c r="AO191" s="103">
        <f t="shared" si="399"/>
        <v>0.125</v>
      </c>
      <c r="AP191" s="103">
        <f t="shared" si="399"/>
        <v>6.25E-2</v>
      </c>
      <c r="AQ191" s="103">
        <f t="shared" si="399"/>
        <v>6.25E-2</v>
      </c>
      <c r="AR191" s="103">
        <f t="shared" si="399"/>
        <v>6.25E-2</v>
      </c>
      <c r="AS191" s="103">
        <f t="shared" si="399"/>
        <v>6.25E-2</v>
      </c>
      <c r="AT191" s="103">
        <f t="shared" si="399"/>
        <v>3.3333333333333333E-2</v>
      </c>
      <c r="AU191" s="103">
        <f t="shared" si="399"/>
        <v>3.3333333333333333E-2</v>
      </c>
      <c r="AV191" s="103">
        <f t="shared" si="399"/>
        <v>3.3333333333333333E-2</v>
      </c>
      <c r="AW191" s="103">
        <f t="shared" si="399"/>
        <v>0</v>
      </c>
      <c r="AX191" s="103">
        <f t="shared" si="399"/>
        <v>0</v>
      </c>
      <c r="AY191" s="103">
        <f t="shared" si="399"/>
        <v>0</v>
      </c>
      <c r="AZ191" s="103">
        <f t="shared" si="399"/>
        <v>0</v>
      </c>
      <c r="BA191" s="103">
        <f t="shared" si="399"/>
        <v>0</v>
      </c>
      <c r="BB191" s="103">
        <f t="shared" si="399"/>
        <v>0</v>
      </c>
      <c r="BC191" s="103">
        <f t="shared" si="399"/>
        <v>0</v>
      </c>
      <c r="BD191" s="103">
        <f t="shared" si="399"/>
        <v>0</v>
      </c>
      <c r="BE191" s="103">
        <f t="shared" si="399"/>
        <v>0</v>
      </c>
      <c r="BF191" s="103">
        <f t="shared" si="399"/>
        <v>0</v>
      </c>
      <c r="BG191" s="103">
        <f t="shared" si="399"/>
        <v>0</v>
      </c>
      <c r="BH191" s="103"/>
      <c r="BI191" s="104"/>
      <c r="BJ191" s="104"/>
      <c r="BK191" s="104"/>
      <c r="BL191" s="110">
        <f>$O191*AB191*'Cost inputs'!F$12/1000000</f>
        <v>0</v>
      </c>
      <c r="BM191" s="110">
        <f>$O191*AC191*'Cost inputs'!G$12/1000000</f>
        <v>0</v>
      </c>
      <c r="BN191" s="110">
        <f>$O191*AD191*'Cost inputs'!H$12/1000000</f>
        <v>0</v>
      </c>
      <c r="BO191" s="110">
        <f>$O191*AE191*'Cost inputs'!I$12/1000000</f>
        <v>0</v>
      </c>
      <c r="BP191" s="110">
        <f>$O191*AF191*'Cost inputs'!J$12/1000000</f>
        <v>0</v>
      </c>
      <c r="BQ191" s="110">
        <f>$O191*AG191*'Cost inputs'!K$12/1000000</f>
        <v>0</v>
      </c>
      <c r="BR191" s="110">
        <f>$O191*AH191*'Cost inputs'!L$12/1000000</f>
        <v>0</v>
      </c>
      <c r="BS191" s="110">
        <f>$O191*AI191*'Cost inputs'!M$12/1000000</f>
        <v>1.9977804947274558E-3</v>
      </c>
      <c r="BT191" s="110">
        <f>$O191*AJ191*'Cost inputs'!N$12/1000000</f>
        <v>2.0417316656114598E-3</v>
      </c>
      <c r="BU191" s="110">
        <f>$O191*AK191*'Cost inputs'!O$12/1000000</f>
        <v>2.0866497622549119E-3</v>
      </c>
      <c r="BV191" s="110">
        <f>$O191*AL191*'Cost inputs'!P$12/1000000</f>
        <v>5.3313901425613005E-3</v>
      </c>
      <c r="BW191" s="110">
        <f>$O191*AM191*'Cost inputs'!Q$12/1000000</f>
        <v>5.4486807256976487E-3</v>
      </c>
      <c r="BX191" s="110">
        <f>$O191*AN191*'Cost inputs'!R$12/1000000</f>
        <v>5.5685517016629974E-3</v>
      </c>
      <c r="BY191" s="110">
        <f>$O191*AO191*'Cost inputs'!S$12/1000000</f>
        <v>5.6910598390995841E-3</v>
      </c>
      <c r="BZ191" s="110">
        <f>$O191*AP191*'Cost inputs'!T$12/1000000</f>
        <v>2.9081315777798873E-3</v>
      </c>
      <c r="CA191" s="110">
        <f>$O191*AQ191*'Cost inputs'!U$12/1000000</f>
        <v>2.9721104724910446E-3</v>
      </c>
      <c r="CB191" s="110">
        <f>$O191*AR191*'Cost inputs'!V$12/1000000</f>
        <v>3.0374969028858479E-3</v>
      </c>
      <c r="CC191" s="110">
        <f>$O191*AS191*'Cost inputs'!W$12/1000000</f>
        <v>3.1043218347493367E-3</v>
      </c>
      <c r="CD191" s="110">
        <f>$O191*AT191*'Cost inputs'!X$12/1000000</f>
        <v>1.6920623547273716E-3</v>
      </c>
      <c r="CE191" s="110">
        <f>$O191*AU191*'Cost inputs'!Y$12/1000000</f>
        <v>1.7292877265313738E-3</v>
      </c>
      <c r="CF191" s="110">
        <f>$O191*AV191*'Cost inputs'!Z$12/1000000</f>
        <v>1.7673320565150643E-3</v>
      </c>
      <c r="CG191" s="110">
        <f>$O191*AW191*'Cost inputs'!AA$12/1000000</f>
        <v>0</v>
      </c>
      <c r="CH191" s="110">
        <f>$O191*AX191*'Cost inputs'!AB$12/1000000</f>
        <v>0</v>
      </c>
      <c r="CI191" s="110">
        <f>$O191*AY191*'Cost inputs'!AC$12/1000000</f>
        <v>0</v>
      </c>
      <c r="CJ191" s="110">
        <f>$O191*AZ191*'Cost inputs'!AD$12/1000000</f>
        <v>0</v>
      </c>
      <c r="CK191" s="110">
        <f>$O191*BA191*'Cost inputs'!AE$12/1000000</f>
        <v>0</v>
      </c>
      <c r="CL191" s="110">
        <f>$O191*BB191*'Cost inputs'!AF$12/1000000</f>
        <v>0</v>
      </c>
      <c r="CM191" s="110">
        <f>$O191*BC191*'Cost inputs'!AG$12/1000000</f>
        <v>0</v>
      </c>
      <c r="CN191" s="110">
        <f>$O191*BD191*'Cost inputs'!AH$12/1000000</f>
        <v>0</v>
      </c>
      <c r="CO191" s="110">
        <f>$O191*BE191*'Cost inputs'!AI$12/1000000</f>
        <v>0</v>
      </c>
      <c r="CP191" s="110">
        <f>$O191*BF191*'Cost inputs'!AJ$12/1000000</f>
        <v>0</v>
      </c>
      <c r="CQ191" s="110">
        <f>$O191*BG191*'Cost inputs'!AK$12/1000000</f>
        <v>0</v>
      </c>
      <c r="CR191" s="131">
        <f t="shared" si="362"/>
        <v>4.5376587257295292E-2</v>
      </c>
      <c r="CS191" s="26"/>
    </row>
    <row r="192" spans="1:97" x14ac:dyDescent="0.3">
      <c r="A192" s="104" t="str">
        <f t="shared" ref="A192:N192" si="400">A77</f>
        <v>Opaheke / Drury</v>
      </c>
      <c r="B192" s="104" t="str">
        <f t="shared" si="400"/>
        <v>Drury</v>
      </c>
      <c r="C192" s="104">
        <f t="shared" si="400"/>
        <v>0</v>
      </c>
      <c r="D192" s="104" t="str">
        <f t="shared" si="400"/>
        <v>Drury West (Stage 2)</v>
      </c>
      <c r="E192" s="104">
        <f t="shared" si="400"/>
        <v>0</v>
      </c>
      <c r="F192" s="104">
        <f t="shared" si="400"/>
        <v>3</v>
      </c>
      <c r="G192" s="104">
        <f t="shared" si="400"/>
        <v>0</v>
      </c>
      <c r="H192" s="104">
        <f t="shared" si="400"/>
        <v>0</v>
      </c>
      <c r="I192" s="104">
        <f t="shared" si="400"/>
        <v>0</v>
      </c>
      <c r="J192" s="104">
        <f t="shared" si="400"/>
        <v>3</v>
      </c>
      <c r="K192" s="104">
        <f t="shared" si="400"/>
        <v>0</v>
      </c>
      <c r="L192" s="104">
        <f t="shared" si="400"/>
        <v>0</v>
      </c>
      <c r="M192" s="104">
        <f t="shared" si="400"/>
        <v>0</v>
      </c>
      <c r="N192" s="104">
        <f t="shared" si="400"/>
        <v>0</v>
      </c>
      <c r="O192" s="104">
        <f t="shared" si="374"/>
        <v>3</v>
      </c>
      <c r="P192" s="104" cm="1">
        <f t="array" ref="P192">2024+MATCH(1,0/AB192:BG192)</f>
        <v>2045</v>
      </c>
      <c r="Q192" s="104" t="str">
        <f t="shared" si="318"/>
        <v>Drury West (Stage 2)</v>
      </c>
      <c r="R192" s="104">
        <f t="shared" si="321"/>
        <v>0</v>
      </c>
      <c r="S192" s="104"/>
      <c r="T192" s="104"/>
      <c r="U192" s="104"/>
      <c r="V192" s="104"/>
      <c r="W192" s="104"/>
      <c r="X192" s="104"/>
      <c r="Y192" s="104"/>
      <c r="Z192" s="104"/>
      <c r="AA192" s="104"/>
      <c r="AB192" s="103">
        <f t="shared" si="382"/>
        <v>0</v>
      </c>
      <c r="AC192" s="103">
        <f t="shared" si="379"/>
        <v>0</v>
      </c>
      <c r="AD192" s="103">
        <f t="shared" ref="AD192:BG192" si="401">AD77</f>
        <v>0</v>
      </c>
      <c r="AE192" s="103">
        <f t="shared" si="401"/>
        <v>0</v>
      </c>
      <c r="AF192" s="103">
        <f t="shared" si="401"/>
        <v>0</v>
      </c>
      <c r="AG192" s="103">
        <f t="shared" si="401"/>
        <v>0</v>
      </c>
      <c r="AH192" s="103">
        <f t="shared" si="401"/>
        <v>0</v>
      </c>
      <c r="AI192" s="103">
        <f t="shared" si="401"/>
        <v>0</v>
      </c>
      <c r="AJ192" s="103">
        <f t="shared" si="401"/>
        <v>0</v>
      </c>
      <c r="AK192" s="103">
        <f t="shared" si="401"/>
        <v>0</v>
      </c>
      <c r="AL192" s="103">
        <f t="shared" si="401"/>
        <v>0.05</v>
      </c>
      <c r="AM192" s="103">
        <f t="shared" si="401"/>
        <v>0.05</v>
      </c>
      <c r="AN192" s="103">
        <f t="shared" si="401"/>
        <v>0.05</v>
      </c>
      <c r="AO192" s="103">
        <f t="shared" si="401"/>
        <v>0.05</v>
      </c>
      <c r="AP192" s="103">
        <f t="shared" si="401"/>
        <v>7.4999999999999997E-2</v>
      </c>
      <c r="AQ192" s="103">
        <f t="shared" si="401"/>
        <v>7.4999999999999997E-2</v>
      </c>
      <c r="AR192" s="103">
        <f t="shared" si="401"/>
        <v>7.4999999999999997E-2</v>
      </c>
      <c r="AS192" s="103">
        <f t="shared" si="401"/>
        <v>7.4999999999999997E-2</v>
      </c>
      <c r="AT192" s="103">
        <f t="shared" si="401"/>
        <v>0.16666666666666666</v>
      </c>
      <c r="AU192" s="103">
        <f t="shared" si="401"/>
        <v>0.16666666666666666</v>
      </c>
      <c r="AV192" s="103">
        <f t="shared" si="401"/>
        <v>0.16666666666666666</v>
      </c>
      <c r="AW192" s="103">
        <f t="shared" si="401"/>
        <v>0</v>
      </c>
      <c r="AX192" s="103">
        <f t="shared" si="401"/>
        <v>0</v>
      </c>
      <c r="AY192" s="103">
        <f t="shared" si="401"/>
        <v>0</v>
      </c>
      <c r="AZ192" s="103">
        <f t="shared" si="401"/>
        <v>0</v>
      </c>
      <c r="BA192" s="103">
        <f t="shared" si="401"/>
        <v>0</v>
      </c>
      <c r="BB192" s="103">
        <f t="shared" si="401"/>
        <v>0</v>
      </c>
      <c r="BC192" s="103">
        <f t="shared" si="401"/>
        <v>0</v>
      </c>
      <c r="BD192" s="103">
        <f t="shared" si="401"/>
        <v>0</v>
      </c>
      <c r="BE192" s="103">
        <f t="shared" si="401"/>
        <v>0</v>
      </c>
      <c r="BF192" s="103">
        <f t="shared" si="401"/>
        <v>0</v>
      </c>
      <c r="BG192" s="103">
        <f t="shared" si="401"/>
        <v>0</v>
      </c>
      <c r="BH192" s="103"/>
      <c r="BI192" s="104"/>
      <c r="BJ192" s="104"/>
      <c r="BK192" s="104"/>
      <c r="BL192" s="110">
        <f>$O192*AB192*'Cost inputs'!F$12/1000000</f>
        <v>0</v>
      </c>
      <c r="BM192" s="110">
        <f>$O192*AC192*'Cost inputs'!G$12/1000000</f>
        <v>0</v>
      </c>
      <c r="BN192" s="110">
        <f>$O192*AD192*'Cost inputs'!H$12/1000000</f>
        <v>0</v>
      </c>
      <c r="BO192" s="110">
        <f>$O192*AE192*'Cost inputs'!I$12/1000000</f>
        <v>0</v>
      </c>
      <c r="BP192" s="110">
        <f>$O192*AF192*'Cost inputs'!J$12/1000000</f>
        <v>0</v>
      </c>
      <c r="BQ192" s="110">
        <f>$O192*AG192*'Cost inputs'!K$12/1000000</f>
        <v>0</v>
      </c>
      <c r="BR192" s="110">
        <f>$O192*AH192*'Cost inputs'!L$12/1000000</f>
        <v>0</v>
      </c>
      <c r="BS192" s="110">
        <f>$O192*AI192*'Cost inputs'!M$12/1000000</f>
        <v>0</v>
      </c>
      <c r="BT192" s="110">
        <f>$O192*AJ192*'Cost inputs'!N$12/1000000</f>
        <v>0</v>
      </c>
      <c r="BU192" s="110">
        <f>$O192*AK192*'Cost inputs'!O$12/1000000</f>
        <v>0</v>
      </c>
      <c r="BV192" s="110">
        <f>$O192*AL192*'Cost inputs'!P$12/1000000</f>
        <v>6.3976681710735612E-3</v>
      </c>
      <c r="BW192" s="110">
        <f>$O192*AM192*'Cost inputs'!Q$12/1000000</f>
        <v>6.5384168708371802E-3</v>
      </c>
      <c r="BX192" s="110">
        <f>$O192*AN192*'Cost inputs'!R$12/1000000</f>
        <v>6.6822620419955975E-3</v>
      </c>
      <c r="BY192" s="110">
        <f>$O192*AO192*'Cost inputs'!S$12/1000000</f>
        <v>6.8292718069195013E-3</v>
      </c>
      <c r="BZ192" s="110">
        <f>$O192*AP192*'Cost inputs'!T$12/1000000</f>
        <v>1.0469273680007593E-2</v>
      </c>
      <c r="CA192" s="110">
        <f>$O192*AQ192*'Cost inputs'!U$12/1000000</f>
        <v>1.0699597700967759E-2</v>
      </c>
      <c r="CB192" s="110">
        <f>$O192*AR192*'Cost inputs'!V$12/1000000</f>
        <v>1.093498885038905E-2</v>
      </c>
      <c r="CC192" s="110">
        <f>$O192*AS192*'Cost inputs'!W$12/1000000</f>
        <v>1.1175558605097611E-2</v>
      </c>
      <c r="CD192" s="110">
        <f>$O192*AT192*'Cost inputs'!X$12/1000000</f>
        <v>2.5380935320910576E-2</v>
      </c>
      <c r="CE192" s="110">
        <f>$O192*AU192*'Cost inputs'!Y$12/1000000</f>
        <v>2.5939315897970609E-2</v>
      </c>
      <c r="CF192" s="110">
        <f>$O192*AV192*'Cost inputs'!Z$12/1000000</f>
        <v>2.6509980847725965E-2</v>
      </c>
      <c r="CG192" s="110">
        <f>$O192*AW192*'Cost inputs'!AA$12/1000000</f>
        <v>0</v>
      </c>
      <c r="CH192" s="110">
        <f>$O192*AX192*'Cost inputs'!AB$12/1000000</f>
        <v>0</v>
      </c>
      <c r="CI192" s="110">
        <f>$O192*AY192*'Cost inputs'!AC$12/1000000</f>
        <v>0</v>
      </c>
      <c r="CJ192" s="110">
        <f>$O192*AZ192*'Cost inputs'!AD$12/1000000</f>
        <v>0</v>
      </c>
      <c r="CK192" s="110">
        <f>$O192*BA192*'Cost inputs'!AE$12/1000000</f>
        <v>0</v>
      </c>
      <c r="CL192" s="110">
        <f>$O192*BB192*'Cost inputs'!AF$12/1000000</f>
        <v>0</v>
      </c>
      <c r="CM192" s="110">
        <f>$O192*BC192*'Cost inputs'!AG$12/1000000</f>
        <v>0</v>
      </c>
      <c r="CN192" s="110">
        <f>$O192*BD192*'Cost inputs'!AH$12/1000000</f>
        <v>0</v>
      </c>
      <c r="CO192" s="110">
        <f>$O192*BE192*'Cost inputs'!AI$12/1000000</f>
        <v>0</v>
      </c>
      <c r="CP192" s="110">
        <f>$O192*BF192*'Cost inputs'!AJ$12/1000000</f>
        <v>0</v>
      </c>
      <c r="CQ192" s="110">
        <f>$O192*BG192*'Cost inputs'!AK$12/1000000</f>
        <v>0</v>
      </c>
      <c r="CR192" s="131">
        <f t="shared" si="362"/>
        <v>0.147557269793895</v>
      </c>
      <c r="CS192" s="26"/>
    </row>
    <row r="193" spans="1:97" x14ac:dyDescent="0.3">
      <c r="A193" s="104" t="str">
        <f t="shared" ref="A193:N193" si="402">A78</f>
        <v>Opaheke / Drury</v>
      </c>
      <c r="B193" s="104" t="str">
        <f t="shared" si="402"/>
        <v>Drury</v>
      </c>
      <c r="C193" s="104">
        <f t="shared" si="402"/>
        <v>0</v>
      </c>
      <c r="D193" s="104" t="str">
        <f t="shared" si="402"/>
        <v>Drury West (Stage 2)</v>
      </c>
      <c r="E193" s="104">
        <f t="shared" si="402"/>
        <v>0</v>
      </c>
      <c r="F193" s="104">
        <f t="shared" si="402"/>
        <v>0</v>
      </c>
      <c r="G193" s="104">
        <f t="shared" si="402"/>
        <v>1</v>
      </c>
      <c r="H193" s="104">
        <f t="shared" si="402"/>
        <v>0</v>
      </c>
      <c r="I193" s="104">
        <f t="shared" si="402"/>
        <v>0</v>
      </c>
      <c r="J193" s="104">
        <f t="shared" si="402"/>
        <v>0</v>
      </c>
      <c r="K193" s="104">
        <f t="shared" si="402"/>
        <v>1</v>
      </c>
      <c r="L193" s="104">
        <f t="shared" si="402"/>
        <v>0</v>
      </c>
      <c r="M193" s="104">
        <f t="shared" si="402"/>
        <v>0</v>
      </c>
      <c r="N193" s="104">
        <f t="shared" si="402"/>
        <v>0</v>
      </c>
      <c r="O193" s="104">
        <f t="shared" si="374"/>
        <v>1</v>
      </c>
      <c r="P193" s="104" cm="1">
        <f t="array" ref="P193">2024+MATCH(1,0/AB193:BG193)</f>
        <v>2045</v>
      </c>
      <c r="Q193" s="104" t="str">
        <f t="shared" si="318"/>
        <v>Drury West (Stage 2)</v>
      </c>
      <c r="R193" s="104">
        <f t="shared" si="321"/>
        <v>0</v>
      </c>
      <c r="S193" s="104"/>
      <c r="T193" s="104"/>
      <c r="U193" s="104"/>
      <c r="V193" s="104"/>
      <c r="W193" s="104"/>
      <c r="X193" s="104"/>
      <c r="Y193" s="104"/>
      <c r="Z193" s="104"/>
      <c r="AA193" s="104"/>
      <c r="AB193" s="103">
        <f t="shared" si="382"/>
        <v>0</v>
      </c>
      <c r="AC193" s="103">
        <f t="shared" si="379"/>
        <v>0</v>
      </c>
      <c r="AD193" s="103">
        <f t="shared" ref="AD193:BG193" si="403">AD78</f>
        <v>0</v>
      </c>
      <c r="AE193" s="103">
        <f t="shared" si="403"/>
        <v>0</v>
      </c>
      <c r="AF193" s="103">
        <f t="shared" si="403"/>
        <v>0</v>
      </c>
      <c r="AG193" s="103">
        <f t="shared" si="403"/>
        <v>0</v>
      </c>
      <c r="AH193" s="103">
        <f t="shared" si="403"/>
        <v>0</v>
      </c>
      <c r="AI193" s="103">
        <f t="shared" si="403"/>
        <v>4.9999999999999996E-2</v>
      </c>
      <c r="AJ193" s="103">
        <f t="shared" si="403"/>
        <v>4.9999999999999996E-2</v>
      </c>
      <c r="AK193" s="103">
        <f t="shared" si="403"/>
        <v>4.9999999999999996E-2</v>
      </c>
      <c r="AL193" s="103">
        <f t="shared" si="403"/>
        <v>0.125</v>
      </c>
      <c r="AM193" s="103">
        <f t="shared" si="403"/>
        <v>0.125</v>
      </c>
      <c r="AN193" s="103">
        <f t="shared" si="403"/>
        <v>0.125</v>
      </c>
      <c r="AO193" s="103">
        <f t="shared" si="403"/>
        <v>0.125</v>
      </c>
      <c r="AP193" s="103">
        <f t="shared" si="403"/>
        <v>6.25E-2</v>
      </c>
      <c r="AQ193" s="103">
        <f t="shared" si="403"/>
        <v>6.25E-2</v>
      </c>
      <c r="AR193" s="103">
        <f t="shared" si="403"/>
        <v>6.25E-2</v>
      </c>
      <c r="AS193" s="103">
        <f t="shared" si="403"/>
        <v>6.25E-2</v>
      </c>
      <c r="AT193" s="103">
        <f t="shared" si="403"/>
        <v>3.3333333333333333E-2</v>
      </c>
      <c r="AU193" s="103">
        <f t="shared" si="403"/>
        <v>3.3333333333333333E-2</v>
      </c>
      <c r="AV193" s="103">
        <f t="shared" si="403"/>
        <v>3.3333333333333333E-2</v>
      </c>
      <c r="AW193" s="103">
        <f t="shared" si="403"/>
        <v>0</v>
      </c>
      <c r="AX193" s="103">
        <f t="shared" si="403"/>
        <v>0</v>
      </c>
      <c r="AY193" s="103">
        <f t="shared" si="403"/>
        <v>0</v>
      </c>
      <c r="AZ193" s="103">
        <f t="shared" si="403"/>
        <v>0</v>
      </c>
      <c r="BA193" s="103">
        <f t="shared" si="403"/>
        <v>0</v>
      </c>
      <c r="BB193" s="103">
        <f t="shared" si="403"/>
        <v>0</v>
      </c>
      <c r="BC193" s="103">
        <f t="shared" si="403"/>
        <v>0</v>
      </c>
      <c r="BD193" s="103">
        <f t="shared" si="403"/>
        <v>0</v>
      </c>
      <c r="BE193" s="103">
        <f t="shared" si="403"/>
        <v>0</v>
      </c>
      <c r="BF193" s="103">
        <f t="shared" si="403"/>
        <v>0</v>
      </c>
      <c r="BG193" s="103">
        <f t="shared" si="403"/>
        <v>0</v>
      </c>
      <c r="BH193" s="103"/>
      <c r="BI193" s="104"/>
      <c r="BJ193" s="104"/>
      <c r="BK193" s="104"/>
      <c r="BL193" s="110">
        <f>$O193*AB193*'Cost inputs'!F$12/1000000</f>
        <v>0</v>
      </c>
      <c r="BM193" s="110">
        <f>$O193*AC193*'Cost inputs'!G$12/1000000</f>
        <v>0</v>
      </c>
      <c r="BN193" s="110">
        <f>$O193*AD193*'Cost inputs'!H$12/1000000</f>
        <v>0</v>
      </c>
      <c r="BO193" s="110">
        <f>$O193*AE193*'Cost inputs'!I$12/1000000</f>
        <v>0</v>
      </c>
      <c r="BP193" s="110">
        <f>$O193*AF193*'Cost inputs'!J$12/1000000</f>
        <v>0</v>
      </c>
      <c r="BQ193" s="110">
        <f>$O193*AG193*'Cost inputs'!K$12/1000000</f>
        <v>0</v>
      </c>
      <c r="BR193" s="110">
        <f>$O193*AH193*'Cost inputs'!L$12/1000000</f>
        <v>0</v>
      </c>
      <c r="BS193" s="110">
        <f>$O193*AI193*'Cost inputs'!M$12/1000000</f>
        <v>1.9977804947274558E-3</v>
      </c>
      <c r="BT193" s="110">
        <f>$O193*AJ193*'Cost inputs'!N$12/1000000</f>
        <v>2.0417316656114598E-3</v>
      </c>
      <c r="BU193" s="110">
        <f>$O193*AK193*'Cost inputs'!O$12/1000000</f>
        <v>2.0866497622549119E-3</v>
      </c>
      <c r="BV193" s="110">
        <f>$O193*AL193*'Cost inputs'!P$12/1000000</f>
        <v>5.3313901425613005E-3</v>
      </c>
      <c r="BW193" s="110">
        <f>$O193*AM193*'Cost inputs'!Q$12/1000000</f>
        <v>5.4486807256976487E-3</v>
      </c>
      <c r="BX193" s="110">
        <f>$O193*AN193*'Cost inputs'!R$12/1000000</f>
        <v>5.5685517016629974E-3</v>
      </c>
      <c r="BY193" s="110">
        <f>$O193*AO193*'Cost inputs'!S$12/1000000</f>
        <v>5.6910598390995841E-3</v>
      </c>
      <c r="BZ193" s="110">
        <f>$O193*AP193*'Cost inputs'!T$12/1000000</f>
        <v>2.9081315777798873E-3</v>
      </c>
      <c r="CA193" s="110">
        <f>$O193*AQ193*'Cost inputs'!U$12/1000000</f>
        <v>2.9721104724910446E-3</v>
      </c>
      <c r="CB193" s="110">
        <f>$O193*AR193*'Cost inputs'!V$12/1000000</f>
        <v>3.0374969028858479E-3</v>
      </c>
      <c r="CC193" s="110">
        <f>$O193*AS193*'Cost inputs'!W$12/1000000</f>
        <v>3.1043218347493367E-3</v>
      </c>
      <c r="CD193" s="110">
        <f>$O193*AT193*'Cost inputs'!X$12/1000000</f>
        <v>1.6920623547273716E-3</v>
      </c>
      <c r="CE193" s="110">
        <f>$O193*AU193*'Cost inputs'!Y$12/1000000</f>
        <v>1.7292877265313738E-3</v>
      </c>
      <c r="CF193" s="110">
        <f>$O193*AV193*'Cost inputs'!Z$12/1000000</f>
        <v>1.7673320565150643E-3</v>
      </c>
      <c r="CG193" s="110">
        <f>$O193*AW193*'Cost inputs'!AA$12/1000000</f>
        <v>0</v>
      </c>
      <c r="CH193" s="110">
        <f>$O193*AX193*'Cost inputs'!AB$12/1000000</f>
        <v>0</v>
      </c>
      <c r="CI193" s="110">
        <f>$O193*AY193*'Cost inputs'!AC$12/1000000</f>
        <v>0</v>
      </c>
      <c r="CJ193" s="110">
        <f>$O193*AZ193*'Cost inputs'!AD$12/1000000</f>
        <v>0</v>
      </c>
      <c r="CK193" s="110">
        <f>$O193*BA193*'Cost inputs'!AE$12/1000000</f>
        <v>0</v>
      </c>
      <c r="CL193" s="110">
        <f>$O193*BB193*'Cost inputs'!AF$12/1000000</f>
        <v>0</v>
      </c>
      <c r="CM193" s="110">
        <f>$O193*BC193*'Cost inputs'!AG$12/1000000</f>
        <v>0</v>
      </c>
      <c r="CN193" s="110">
        <f>$O193*BD193*'Cost inputs'!AH$12/1000000</f>
        <v>0</v>
      </c>
      <c r="CO193" s="110">
        <f>$O193*BE193*'Cost inputs'!AI$12/1000000</f>
        <v>0</v>
      </c>
      <c r="CP193" s="110">
        <f>$O193*BF193*'Cost inputs'!AJ$12/1000000</f>
        <v>0</v>
      </c>
      <c r="CQ193" s="110">
        <f>$O193*BG193*'Cost inputs'!AK$12/1000000</f>
        <v>0</v>
      </c>
      <c r="CR193" s="131">
        <f t="shared" si="362"/>
        <v>4.5376587257295292E-2</v>
      </c>
      <c r="CS193" s="26"/>
    </row>
    <row r="194" spans="1:97" x14ac:dyDescent="0.3">
      <c r="A194" s="104" t="str">
        <f t="shared" ref="A194:N194" si="404">A79</f>
        <v>Opaheke / Drury</v>
      </c>
      <c r="B194" s="104" t="str">
        <f t="shared" si="404"/>
        <v>Drury</v>
      </c>
      <c r="C194" s="104">
        <f t="shared" si="404"/>
        <v>0</v>
      </c>
      <c r="D194" s="104" t="str">
        <f t="shared" si="404"/>
        <v>Drury West (Stage 2)</v>
      </c>
      <c r="E194" s="104">
        <f t="shared" si="404"/>
        <v>0</v>
      </c>
      <c r="F194" s="104">
        <f t="shared" si="404"/>
        <v>0</v>
      </c>
      <c r="G194" s="104">
        <f t="shared" si="404"/>
        <v>0</v>
      </c>
      <c r="H194" s="104">
        <f t="shared" si="404"/>
        <v>0</v>
      </c>
      <c r="I194" s="104">
        <f t="shared" si="404"/>
        <v>0.5</v>
      </c>
      <c r="J194" s="104">
        <f t="shared" si="404"/>
        <v>0</v>
      </c>
      <c r="K194" s="104">
        <f t="shared" si="404"/>
        <v>0</v>
      </c>
      <c r="L194" s="104">
        <f t="shared" si="404"/>
        <v>0</v>
      </c>
      <c r="M194" s="104">
        <f t="shared" si="404"/>
        <v>0.5</v>
      </c>
      <c r="N194" s="104">
        <f t="shared" si="404"/>
        <v>0</v>
      </c>
      <c r="O194" s="104">
        <f t="shared" si="374"/>
        <v>1</v>
      </c>
      <c r="P194" s="104" cm="1">
        <f t="array" ref="P194">2024+MATCH(1,0/AB194:BG194)</f>
        <v>2045</v>
      </c>
      <c r="Q194" s="104" t="str">
        <f t="shared" si="318"/>
        <v>Drury West (Stage 2)</v>
      </c>
      <c r="R194" s="104">
        <f t="shared" si="321"/>
        <v>0</v>
      </c>
      <c r="S194" s="104"/>
      <c r="T194" s="104"/>
      <c r="U194" s="104"/>
      <c r="V194" s="104"/>
      <c r="W194" s="104"/>
      <c r="X194" s="104"/>
      <c r="Y194" s="104"/>
      <c r="Z194" s="104"/>
      <c r="AA194" s="104"/>
      <c r="AB194" s="103">
        <f t="shared" si="382"/>
        <v>0</v>
      </c>
      <c r="AC194" s="103">
        <f t="shared" si="379"/>
        <v>0</v>
      </c>
      <c r="AD194" s="103">
        <f t="shared" ref="AD194:BG194" si="405">AD79</f>
        <v>0</v>
      </c>
      <c r="AE194" s="103">
        <f t="shared" si="405"/>
        <v>0</v>
      </c>
      <c r="AF194" s="103">
        <f t="shared" si="405"/>
        <v>0</v>
      </c>
      <c r="AG194" s="103">
        <f t="shared" si="405"/>
        <v>0</v>
      </c>
      <c r="AH194" s="103">
        <f t="shared" si="405"/>
        <v>0</v>
      </c>
      <c r="AI194" s="103">
        <f t="shared" si="405"/>
        <v>0</v>
      </c>
      <c r="AJ194" s="103">
        <f t="shared" si="405"/>
        <v>0</v>
      </c>
      <c r="AK194" s="103">
        <f t="shared" si="405"/>
        <v>0</v>
      </c>
      <c r="AL194" s="103">
        <f t="shared" si="405"/>
        <v>0</v>
      </c>
      <c r="AM194" s="103">
        <f t="shared" si="405"/>
        <v>0</v>
      </c>
      <c r="AN194" s="103">
        <f t="shared" si="405"/>
        <v>0</v>
      </c>
      <c r="AO194" s="103">
        <f t="shared" si="405"/>
        <v>0</v>
      </c>
      <c r="AP194" s="103">
        <f t="shared" si="405"/>
        <v>0.125</v>
      </c>
      <c r="AQ194" s="103">
        <f t="shared" si="405"/>
        <v>0.125</v>
      </c>
      <c r="AR194" s="103">
        <f t="shared" si="405"/>
        <v>0.125</v>
      </c>
      <c r="AS194" s="103">
        <f t="shared" si="405"/>
        <v>0.125</v>
      </c>
      <c r="AT194" s="103">
        <f t="shared" si="405"/>
        <v>0.16666666666666666</v>
      </c>
      <c r="AU194" s="103">
        <f t="shared" si="405"/>
        <v>0.16666666666666666</v>
      </c>
      <c r="AV194" s="103">
        <f t="shared" si="405"/>
        <v>0.16666666666666666</v>
      </c>
      <c r="AW194" s="103">
        <f t="shared" si="405"/>
        <v>0</v>
      </c>
      <c r="AX194" s="103">
        <f t="shared" si="405"/>
        <v>0</v>
      </c>
      <c r="AY194" s="103">
        <f t="shared" si="405"/>
        <v>0</v>
      </c>
      <c r="AZ194" s="103">
        <f t="shared" si="405"/>
        <v>0</v>
      </c>
      <c r="BA194" s="103">
        <f t="shared" si="405"/>
        <v>0</v>
      </c>
      <c r="BB194" s="103">
        <f t="shared" si="405"/>
        <v>0</v>
      </c>
      <c r="BC194" s="103">
        <f t="shared" si="405"/>
        <v>0</v>
      </c>
      <c r="BD194" s="103">
        <f t="shared" si="405"/>
        <v>0</v>
      </c>
      <c r="BE194" s="103">
        <f t="shared" si="405"/>
        <v>0</v>
      </c>
      <c r="BF194" s="103">
        <f t="shared" si="405"/>
        <v>0</v>
      </c>
      <c r="BG194" s="103">
        <f t="shared" si="405"/>
        <v>0</v>
      </c>
      <c r="BH194" s="103"/>
      <c r="BI194" s="104"/>
      <c r="BJ194" s="104"/>
      <c r="BK194" s="104"/>
      <c r="BL194" s="110">
        <f>$O194*AB194*'Cost inputs'!F$12/1000000</f>
        <v>0</v>
      </c>
      <c r="BM194" s="110">
        <f>$O194*AC194*'Cost inputs'!G$12/1000000</f>
        <v>0</v>
      </c>
      <c r="BN194" s="110">
        <f>$O194*AD194*'Cost inputs'!H$12/1000000</f>
        <v>0</v>
      </c>
      <c r="BO194" s="110">
        <f>$O194*AE194*'Cost inputs'!I$12/1000000</f>
        <v>0</v>
      </c>
      <c r="BP194" s="110">
        <f>$O194*AF194*'Cost inputs'!J$12/1000000</f>
        <v>0</v>
      </c>
      <c r="BQ194" s="110">
        <f>$O194*AG194*'Cost inputs'!K$12/1000000</f>
        <v>0</v>
      </c>
      <c r="BR194" s="110">
        <f>$O194*AH194*'Cost inputs'!L$12/1000000</f>
        <v>0</v>
      </c>
      <c r="BS194" s="110">
        <f>$O194*AI194*'Cost inputs'!M$12/1000000</f>
        <v>0</v>
      </c>
      <c r="BT194" s="110">
        <f>$O194*AJ194*'Cost inputs'!N$12/1000000</f>
        <v>0</v>
      </c>
      <c r="BU194" s="110">
        <f>$O194*AK194*'Cost inputs'!O$12/1000000</f>
        <v>0</v>
      </c>
      <c r="BV194" s="110">
        <f>$O194*AL194*'Cost inputs'!P$12/1000000</f>
        <v>0</v>
      </c>
      <c r="BW194" s="110">
        <f>$O194*AM194*'Cost inputs'!Q$12/1000000</f>
        <v>0</v>
      </c>
      <c r="BX194" s="110">
        <f>$O194*AN194*'Cost inputs'!R$12/1000000</f>
        <v>0</v>
      </c>
      <c r="BY194" s="110">
        <f>$O194*AO194*'Cost inputs'!S$12/1000000</f>
        <v>0</v>
      </c>
      <c r="BZ194" s="110">
        <f>$O194*AP194*'Cost inputs'!T$12/1000000</f>
        <v>5.8162631555597746E-3</v>
      </c>
      <c r="CA194" s="110">
        <f>$O194*AQ194*'Cost inputs'!U$12/1000000</f>
        <v>5.9442209449820892E-3</v>
      </c>
      <c r="CB194" s="110">
        <f>$O194*AR194*'Cost inputs'!V$12/1000000</f>
        <v>6.0749938057716958E-3</v>
      </c>
      <c r="CC194" s="110">
        <f>$O194*AS194*'Cost inputs'!W$12/1000000</f>
        <v>6.2086436694986733E-3</v>
      </c>
      <c r="CD194" s="110">
        <f>$O194*AT194*'Cost inputs'!X$12/1000000</f>
        <v>8.4603117736368593E-3</v>
      </c>
      <c r="CE194" s="110">
        <f>$O194*AU194*'Cost inputs'!Y$12/1000000</f>
        <v>8.6464386326568689E-3</v>
      </c>
      <c r="CF194" s="110">
        <f>$O194*AV194*'Cost inputs'!Z$12/1000000</f>
        <v>8.8366602825753222E-3</v>
      </c>
      <c r="CG194" s="110">
        <f>$O194*AW194*'Cost inputs'!AA$12/1000000</f>
        <v>0</v>
      </c>
      <c r="CH194" s="110">
        <f>$O194*AX194*'Cost inputs'!AB$12/1000000</f>
        <v>0</v>
      </c>
      <c r="CI194" s="110">
        <f>$O194*AY194*'Cost inputs'!AC$12/1000000</f>
        <v>0</v>
      </c>
      <c r="CJ194" s="110">
        <f>$O194*AZ194*'Cost inputs'!AD$12/1000000</f>
        <v>0</v>
      </c>
      <c r="CK194" s="110">
        <f>$O194*BA194*'Cost inputs'!AE$12/1000000</f>
        <v>0</v>
      </c>
      <c r="CL194" s="110">
        <f>$O194*BB194*'Cost inputs'!AF$12/1000000</f>
        <v>0</v>
      </c>
      <c r="CM194" s="110">
        <f>$O194*BC194*'Cost inputs'!AG$12/1000000</f>
        <v>0</v>
      </c>
      <c r="CN194" s="110">
        <f>$O194*BD194*'Cost inputs'!AH$12/1000000</f>
        <v>0</v>
      </c>
      <c r="CO194" s="110">
        <f>$O194*BE194*'Cost inputs'!AI$12/1000000</f>
        <v>0</v>
      </c>
      <c r="CP194" s="110">
        <f>$O194*BF194*'Cost inputs'!AJ$12/1000000</f>
        <v>0</v>
      </c>
      <c r="CQ194" s="110">
        <f>$O194*BG194*'Cost inputs'!AK$12/1000000</f>
        <v>0</v>
      </c>
      <c r="CR194" s="131">
        <f t="shared" si="362"/>
        <v>4.9987532264681285E-2</v>
      </c>
      <c r="CS194" s="26"/>
    </row>
    <row r="195" spans="1:97" x14ac:dyDescent="0.3">
      <c r="A195" s="104" t="str">
        <f t="shared" ref="A195:N195" si="406">A80</f>
        <v>Opaheke / Drury</v>
      </c>
      <c r="B195" s="104" t="str">
        <f t="shared" si="406"/>
        <v>Drury</v>
      </c>
      <c r="C195" s="104">
        <f t="shared" si="406"/>
        <v>0</v>
      </c>
      <c r="D195" s="104" t="str">
        <f t="shared" si="406"/>
        <v>Drury West (Stage 3) (remainder)</v>
      </c>
      <c r="E195" s="104">
        <f t="shared" si="406"/>
        <v>0</v>
      </c>
      <c r="F195" s="104">
        <f t="shared" si="406"/>
        <v>4</v>
      </c>
      <c r="G195" s="104">
        <f t="shared" si="406"/>
        <v>0</v>
      </c>
      <c r="H195" s="104">
        <f t="shared" si="406"/>
        <v>0</v>
      </c>
      <c r="I195" s="104">
        <f t="shared" si="406"/>
        <v>0</v>
      </c>
      <c r="J195" s="104">
        <f t="shared" si="406"/>
        <v>4</v>
      </c>
      <c r="K195" s="104">
        <f t="shared" si="406"/>
        <v>0</v>
      </c>
      <c r="L195" s="104">
        <f t="shared" si="406"/>
        <v>0</v>
      </c>
      <c r="M195" s="104">
        <f t="shared" si="406"/>
        <v>0</v>
      </c>
      <c r="N195" s="104">
        <f t="shared" si="406"/>
        <v>0</v>
      </c>
      <c r="O195" s="104">
        <f t="shared" si="374"/>
        <v>4</v>
      </c>
      <c r="P195" s="104" cm="1">
        <f t="array" ref="P195">2024+MATCH(1,0/AB195:BG195)</f>
        <v>2045</v>
      </c>
      <c r="Q195" s="104" t="str">
        <f t="shared" si="318"/>
        <v>Drury West (Stage 3) (remainder)</v>
      </c>
      <c r="R195" s="104">
        <f t="shared" si="321"/>
        <v>0</v>
      </c>
      <c r="S195" s="104"/>
      <c r="T195" s="104"/>
      <c r="U195" s="104"/>
      <c r="V195" s="104"/>
      <c r="W195" s="104"/>
      <c r="X195" s="104"/>
      <c r="Y195" s="104"/>
      <c r="Z195" s="104"/>
      <c r="AA195" s="104"/>
      <c r="AB195" s="103">
        <f t="shared" si="382"/>
        <v>0</v>
      </c>
      <c r="AC195" s="103">
        <f t="shared" si="379"/>
        <v>0</v>
      </c>
      <c r="AD195" s="103">
        <f t="shared" ref="AD195:BG195" si="407">AD80</f>
        <v>0</v>
      </c>
      <c r="AE195" s="103">
        <f t="shared" si="407"/>
        <v>0</v>
      </c>
      <c r="AF195" s="103">
        <f t="shared" si="407"/>
        <v>0</v>
      </c>
      <c r="AG195" s="103">
        <f t="shared" si="407"/>
        <v>0</v>
      </c>
      <c r="AH195" s="103">
        <f t="shared" si="407"/>
        <v>0</v>
      </c>
      <c r="AI195" s="103">
        <f t="shared" si="407"/>
        <v>0</v>
      </c>
      <c r="AJ195" s="103">
        <f t="shared" si="407"/>
        <v>0</v>
      </c>
      <c r="AK195" s="103">
        <f t="shared" si="407"/>
        <v>0</v>
      </c>
      <c r="AL195" s="103">
        <f t="shared" si="407"/>
        <v>0.05</v>
      </c>
      <c r="AM195" s="103">
        <f t="shared" si="407"/>
        <v>0.05</v>
      </c>
      <c r="AN195" s="103">
        <f t="shared" si="407"/>
        <v>0.05</v>
      </c>
      <c r="AO195" s="103">
        <f t="shared" si="407"/>
        <v>0.05</v>
      </c>
      <c r="AP195" s="103">
        <f t="shared" si="407"/>
        <v>7.4999999999999997E-2</v>
      </c>
      <c r="AQ195" s="103">
        <f t="shared" si="407"/>
        <v>7.4999999999999997E-2</v>
      </c>
      <c r="AR195" s="103">
        <f t="shared" si="407"/>
        <v>7.4999999999999997E-2</v>
      </c>
      <c r="AS195" s="103">
        <f t="shared" si="407"/>
        <v>7.4999999999999997E-2</v>
      </c>
      <c r="AT195" s="103">
        <f t="shared" si="407"/>
        <v>0.16666666666666666</v>
      </c>
      <c r="AU195" s="103">
        <f t="shared" si="407"/>
        <v>0.16666666666666666</v>
      </c>
      <c r="AV195" s="103">
        <f t="shared" si="407"/>
        <v>0.16666666666666666</v>
      </c>
      <c r="AW195" s="103">
        <f t="shared" si="407"/>
        <v>0</v>
      </c>
      <c r="AX195" s="103">
        <f t="shared" si="407"/>
        <v>0</v>
      </c>
      <c r="AY195" s="103">
        <f t="shared" si="407"/>
        <v>0</v>
      </c>
      <c r="AZ195" s="103">
        <f t="shared" si="407"/>
        <v>0</v>
      </c>
      <c r="BA195" s="103">
        <f t="shared" si="407"/>
        <v>0</v>
      </c>
      <c r="BB195" s="103">
        <f t="shared" si="407"/>
        <v>0</v>
      </c>
      <c r="BC195" s="103">
        <f t="shared" si="407"/>
        <v>0</v>
      </c>
      <c r="BD195" s="103">
        <f t="shared" si="407"/>
        <v>0</v>
      </c>
      <c r="BE195" s="103">
        <f t="shared" si="407"/>
        <v>0</v>
      </c>
      <c r="BF195" s="103">
        <f t="shared" si="407"/>
        <v>0</v>
      </c>
      <c r="BG195" s="103">
        <f t="shared" si="407"/>
        <v>0</v>
      </c>
      <c r="BH195" s="103"/>
      <c r="BI195" s="104"/>
      <c r="BJ195" s="104"/>
      <c r="BK195" s="104"/>
      <c r="BL195" s="110">
        <f>$O195*AB195*'Cost inputs'!F$12/1000000</f>
        <v>0</v>
      </c>
      <c r="BM195" s="110">
        <f>$O195*AC195*'Cost inputs'!G$12/1000000</f>
        <v>0</v>
      </c>
      <c r="BN195" s="110">
        <f>$O195*AD195*'Cost inputs'!H$12/1000000</f>
        <v>0</v>
      </c>
      <c r="BO195" s="110">
        <f>$O195*AE195*'Cost inputs'!I$12/1000000</f>
        <v>0</v>
      </c>
      <c r="BP195" s="110">
        <f>$O195*AF195*'Cost inputs'!J$12/1000000</f>
        <v>0</v>
      </c>
      <c r="BQ195" s="110">
        <f>$O195*AG195*'Cost inputs'!K$12/1000000</f>
        <v>0</v>
      </c>
      <c r="BR195" s="110">
        <f>$O195*AH195*'Cost inputs'!L$12/1000000</f>
        <v>0</v>
      </c>
      <c r="BS195" s="110">
        <f>$O195*AI195*'Cost inputs'!M$12/1000000</f>
        <v>0</v>
      </c>
      <c r="BT195" s="110">
        <f>$O195*AJ195*'Cost inputs'!N$12/1000000</f>
        <v>0</v>
      </c>
      <c r="BU195" s="110">
        <f>$O195*AK195*'Cost inputs'!O$12/1000000</f>
        <v>0</v>
      </c>
      <c r="BV195" s="110">
        <f>$O195*AL195*'Cost inputs'!P$12/1000000</f>
        <v>8.5302242280980815E-3</v>
      </c>
      <c r="BW195" s="110">
        <f>$O195*AM195*'Cost inputs'!Q$12/1000000</f>
        <v>8.7178891611162379E-3</v>
      </c>
      <c r="BX195" s="110">
        <f>$O195*AN195*'Cost inputs'!R$12/1000000</f>
        <v>8.9096827226607962E-3</v>
      </c>
      <c r="BY195" s="110">
        <f>$O195*AO195*'Cost inputs'!S$12/1000000</f>
        <v>9.1056957425593339E-3</v>
      </c>
      <c r="BZ195" s="110">
        <f>$O195*AP195*'Cost inputs'!T$12/1000000</f>
        <v>1.3959031573343458E-2</v>
      </c>
      <c r="CA195" s="110">
        <f>$O195*AQ195*'Cost inputs'!U$12/1000000</f>
        <v>1.4266130267957014E-2</v>
      </c>
      <c r="CB195" s="110">
        <f>$O195*AR195*'Cost inputs'!V$12/1000000</f>
        <v>1.4579985133852068E-2</v>
      </c>
      <c r="CC195" s="110">
        <f>$O195*AS195*'Cost inputs'!W$12/1000000</f>
        <v>1.4900744806796814E-2</v>
      </c>
      <c r="CD195" s="110">
        <f>$O195*AT195*'Cost inputs'!X$12/1000000</f>
        <v>3.3841247094547437E-2</v>
      </c>
      <c r="CE195" s="110">
        <f>$O195*AU195*'Cost inputs'!Y$12/1000000</f>
        <v>3.4585754530627476E-2</v>
      </c>
      <c r="CF195" s="110">
        <f>$O195*AV195*'Cost inputs'!Z$12/1000000</f>
        <v>3.5346641130301289E-2</v>
      </c>
      <c r="CG195" s="110">
        <f>$O195*AW195*'Cost inputs'!AA$12/1000000</f>
        <v>0</v>
      </c>
      <c r="CH195" s="110">
        <f>$O195*AX195*'Cost inputs'!AB$12/1000000</f>
        <v>0</v>
      </c>
      <c r="CI195" s="110">
        <f>$O195*AY195*'Cost inputs'!AC$12/1000000</f>
        <v>0</v>
      </c>
      <c r="CJ195" s="110">
        <f>$O195*AZ195*'Cost inputs'!AD$12/1000000</f>
        <v>0</v>
      </c>
      <c r="CK195" s="110">
        <f>$O195*BA195*'Cost inputs'!AE$12/1000000</f>
        <v>0</v>
      </c>
      <c r="CL195" s="110">
        <f>$O195*BB195*'Cost inputs'!AF$12/1000000</f>
        <v>0</v>
      </c>
      <c r="CM195" s="110">
        <f>$O195*BC195*'Cost inputs'!AG$12/1000000</f>
        <v>0</v>
      </c>
      <c r="CN195" s="110">
        <f>$O195*BD195*'Cost inputs'!AH$12/1000000</f>
        <v>0</v>
      </c>
      <c r="CO195" s="110">
        <f>$O195*BE195*'Cost inputs'!AI$12/1000000</f>
        <v>0</v>
      </c>
      <c r="CP195" s="110">
        <f>$O195*BF195*'Cost inputs'!AJ$12/1000000</f>
        <v>0</v>
      </c>
      <c r="CQ195" s="110">
        <f>$O195*BG195*'Cost inputs'!AK$12/1000000</f>
        <v>0</v>
      </c>
      <c r="CR195" s="131">
        <f t="shared" si="362"/>
        <v>0.19674302639186</v>
      </c>
      <c r="CS195" s="26"/>
    </row>
    <row r="196" spans="1:97" x14ac:dyDescent="0.3">
      <c r="A196" s="104" t="str">
        <f t="shared" ref="A196:N196" si="408">A81</f>
        <v>Opaheke / Drury</v>
      </c>
      <c r="B196" s="104" t="str">
        <f t="shared" si="408"/>
        <v>Drury</v>
      </c>
      <c r="C196" s="104">
        <f t="shared" si="408"/>
        <v>0</v>
      </c>
      <c r="D196" s="104" t="str">
        <f t="shared" si="408"/>
        <v>Drury West (Stage 3) (remainder)</v>
      </c>
      <c r="E196" s="104">
        <f t="shared" si="408"/>
        <v>0</v>
      </c>
      <c r="F196" s="104">
        <f t="shared" si="408"/>
        <v>0</v>
      </c>
      <c r="G196" s="104">
        <f t="shared" si="408"/>
        <v>1</v>
      </c>
      <c r="H196" s="104">
        <f t="shared" si="408"/>
        <v>0</v>
      </c>
      <c r="I196" s="104">
        <f t="shared" si="408"/>
        <v>0</v>
      </c>
      <c r="J196" s="104">
        <f t="shared" si="408"/>
        <v>0</v>
      </c>
      <c r="K196" s="104">
        <f t="shared" si="408"/>
        <v>1</v>
      </c>
      <c r="L196" s="104">
        <f t="shared" si="408"/>
        <v>0</v>
      </c>
      <c r="M196" s="104">
        <f t="shared" si="408"/>
        <v>0</v>
      </c>
      <c r="N196" s="104">
        <f t="shared" si="408"/>
        <v>0</v>
      </c>
      <c r="O196" s="104">
        <f t="shared" si="374"/>
        <v>1</v>
      </c>
      <c r="P196" s="104" cm="1">
        <f t="array" ref="P196">2024+MATCH(1,0/AB196:BG196)</f>
        <v>2045</v>
      </c>
      <c r="Q196" s="104" t="str">
        <f t="shared" si="318"/>
        <v>Drury West (Stage 3) (remainder)</v>
      </c>
      <c r="R196" s="104">
        <f t="shared" si="321"/>
        <v>0</v>
      </c>
      <c r="S196" s="104"/>
      <c r="T196" s="104"/>
      <c r="U196" s="104"/>
      <c r="V196" s="104"/>
      <c r="W196" s="104"/>
      <c r="X196" s="104"/>
      <c r="Y196" s="104"/>
      <c r="Z196" s="104"/>
      <c r="AA196" s="104"/>
      <c r="AB196" s="103">
        <f t="shared" si="382"/>
        <v>0</v>
      </c>
      <c r="AC196" s="103">
        <f t="shared" si="379"/>
        <v>0</v>
      </c>
      <c r="AD196" s="103">
        <f t="shared" ref="AD196:BG196" si="409">AD81</f>
        <v>0</v>
      </c>
      <c r="AE196" s="103">
        <f t="shared" si="409"/>
        <v>0</v>
      </c>
      <c r="AF196" s="103">
        <f t="shared" si="409"/>
        <v>0</v>
      </c>
      <c r="AG196" s="103">
        <f t="shared" si="409"/>
        <v>0</v>
      </c>
      <c r="AH196" s="103">
        <f t="shared" si="409"/>
        <v>0</v>
      </c>
      <c r="AI196" s="103">
        <f t="shared" si="409"/>
        <v>4.9999999999999996E-2</v>
      </c>
      <c r="AJ196" s="103">
        <f t="shared" si="409"/>
        <v>4.9999999999999996E-2</v>
      </c>
      <c r="AK196" s="103">
        <f t="shared" si="409"/>
        <v>4.9999999999999996E-2</v>
      </c>
      <c r="AL196" s="103">
        <f t="shared" si="409"/>
        <v>0.125</v>
      </c>
      <c r="AM196" s="103">
        <f t="shared" si="409"/>
        <v>0.125</v>
      </c>
      <c r="AN196" s="103">
        <f t="shared" si="409"/>
        <v>0.125</v>
      </c>
      <c r="AO196" s="103">
        <f t="shared" si="409"/>
        <v>0.125</v>
      </c>
      <c r="AP196" s="103">
        <f t="shared" si="409"/>
        <v>6.25E-2</v>
      </c>
      <c r="AQ196" s="103">
        <f t="shared" si="409"/>
        <v>6.25E-2</v>
      </c>
      <c r="AR196" s="103">
        <f t="shared" si="409"/>
        <v>6.25E-2</v>
      </c>
      <c r="AS196" s="103">
        <f t="shared" si="409"/>
        <v>6.25E-2</v>
      </c>
      <c r="AT196" s="103">
        <f t="shared" si="409"/>
        <v>3.3333333333333333E-2</v>
      </c>
      <c r="AU196" s="103">
        <f t="shared" si="409"/>
        <v>3.3333333333333333E-2</v>
      </c>
      <c r="AV196" s="103">
        <f t="shared" si="409"/>
        <v>3.3333333333333333E-2</v>
      </c>
      <c r="AW196" s="103">
        <f t="shared" si="409"/>
        <v>0</v>
      </c>
      <c r="AX196" s="103">
        <f t="shared" si="409"/>
        <v>0</v>
      </c>
      <c r="AY196" s="103">
        <f t="shared" si="409"/>
        <v>0</v>
      </c>
      <c r="AZ196" s="103">
        <f t="shared" si="409"/>
        <v>0</v>
      </c>
      <c r="BA196" s="103">
        <f t="shared" si="409"/>
        <v>0</v>
      </c>
      <c r="BB196" s="103">
        <f t="shared" si="409"/>
        <v>0</v>
      </c>
      <c r="BC196" s="103">
        <f t="shared" si="409"/>
        <v>0</v>
      </c>
      <c r="BD196" s="103">
        <f t="shared" si="409"/>
        <v>0</v>
      </c>
      <c r="BE196" s="103">
        <f t="shared" si="409"/>
        <v>0</v>
      </c>
      <c r="BF196" s="103">
        <f t="shared" si="409"/>
        <v>0</v>
      </c>
      <c r="BG196" s="103">
        <f t="shared" si="409"/>
        <v>0</v>
      </c>
      <c r="BH196" s="103"/>
      <c r="BI196" s="104"/>
      <c r="BJ196" s="104"/>
      <c r="BK196" s="104"/>
      <c r="BL196" s="110">
        <f>$O196*AB196*'Cost inputs'!F$12/1000000</f>
        <v>0</v>
      </c>
      <c r="BM196" s="110">
        <f>$O196*AC196*'Cost inputs'!G$12/1000000</f>
        <v>0</v>
      </c>
      <c r="BN196" s="110">
        <f>$O196*AD196*'Cost inputs'!H$12/1000000</f>
        <v>0</v>
      </c>
      <c r="BO196" s="110">
        <f>$O196*AE196*'Cost inputs'!I$12/1000000</f>
        <v>0</v>
      </c>
      <c r="BP196" s="110">
        <f>$O196*AF196*'Cost inputs'!J$12/1000000</f>
        <v>0</v>
      </c>
      <c r="BQ196" s="110">
        <f>$O196*AG196*'Cost inputs'!K$12/1000000</f>
        <v>0</v>
      </c>
      <c r="BR196" s="110">
        <f>$O196*AH196*'Cost inputs'!L$12/1000000</f>
        <v>0</v>
      </c>
      <c r="BS196" s="110">
        <f>$O196*AI196*'Cost inputs'!M$12/1000000</f>
        <v>1.9977804947274558E-3</v>
      </c>
      <c r="BT196" s="110">
        <f>$O196*AJ196*'Cost inputs'!N$12/1000000</f>
        <v>2.0417316656114598E-3</v>
      </c>
      <c r="BU196" s="110">
        <f>$O196*AK196*'Cost inputs'!O$12/1000000</f>
        <v>2.0866497622549119E-3</v>
      </c>
      <c r="BV196" s="110">
        <f>$O196*AL196*'Cost inputs'!P$12/1000000</f>
        <v>5.3313901425613005E-3</v>
      </c>
      <c r="BW196" s="110">
        <f>$O196*AM196*'Cost inputs'!Q$12/1000000</f>
        <v>5.4486807256976487E-3</v>
      </c>
      <c r="BX196" s="110">
        <f>$O196*AN196*'Cost inputs'!R$12/1000000</f>
        <v>5.5685517016629974E-3</v>
      </c>
      <c r="BY196" s="110">
        <f>$O196*AO196*'Cost inputs'!S$12/1000000</f>
        <v>5.6910598390995841E-3</v>
      </c>
      <c r="BZ196" s="110">
        <f>$O196*AP196*'Cost inputs'!T$12/1000000</f>
        <v>2.9081315777798873E-3</v>
      </c>
      <c r="CA196" s="110">
        <f>$O196*AQ196*'Cost inputs'!U$12/1000000</f>
        <v>2.9721104724910446E-3</v>
      </c>
      <c r="CB196" s="110">
        <f>$O196*AR196*'Cost inputs'!V$12/1000000</f>
        <v>3.0374969028858479E-3</v>
      </c>
      <c r="CC196" s="110">
        <f>$O196*AS196*'Cost inputs'!W$12/1000000</f>
        <v>3.1043218347493367E-3</v>
      </c>
      <c r="CD196" s="110">
        <f>$O196*AT196*'Cost inputs'!X$12/1000000</f>
        <v>1.6920623547273716E-3</v>
      </c>
      <c r="CE196" s="110">
        <f>$O196*AU196*'Cost inputs'!Y$12/1000000</f>
        <v>1.7292877265313738E-3</v>
      </c>
      <c r="CF196" s="110">
        <f>$O196*AV196*'Cost inputs'!Z$12/1000000</f>
        <v>1.7673320565150643E-3</v>
      </c>
      <c r="CG196" s="110">
        <f>$O196*AW196*'Cost inputs'!AA$12/1000000</f>
        <v>0</v>
      </c>
      <c r="CH196" s="110">
        <f>$O196*AX196*'Cost inputs'!AB$12/1000000</f>
        <v>0</v>
      </c>
      <c r="CI196" s="110">
        <f>$O196*AY196*'Cost inputs'!AC$12/1000000</f>
        <v>0</v>
      </c>
      <c r="CJ196" s="110">
        <f>$O196*AZ196*'Cost inputs'!AD$12/1000000</f>
        <v>0</v>
      </c>
      <c r="CK196" s="110">
        <f>$O196*BA196*'Cost inputs'!AE$12/1000000</f>
        <v>0</v>
      </c>
      <c r="CL196" s="110">
        <f>$O196*BB196*'Cost inputs'!AF$12/1000000</f>
        <v>0</v>
      </c>
      <c r="CM196" s="110">
        <f>$O196*BC196*'Cost inputs'!AG$12/1000000</f>
        <v>0</v>
      </c>
      <c r="CN196" s="110">
        <f>$O196*BD196*'Cost inputs'!AH$12/1000000</f>
        <v>0</v>
      </c>
      <c r="CO196" s="110">
        <f>$O196*BE196*'Cost inputs'!AI$12/1000000</f>
        <v>0</v>
      </c>
      <c r="CP196" s="110">
        <f>$O196*BF196*'Cost inputs'!AJ$12/1000000</f>
        <v>0</v>
      </c>
      <c r="CQ196" s="110">
        <f>$O196*BG196*'Cost inputs'!AK$12/1000000</f>
        <v>0</v>
      </c>
      <c r="CR196" s="131">
        <f t="shared" si="362"/>
        <v>4.5376587257295292E-2</v>
      </c>
      <c r="CS196" s="26"/>
    </row>
    <row r="197" spans="1:97" x14ac:dyDescent="0.3">
      <c r="A197" s="104" t="str">
        <f t="shared" ref="A197:N197" si="410">A82</f>
        <v>Opaheke / Drury</v>
      </c>
      <c r="B197" s="104" t="str">
        <f t="shared" si="410"/>
        <v>Rural SE</v>
      </c>
      <c r="C197" s="104">
        <f t="shared" si="410"/>
        <v>0</v>
      </c>
      <c r="D197" s="104" t="str">
        <f t="shared" si="410"/>
        <v>Drury South</v>
      </c>
      <c r="E197" s="104" t="str">
        <f t="shared" si="410"/>
        <v>development progress by sat inspection</v>
      </c>
      <c r="F197" s="104">
        <f t="shared" si="410"/>
        <v>1</v>
      </c>
      <c r="G197" s="104">
        <f t="shared" si="410"/>
        <v>0</v>
      </c>
      <c r="H197" s="104">
        <f t="shared" si="410"/>
        <v>0</v>
      </c>
      <c r="I197" s="104">
        <f t="shared" si="410"/>
        <v>0</v>
      </c>
      <c r="J197" s="104">
        <f t="shared" si="410"/>
        <v>1</v>
      </c>
      <c r="K197" s="104">
        <f t="shared" si="410"/>
        <v>0</v>
      </c>
      <c r="L197" s="104">
        <f t="shared" si="410"/>
        <v>0</v>
      </c>
      <c r="M197" s="104">
        <f t="shared" si="410"/>
        <v>0</v>
      </c>
      <c r="N197" s="104">
        <f t="shared" si="410"/>
        <v>0</v>
      </c>
      <c r="O197" s="104">
        <f t="shared" si="374"/>
        <v>1</v>
      </c>
      <c r="P197" s="104" cm="1">
        <f t="array" ref="P197">2024+MATCH(1,0/AB197:BG197)</f>
        <v>2036</v>
      </c>
      <c r="Q197" s="104" t="str">
        <f t="shared" si="318"/>
        <v>Drury South</v>
      </c>
      <c r="R197" s="104" t="str">
        <f t="shared" si="321"/>
        <v>development progress by sat inspection</v>
      </c>
      <c r="S197" s="104"/>
      <c r="T197" s="104"/>
      <c r="U197" s="104"/>
      <c r="V197" s="104"/>
      <c r="W197" s="104"/>
      <c r="X197" s="104"/>
      <c r="Y197" s="104"/>
      <c r="Z197" s="104"/>
      <c r="AA197" s="104"/>
      <c r="AB197" s="103">
        <f t="shared" si="382"/>
        <v>0</v>
      </c>
      <c r="AC197" s="103">
        <f t="shared" si="379"/>
        <v>0</v>
      </c>
      <c r="AD197" s="103">
        <f t="shared" ref="AD197:BG197" si="411">AD82</f>
        <v>0</v>
      </c>
      <c r="AE197" s="103">
        <f t="shared" si="411"/>
        <v>0</v>
      </c>
      <c r="AF197" s="103">
        <f t="shared" si="411"/>
        <v>0</v>
      </c>
      <c r="AG197" s="103">
        <f t="shared" si="411"/>
        <v>0</v>
      </c>
      <c r="AH197" s="103">
        <f t="shared" si="411"/>
        <v>0</v>
      </c>
      <c r="AI197" s="103">
        <f t="shared" si="411"/>
        <v>0</v>
      </c>
      <c r="AJ197" s="103">
        <f t="shared" si="411"/>
        <v>0.1</v>
      </c>
      <c r="AK197" s="103">
        <f t="shared" si="411"/>
        <v>0.1</v>
      </c>
      <c r="AL197" s="103">
        <f t="shared" si="411"/>
        <v>0.4</v>
      </c>
      <c r="AM197" s="103">
        <f t="shared" si="411"/>
        <v>0.4</v>
      </c>
      <c r="AN197" s="103">
        <f t="shared" si="411"/>
        <v>0</v>
      </c>
      <c r="AO197" s="103">
        <f t="shared" si="411"/>
        <v>0</v>
      </c>
      <c r="AP197" s="103">
        <f t="shared" si="411"/>
        <v>0</v>
      </c>
      <c r="AQ197" s="103">
        <f t="shared" si="411"/>
        <v>0</v>
      </c>
      <c r="AR197" s="103">
        <f t="shared" si="411"/>
        <v>0</v>
      </c>
      <c r="AS197" s="103">
        <f t="shared" si="411"/>
        <v>0</v>
      </c>
      <c r="AT197" s="103">
        <f t="shared" si="411"/>
        <v>0</v>
      </c>
      <c r="AU197" s="103">
        <f t="shared" si="411"/>
        <v>0</v>
      </c>
      <c r="AV197" s="103">
        <f t="shared" si="411"/>
        <v>0</v>
      </c>
      <c r="AW197" s="103">
        <f t="shared" si="411"/>
        <v>0</v>
      </c>
      <c r="AX197" s="103">
        <f t="shared" si="411"/>
        <v>0</v>
      </c>
      <c r="AY197" s="103">
        <f t="shared" si="411"/>
        <v>0</v>
      </c>
      <c r="AZ197" s="103">
        <f t="shared" si="411"/>
        <v>0</v>
      </c>
      <c r="BA197" s="103">
        <f t="shared" si="411"/>
        <v>0</v>
      </c>
      <c r="BB197" s="103">
        <f t="shared" si="411"/>
        <v>0</v>
      </c>
      <c r="BC197" s="103">
        <f t="shared" si="411"/>
        <v>0</v>
      </c>
      <c r="BD197" s="103">
        <f t="shared" si="411"/>
        <v>0</v>
      </c>
      <c r="BE197" s="103">
        <f t="shared" si="411"/>
        <v>0</v>
      </c>
      <c r="BF197" s="103">
        <f t="shared" si="411"/>
        <v>0</v>
      </c>
      <c r="BG197" s="103">
        <f t="shared" si="411"/>
        <v>0</v>
      </c>
      <c r="BH197" s="103"/>
      <c r="BI197" s="104"/>
      <c r="BJ197" s="104"/>
      <c r="BK197" s="104"/>
      <c r="BL197" s="110">
        <f>$O197*AB197*'Cost inputs'!F$12/1000000</f>
        <v>0</v>
      </c>
      <c r="BM197" s="110">
        <f>$O197*AC197*'Cost inputs'!G$12/1000000</f>
        <v>0</v>
      </c>
      <c r="BN197" s="110">
        <f>$O197*AD197*'Cost inputs'!H$12/1000000</f>
        <v>0</v>
      </c>
      <c r="BO197" s="110">
        <f>$O197*AE197*'Cost inputs'!I$12/1000000</f>
        <v>0</v>
      </c>
      <c r="BP197" s="110">
        <f>$O197*AF197*'Cost inputs'!J$12/1000000</f>
        <v>0</v>
      </c>
      <c r="BQ197" s="110">
        <f>$O197*AG197*'Cost inputs'!K$12/1000000</f>
        <v>0</v>
      </c>
      <c r="BR197" s="110">
        <f>$O197*AH197*'Cost inputs'!L$12/1000000</f>
        <v>0</v>
      </c>
      <c r="BS197" s="110">
        <f>$O197*AI197*'Cost inputs'!M$12/1000000</f>
        <v>0</v>
      </c>
      <c r="BT197" s="110">
        <f>$O197*AJ197*'Cost inputs'!N$12/1000000</f>
        <v>4.0834633312229196E-3</v>
      </c>
      <c r="BU197" s="110">
        <f>$O197*AK197*'Cost inputs'!O$12/1000000</f>
        <v>4.1732995245098237E-3</v>
      </c>
      <c r="BV197" s="110">
        <f>$O197*AL197*'Cost inputs'!P$12/1000000</f>
        <v>1.7060448456196163E-2</v>
      </c>
      <c r="BW197" s="110">
        <f>$O197*AM197*'Cost inputs'!Q$12/1000000</f>
        <v>1.7435778322232476E-2</v>
      </c>
      <c r="BX197" s="110">
        <f>$O197*AN197*'Cost inputs'!R$12/1000000</f>
        <v>0</v>
      </c>
      <c r="BY197" s="110">
        <f>$O197*AO197*'Cost inputs'!S$12/1000000</f>
        <v>0</v>
      </c>
      <c r="BZ197" s="110">
        <f>$O197*AP197*'Cost inputs'!T$12/1000000</f>
        <v>0</v>
      </c>
      <c r="CA197" s="110">
        <f>$O197*AQ197*'Cost inputs'!U$12/1000000</f>
        <v>0</v>
      </c>
      <c r="CB197" s="110">
        <f>$O197*AR197*'Cost inputs'!V$12/1000000</f>
        <v>0</v>
      </c>
      <c r="CC197" s="110">
        <f>$O197*AS197*'Cost inputs'!W$12/1000000</f>
        <v>0</v>
      </c>
      <c r="CD197" s="110">
        <f>$O197*AT197*'Cost inputs'!X$12/1000000</f>
        <v>0</v>
      </c>
      <c r="CE197" s="110">
        <f>$O197*AU197*'Cost inputs'!Y$12/1000000</f>
        <v>0</v>
      </c>
      <c r="CF197" s="110">
        <f>$O197*AV197*'Cost inputs'!Z$12/1000000</f>
        <v>0</v>
      </c>
      <c r="CG197" s="110">
        <f>$O197*AW197*'Cost inputs'!AA$12/1000000</f>
        <v>0</v>
      </c>
      <c r="CH197" s="110">
        <f>$O197*AX197*'Cost inputs'!AB$12/1000000</f>
        <v>0</v>
      </c>
      <c r="CI197" s="110">
        <f>$O197*AY197*'Cost inputs'!AC$12/1000000</f>
        <v>0</v>
      </c>
      <c r="CJ197" s="110">
        <f>$O197*AZ197*'Cost inputs'!AD$12/1000000</f>
        <v>0</v>
      </c>
      <c r="CK197" s="110">
        <f>$O197*BA197*'Cost inputs'!AE$12/1000000</f>
        <v>0</v>
      </c>
      <c r="CL197" s="110">
        <f>$O197*BB197*'Cost inputs'!AF$12/1000000</f>
        <v>0</v>
      </c>
      <c r="CM197" s="110">
        <f>$O197*BC197*'Cost inputs'!AG$12/1000000</f>
        <v>0</v>
      </c>
      <c r="CN197" s="110">
        <f>$O197*BD197*'Cost inputs'!AH$12/1000000</f>
        <v>0</v>
      </c>
      <c r="CO197" s="110">
        <f>$O197*BE197*'Cost inputs'!AI$12/1000000</f>
        <v>0</v>
      </c>
      <c r="CP197" s="110">
        <f>$O197*BF197*'Cost inputs'!AJ$12/1000000</f>
        <v>0</v>
      </c>
      <c r="CQ197" s="110">
        <f>$O197*BG197*'Cost inputs'!AK$12/1000000</f>
        <v>0</v>
      </c>
      <c r="CR197" s="131">
        <f t="shared" si="362"/>
        <v>4.2752989634161381E-2</v>
      </c>
      <c r="CS197" s="26"/>
    </row>
    <row r="198" spans="1:97" x14ac:dyDescent="0.3">
      <c r="A198" s="104" t="str">
        <f t="shared" ref="A198:N198" si="412">A83</f>
        <v>Paerata / Pukekohe</v>
      </c>
      <c r="B198" s="104" t="str">
        <f t="shared" si="412"/>
        <v>Pukekohe-Paerata Surrounds</v>
      </c>
      <c r="C198" s="104">
        <f t="shared" si="412"/>
        <v>0</v>
      </c>
      <c r="D198" s="104" t="str">
        <f t="shared" si="412"/>
        <v>Paerata LZ</v>
      </c>
      <c r="E198" s="104" t="str">
        <f t="shared" si="412"/>
        <v>now SULs</v>
      </c>
      <c r="F198" s="104">
        <f t="shared" si="412"/>
        <v>5</v>
      </c>
      <c r="G198" s="104">
        <f t="shared" si="412"/>
        <v>0</v>
      </c>
      <c r="H198" s="104">
        <f t="shared" si="412"/>
        <v>0</v>
      </c>
      <c r="I198" s="104">
        <f t="shared" si="412"/>
        <v>0</v>
      </c>
      <c r="J198" s="104">
        <f t="shared" si="412"/>
        <v>5</v>
      </c>
      <c r="K198" s="104">
        <f t="shared" si="412"/>
        <v>0</v>
      </c>
      <c r="L198" s="104">
        <f t="shared" si="412"/>
        <v>0</v>
      </c>
      <c r="M198" s="104">
        <f t="shared" si="412"/>
        <v>0</v>
      </c>
      <c r="N198" s="104">
        <f t="shared" si="412"/>
        <v>0</v>
      </c>
      <c r="O198" s="104">
        <f t="shared" si="374"/>
        <v>5</v>
      </c>
      <c r="P198" s="104" cm="1">
        <f t="array" ref="P198">2024+MATCH(1,0/AB198:BG198)</f>
        <v>2041</v>
      </c>
      <c r="Q198" s="104" t="str">
        <f t="shared" si="318"/>
        <v>Paerata LZ</v>
      </c>
      <c r="R198" s="104" t="str">
        <f t="shared" si="321"/>
        <v>now SULs</v>
      </c>
      <c r="S198" s="104"/>
      <c r="T198" s="104"/>
      <c r="U198" s="104"/>
      <c r="V198" s="104"/>
      <c r="W198" s="104"/>
      <c r="X198" s="104"/>
      <c r="Y198" s="104"/>
      <c r="Z198" s="104"/>
      <c r="AA198" s="104"/>
      <c r="AB198" s="103">
        <f t="shared" si="382"/>
        <v>7.2277777590649045E-2</v>
      </c>
      <c r="AC198" s="103">
        <f t="shared" si="379"/>
        <v>3.7144039148275132E-2</v>
      </c>
      <c r="AD198" s="103">
        <f t="shared" ref="AD198:BG198" si="413">AD83</f>
        <v>4.693886925000864E-2</v>
      </c>
      <c r="AE198" s="103">
        <f t="shared" si="413"/>
        <v>1.9207251627271639E-2</v>
      </c>
      <c r="AF198" s="103">
        <f t="shared" si="413"/>
        <v>3.0671470308457977E-2</v>
      </c>
      <c r="AG198" s="103">
        <f t="shared" si="413"/>
        <v>7.0574517253221988E-2</v>
      </c>
      <c r="AH198" s="103">
        <f t="shared" si="413"/>
        <v>5.784797696261839E-2</v>
      </c>
      <c r="AI198" s="103">
        <f t="shared" si="413"/>
        <v>6.2267232328672428E-2</v>
      </c>
      <c r="AJ198" s="103">
        <f t="shared" si="413"/>
        <v>4.8241630734504208E-2</v>
      </c>
      <c r="AK198" s="103">
        <f t="shared" si="413"/>
        <v>1.4129803340614668E-2</v>
      </c>
      <c r="AL198" s="103">
        <f t="shared" si="413"/>
        <v>0.10472734996525389</v>
      </c>
      <c r="AM198" s="103">
        <f t="shared" si="413"/>
        <v>0.10601471966704468</v>
      </c>
      <c r="AN198" s="103">
        <f t="shared" si="413"/>
        <v>0.10750477164694536</v>
      </c>
      <c r="AO198" s="103">
        <f t="shared" si="413"/>
        <v>0.10314837920794254</v>
      </c>
      <c r="AP198" s="103">
        <f t="shared" si="413"/>
        <v>4.8886873976350477E-2</v>
      </c>
      <c r="AQ198" s="103">
        <f t="shared" si="413"/>
        <v>5.2554477979523215E-2</v>
      </c>
      <c r="AR198" s="103">
        <f t="shared" si="413"/>
        <v>1.7862859012645727E-2</v>
      </c>
      <c r="AS198" s="103">
        <f t="shared" si="413"/>
        <v>0</v>
      </c>
      <c r="AT198" s="103">
        <f t="shared" si="413"/>
        <v>0</v>
      </c>
      <c r="AU198" s="103">
        <f t="shared" si="413"/>
        <v>0</v>
      </c>
      <c r="AV198" s="103">
        <f t="shared" si="413"/>
        <v>0</v>
      </c>
      <c r="AW198" s="103">
        <f t="shared" si="413"/>
        <v>0</v>
      </c>
      <c r="AX198" s="103">
        <f t="shared" si="413"/>
        <v>0</v>
      </c>
      <c r="AY198" s="103">
        <f t="shared" si="413"/>
        <v>0</v>
      </c>
      <c r="AZ198" s="103">
        <f t="shared" si="413"/>
        <v>0</v>
      </c>
      <c r="BA198" s="103">
        <f t="shared" si="413"/>
        <v>0</v>
      </c>
      <c r="BB198" s="103">
        <f t="shared" si="413"/>
        <v>0</v>
      </c>
      <c r="BC198" s="103">
        <f t="shared" si="413"/>
        <v>0</v>
      </c>
      <c r="BD198" s="103">
        <f t="shared" si="413"/>
        <v>0</v>
      </c>
      <c r="BE198" s="103">
        <f t="shared" si="413"/>
        <v>0</v>
      </c>
      <c r="BF198" s="103">
        <f t="shared" si="413"/>
        <v>0</v>
      </c>
      <c r="BG198" s="103">
        <f t="shared" si="413"/>
        <v>0</v>
      </c>
      <c r="BH198" s="103"/>
      <c r="BI198" s="104"/>
      <c r="BJ198" s="104"/>
      <c r="BK198" s="104"/>
      <c r="BL198" s="110">
        <f>$O198*AB198*'Cost inputs'!F$12/1000000</f>
        <v>1.2148371411797599E-2</v>
      </c>
      <c r="BM198" s="110">
        <f>$O198*AC198*'Cost inputs'!G$12/1000000</f>
        <v>6.4491536001108707E-3</v>
      </c>
      <c r="BN198" s="110">
        <f>$O198*AD198*'Cost inputs'!H$12/1000000</f>
        <v>8.410579356898408E-3</v>
      </c>
      <c r="BO198" s="110">
        <f>$O198*AE198*'Cost inputs'!I$12/1000000</f>
        <v>3.5172999943519868E-3</v>
      </c>
      <c r="BP198" s="110">
        <f>$O198*AF198*'Cost inputs'!J$12/1000000</f>
        <v>5.7402350556859626E-3</v>
      </c>
      <c r="BQ198" s="110">
        <f>$O198*AG198*'Cost inputs'!K$12/1000000</f>
        <v>1.3498760535660978E-2</v>
      </c>
      <c r="BR198" s="110">
        <f>$O198*AH198*'Cost inputs'!L$12/1000000</f>
        <v>1.1307980433988478E-2</v>
      </c>
      <c r="BS198" s="110">
        <f>$O198*AI198*'Cost inputs'!M$12/1000000</f>
        <v>1.2439626220688465E-2</v>
      </c>
      <c r="BT198" s="110">
        <f>$O198*AJ198*'Cost inputs'!N$12/1000000</f>
        <v>9.8496465071372281E-3</v>
      </c>
      <c r="BU198" s="110">
        <f>$O198*AK198*'Cost inputs'!O$12/1000000</f>
        <v>2.948395078140226E-3</v>
      </c>
      <c r="BV198" s="110">
        <f>$O198*AL198*'Cost inputs'!P$12/1000000</f>
        <v>2.2333694450452884E-2</v>
      </c>
      <c r="BW198" s="110">
        <f>$O198*AM198*'Cost inputs'!Q$12/1000000</f>
        <v>2.3105614387602634E-2</v>
      </c>
      <c r="BX198" s="110">
        <f>$O198*AN198*'Cost inputs'!R$12/1000000</f>
        <v>2.3945835163659585E-2</v>
      </c>
      <c r="BY198" s="110">
        <f>$O198*AO198*'Cost inputs'!S$12/1000000</f>
        <v>2.3480943935141451E-2</v>
      </c>
      <c r="BZ198" s="110">
        <f>$O198*AP198*'Cost inputs'!T$12/1000000</f>
        <v>1.1373556955965649E-2</v>
      </c>
      <c r="CA198" s="110">
        <f>$O198*AQ198*'Cost inputs'!U$12/1000000</f>
        <v>1.2495817150339277E-2</v>
      </c>
      <c r="CB198" s="110">
        <f>$O198*AR198*'Cost inputs'!V$12/1000000</f>
        <v>4.3406703142078356E-3</v>
      </c>
      <c r="CC198" s="110">
        <f>$O198*AS198*'Cost inputs'!W$12/1000000</f>
        <v>0</v>
      </c>
      <c r="CD198" s="110">
        <f>$O198*AT198*'Cost inputs'!X$12/1000000</f>
        <v>0</v>
      </c>
      <c r="CE198" s="110">
        <f>$O198*AU198*'Cost inputs'!Y$12/1000000</f>
        <v>0</v>
      </c>
      <c r="CF198" s="110">
        <f>$O198*AV198*'Cost inputs'!Z$12/1000000</f>
        <v>0</v>
      </c>
      <c r="CG198" s="110">
        <f>$O198*AW198*'Cost inputs'!AA$12/1000000</f>
        <v>0</v>
      </c>
      <c r="CH198" s="110">
        <f>$O198*AX198*'Cost inputs'!AB$12/1000000</f>
        <v>0</v>
      </c>
      <c r="CI198" s="110">
        <f>$O198*AY198*'Cost inputs'!AC$12/1000000</f>
        <v>0</v>
      </c>
      <c r="CJ198" s="110">
        <f>$O198*AZ198*'Cost inputs'!AD$12/1000000</f>
        <v>0</v>
      </c>
      <c r="CK198" s="110">
        <f>$O198*BA198*'Cost inputs'!AE$12/1000000</f>
        <v>0</v>
      </c>
      <c r="CL198" s="110">
        <f>$O198*BB198*'Cost inputs'!AF$12/1000000</f>
        <v>0</v>
      </c>
      <c r="CM198" s="110">
        <f>$O198*BC198*'Cost inputs'!AG$12/1000000</f>
        <v>0</v>
      </c>
      <c r="CN198" s="110">
        <f>$O198*BD198*'Cost inputs'!AH$12/1000000</f>
        <v>0</v>
      </c>
      <c r="CO198" s="110">
        <f>$O198*BE198*'Cost inputs'!AI$12/1000000</f>
        <v>0</v>
      </c>
      <c r="CP198" s="110">
        <f>$O198*BF198*'Cost inputs'!AJ$12/1000000</f>
        <v>0</v>
      </c>
      <c r="CQ198" s="110">
        <f>$O198*BG198*'Cost inputs'!AK$12/1000000</f>
        <v>0</v>
      </c>
      <c r="CR198" s="131">
        <f t="shared" ref="CR198:CR215" si="414">SUM(BL198:CQ198)</f>
        <v>0.20738618055182953</v>
      </c>
      <c r="CS198" s="26"/>
    </row>
    <row r="199" spans="1:97" x14ac:dyDescent="0.3">
      <c r="A199" s="104" t="str">
        <f t="shared" ref="A199:N199" si="415">A84</f>
        <v>Paerata / Pukekohe</v>
      </c>
      <c r="B199" s="104" t="str">
        <f t="shared" si="415"/>
        <v>Pukekohe-Paerata Surrounds</v>
      </c>
      <c r="C199" s="104">
        <f t="shared" si="415"/>
        <v>0</v>
      </c>
      <c r="D199" s="104" t="str">
        <f t="shared" si="415"/>
        <v>Paerata LZ</v>
      </c>
      <c r="E199" s="104" t="str">
        <f t="shared" si="415"/>
        <v>now SULs</v>
      </c>
      <c r="F199" s="104">
        <f t="shared" si="415"/>
        <v>0</v>
      </c>
      <c r="G199" s="104">
        <f t="shared" si="415"/>
        <v>1</v>
      </c>
      <c r="H199" s="104">
        <f t="shared" si="415"/>
        <v>0</v>
      </c>
      <c r="I199" s="104">
        <f t="shared" si="415"/>
        <v>0</v>
      </c>
      <c r="J199" s="104">
        <f t="shared" si="415"/>
        <v>0</v>
      </c>
      <c r="K199" s="104">
        <f t="shared" si="415"/>
        <v>1</v>
      </c>
      <c r="L199" s="104">
        <f t="shared" si="415"/>
        <v>0</v>
      </c>
      <c r="M199" s="104">
        <f t="shared" si="415"/>
        <v>0</v>
      </c>
      <c r="N199" s="104">
        <f t="shared" si="415"/>
        <v>0</v>
      </c>
      <c r="O199" s="104">
        <f t="shared" si="374"/>
        <v>1</v>
      </c>
      <c r="P199" s="104" cm="1">
        <f t="array" ref="P199">2024+MATCH(1,0/AB199:BG199)</f>
        <v>2041</v>
      </c>
      <c r="Q199" s="104" t="str">
        <f t="shared" si="318"/>
        <v>Paerata LZ</v>
      </c>
      <c r="R199" s="104" t="str">
        <f t="shared" si="321"/>
        <v>now SULs</v>
      </c>
      <c r="S199" s="104"/>
      <c r="T199" s="104"/>
      <c r="U199" s="104"/>
      <c r="V199" s="104"/>
      <c r="W199" s="104"/>
      <c r="X199" s="104"/>
      <c r="Y199" s="104"/>
      <c r="Z199" s="104"/>
      <c r="AA199" s="104"/>
      <c r="AB199" s="103">
        <f t="shared" si="382"/>
        <v>7.2277777590649045E-2</v>
      </c>
      <c r="AC199" s="103">
        <f t="shared" si="379"/>
        <v>3.7144039148275132E-2</v>
      </c>
      <c r="AD199" s="103">
        <f t="shared" ref="AD199:BG199" si="416">AD84</f>
        <v>4.693886925000864E-2</v>
      </c>
      <c r="AE199" s="103">
        <f t="shared" si="416"/>
        <v>1.9207251627271639E-2</v>
      </c>
      <c r="AF199" s="103">
        <f t="shared" si="416"/>
        <v>3.0671470308457977E-2</v>
      </c>
      <c r="AG199" s="103">
        <f t="shared" si="416"/>
        <v>7.0574517253221988E-2</v>
      </c>
      <c r="AH199" s="103">
        <f t="shared" si="416"/>
        <v>5.784797696261839E-2</v>
      </c>
      <c r="AI199" s="103">
        <f t="shared" si="416"/>
        <v>6.2267232328672428E-2</v>
      </c>
      <c r="AJ199" s="103">
        <f t="shared" si="416"/>
        <v>4.8241630734504208E-2</v>
      </c>
      <c r="AK199" s="103">
        <f t="shared" si="416"/>
        <v>1.4129803340614668E-2</v>
      </c>
      <c r="AL199" s="103">
        <f t="shared" si="416"/>
        <v>0.10472734996525389</v>
      </c>
      <c r="AM199" s="103">
        <f t="shared" si="416"/>
        <v>0.10601471966704468</v>
      </c>
      <c r="AN199" s="103">
        <f t="shared" si="416"/>
        <v>0.10750477164694536</v>
      </c>
      <c r="AO199" s="103">
        <f t="shared" si="416"/>
        <v>0.10314837920794254</v>
      </c>
      <c r="AP199" s="103">
        <f t="shared" si="416"/>
        <v>4.8886873976350477E-2</v>
      </c>
      <c r="AQ199" s="103">
        <f t="shared" si="416"/>
        <v>5.2554477979523215E-2</v>
      </c>
      <c r="AR199" s="103">
        <f t="shared" si="416"/>
        <v>1.7862859012645727E-2</v>
      </c>
      <c r="AS199" s="103">
        <f t="shared" si="416"/>
        <v>0</v>
      </c>
      <c r="AT199" s="103">
        <f t="shared" si="416"/>
        <v>0</v>
      </c>
      <c r="AU199" s="103">
        <f t="shared" si="416"/>
        <v>0</v>
      </c>
      <c r="AV199" s="103">
        <f t="shared" si="416"/>
        <v>0</v>
      </c>
      <c r="AW199" s="103">
        <f t="shared" si="416"/>
        <v>0</v>
      </c>
      <c r="AX199" s="103">
        <f t="shared" si="416"/>
        <v>0</v>
      </c>
      <c r="AY199" s="103">
        <f t="shared" si="416"/>
        <v>0</v>
      </c>
      <c r="AZ199" s="103">
        <f t="shared" si="416"/>
        <v>0</v>
      </c>
      <c r="BA199" s="103">
        <f t="shared" si="416"/>
        <v>0</v>
      </c>
      <c r="BB199" s="103">
        <f t="shared" si="416"/>
        <v>0</v>
      </c>
      <c r="BC199" s="103">
        <f t="shared" si="416"/>
        <v>0</v>
      </c>
      <c r="BD199" s="103">
        <f t="shared" si="416"/>
        <v>0</v>
      </c>
      <c r="BE199" s="103">
        <f t="shared" si="416"/>
        <v>0</v>
      </c>
      <c r="BF199" s="103">
        <f t="shared" si="416"/>
        <v>0</v>
      </c>
      <c r="BG199" s="103">
        <f t="shared" si="416"/>
        <v>0</v>
      </c>
      <c r="BH199" s="103"/>
      <c r="BI199" s="104"/>
      <c r="BJ199" s="104"/>
      <c r="BK199" s="104"/>
      <c r="BL199" s="110">
        <f>$O199*AB199*'Cost inputs'!F$12/1000000</f>
        <v>2.42967428235952E-3</v>
      </c>
      <c r="BM199" s="110">
        <f>$O199*AC199*'Cost inputs'!G$12/1000000</f>
        <v>1.2898307200221741E-3</v>
      </c>
      <c r="BN199" s="110">
        <f>$O199*AD199*'Cost inputs'!H$12/1000000</f>
        <v>1.6821158713796818E-3</v>
      </c>
      <c r="BO199" s="110">
        <f>$O199*AE199*'Cost inputs'!I$12/1000000</f>
        <v>7.0345999887039734E-4</v>
      </c>
      <c r="BP199" s="110">
        <f>$O199*AF199*'Cost inputs'!J$12/1000000</f>
        <v>1.1480470111371926E-3</v>
      </c>
      <c r="BQ199" s="110">
        <f>$O199*AG199*'Cost inputs'!K$12/1000000</f>
        <v>2.6997521071321956E-3</v>
      </c>
      <c r="BR199" s="110">
        <f>$O199*AH199*'Cost inputs'!L$12/1000000</f>
        <v>2.2615960867976956E-3</v>
      </c>
      <c r="BS199" s="110">
        <f>$O199*AI199*'Cost inputs'!M$12/1000000</f>
        <v>2.4879252441376929E-3</v>
      </c>
      <c r="BT199" s="110">
        <f>$O199*AJ199*'Cost inputs'!N$12/1000000</f>
        <v>1.9699293014274455E-3</v>
      </c>
      <c r="BU199" s="110">
        <f>$O199*AK199*'Cost inputs'!O$12/1000000</f>
        <v>5.8967901562804515E-4</v>
      </c>
      <c r="BV199" s="110">
        <f>$O199*AL199*'Cost inputs'!P$12/1000000</f>
        <v>4.4667388900905772E-3</v>
      </c>
      <c r="BW199" s="110">
        <f>$O199*AM199*'Cost inputs'!Q$12/1000000</f>
        <v>4.6211228775205259E-3</v>
      </c>
      <c r="BX199" s="110">
        <f>$O199*AN199*'Cost inputs'!R$12/1000000</f>
        <v>4.7891670327319166E-3</v>
      </c>
      <c r="BY199" s="110">
        <f>$O199*AO199*'Cost inputs'!S$12/1000000</f>
        <v>4.6961887870282911E-3</v>
      </c>
      <c r="BZ199" s="110">
        <f>$O199*AP199*'Cost inputs'!T$12/1000000</f>
        <v>2.27471139119313E-3</v>
      </c>
      <c r="CA199" s="110">
        <f>$O199*AQ199*'Cost inputs'!U$12/1000000</f>
        <v>2.499163430067855E-3</v>
      </c>
      <c r="CB199" s="110">
        <f>$O199*AR199*'Cost inputs'!V$12/1000000</f>
        <v>8.6813406284156713E-4</v>
      </c>
      <c r="CC199" s="110">
        <f>$O199*AS199*'Cost inputs'!W$12/1000000</f>
        <v>0</v>
      </c>
      <c r="CD199" s="110">
        <f>$O199*AT199*'Cost inputs'!X$12/1000000</f>
        <v>0</v>
      </c>
      <c r="CE199" s="110">
        <f>$O199*AU199*'Cost inputs'!Y$12/1000000</f>
        <v>0</v>
      </c>
      <c r="CF199" s="110">
        <f>$O199*AV199*'Cost inputs'!Z$12/1000000</f>
        <v>0</v>
      </c>
      <c r="CG199" s="110">
        <f>$O199*AW199*'Cost inputs'!AA$12/1000000</f>
        <v>0</v>
      </c>
      <c r="CH199" s="110">
        <f>$O199*AX199*'Cost inputs'!AB$12/1000000</f>
        <v>0</v>
      </c>
      <c r="CI199" s="110">
        <f>$O199*AY199*'Cost inputs'!AC$12/1000000</f>
        <v>0</v>
      </c>
      <c r="CJ199" s="110">
        <f>$O199*AZ199*'Cost inputs'!AD$12/1000000</f>
        <v>0</v>
      </c>
      <c r="CK199" s="110">
        <f>$O199*BA199*'Cost inputs'!AE$12/1000000</f>
        <v>0</v>
      </c>
      <c r="CL199" s="110">
        <f>$O199*BB199*'Cost inputs'!AF$12/1000000</f>
        <v>0</v>
      </c>
      <c r="CM199" s="110">
        <f>$O199*BC199*'Cost inputs'!AG$12/1000000</f>
        <v>0</v>
      </c>
      <c r="CN199" s="110">
        <f>$O199*BD199*'Cost inputs'!AH$12/1000000</f>
        <v>0</v>
      </c>
      <c r="CO199" s="110">
        <f>$O199*BE199*'Cost inputs'!AI$12/1000000</f>
        <v>0</v>
      </c>
      <c r="CP199" s="110">
        <f>$O199*BF199*'Cost inputs'!AJ$12/1000000</f>
        <v>0</v>
      </c>
      <c r="CQ199" s="110">
        <f>$O199*BG199*'Cost inputs'!AK$12/1000000</f>
        <v>0</v>
      </c>
      <c r="CR199" s="131">
        <f t="shared" si="414"/>
        <v>4.1477236110365912E-2</v>
      </c>
      <c r="CS199" s="26"/>
    </row>
    <row r="200" spans="1:97" x14ac:dyDescent="0.3">
      <c r="A200" s="104" t="str">
        <f t="shared" ref="A200:N200" si="417">A85</f>
        <v>Paerata / Pukekohe</v>
      </c>
      <c r="B200" s="104" t="str">
        <f t="shared" si="417"/>
        <v>Pukekohe-Paerata Surrounds</v>
      </c>
      <c r="C200" s="104">
        <f t="shared" si="417"/>
        <v>0</v>
      </c>
      <c r="D200" s="104" t="str">
        <f t="shared" si="417"/>
        <v>Paerata LZ</v>
      </c>
      <c r="E200" s="104" t="str">
        <f t="shared" si="417"/>
        <v>now SULs</v>
      </c>
      <c r="F200" s="104">
        <f t="shared" si="417"/>
        <v>0</v>
      </c>
      <c r="G200" s="104">
        <f t="shared" si="417"/>
        <v>0</v>
      </c>
      <c r="H200" s="104">
        <f t="shared" si="417"/>
        <v>0</v>
      </c>
      <c r="I200" s="104">
        <f t="shared" si="417"/>
        <v>1</v>
      </c>
      <c r="J200" s="104">
        <f t="shared" si="417"/>
        <v>0</v>
      </c>
      <c r="K200" s="104">
        <f t="shared" si="417"/>
        <v>0</v>
      </c>
      <c r="L200" s="104">
        <f t="shared" si="417"/>
        <v>0</v>
      </c>
      <c r="M200" s="104">
        <f t="shared" si="417"/>
        <v>1</v>
      </c>
      <c r="N200" s="104">
        <f t="shared" si="417"/>
        <v>0</v>
      </c>
      <c r="O200" s="104">
        <f t="shared" si="374"/>
        <v>1</v>
      </c>
      <c r="P200" s="104" cm="1">
        <f t="array" ref="P200">2024+MATCH(1,0/AB200:BG200)</f>
        <v>2041</v>
      </c>
      <c r="Q200" s="104" t="str">
        <f t="shared" si="318"/>
        <v>Paerata LZ</v>
      </c>
      <c r="R200" s="104" t="str">
        <f t="shared" si="321"/>
        <v>now SULs</v>
      </c>
      <c r="S200" s="104"/>
      <c r="T200" s="104"/>
      <c r="U200" s="104"/>
      <c r="V200" s="104"/>
      <c r="W200" s="104"/>
      <c r="X200" s="104"/>
      <c r="Y200" s="104"/>
      <c r="Z200" s="104"/>
      <c r="AA200" s="104"/>
      <c r="AB200" s="103">
        <f t="shared" si="382"/>
        <v>7.2277777590649045E-2</v>
      </c>
      <c r="AC200" s="103">
        <f t="shared" si="379"/>
        <v>3.7144039148275132E-2</v>
      </c>
      <c r="AD200" s="103">
        <f t="shared" ref="AD200:BG200" si="418">AD85</f>
        <v>4.693886925000864E-2</v>
      </c>
      <c r="AE200" s="103">
        <f t="shared" si="418"/>
        <v>1.9207251627271639E-2</v>
      </c>
      <c r="AF200" s="103">
        <f t="shared" si="418"/>
        <v>3.0671470308457977E-2</v>
      </c>
      <c r="AG200" s="103">
        <f t="shared" si="418"/>
        <v>7.0574517253221988E-2</v>
      </c>
      <c r="AH200" s="103">
        <f t="shared" si="418"/>
        <v>5.784797696261839E-2</v>
      </c>
      <c r="AI200" s="103">
        <f t="shared" si="418"/>
        <v>6.2267232328672428E-2</v>
      </c>
      <c r="AJ200" s="103">
        <f t="shared" si="418"/>
        <v>4.8241630734504208E-2</v>
      </c>
      <c r="AK200" s="103">
        <f t="shared" si="418"/>
        <v>1.4129803340614668E-2</v>
      </c>
      <c r="AL200" s="103">
        <f t="shared" si="418"/>
        <v>0.10472734996525389</v>
      </c>
      <c r="AM200" s="103">
        <f t="shared" si="418"/>
        <v>0.10601471966704468</v>
      </c>
      <c r="AN200" s="103">
        <f t="shared" si="418"/>
        <v>0.10750477164694536</v>
      </c>
      <c r="AO200" s="103">
        <f t="shared" si="418"/>
        <v>0.10314837920794254</v>
      </c>
      <c r="AP200" s="103">
        <f t="shared" si="418"/>
        <v>4.8886873976350477E-2</v>
      </c>
      <c r="AQ200" s="103">
        <f t="shared" si="418"/>
        <v>5.2554477979523215E-2</v>
      </c>
      <c r="AR200" s="103">
        <f t="shared" si="418"/>
        <v>1.7862859012645727E-2</v>
      </c>
      <c r="AS200" s="103">
        <f t="shared" si="418"/>
        <v>0</v>
      </c>
      <c r="AT200" s="103">
        <f t="shared" si="418"/>
        <v>0</v>
      </c>
      <c r="AU200" s="103">
        <f t="shared" si="418"/>
        <v>0</v>
      </c>
      <c r="AV200" s="103">
        <f t="shared" si="418"/>
        <v>0</v>
      </c>
      <c r="AW200" s="103">
        <f t="shared" si="418"/>
        <v>0</v>
      </c>
      <c r="AX200" s="103">
        <f t="shared" si="418"/>
        <v>0</v>
      </c>
      <c r="AY200" s="103">
        <f t="shared" si="418"/>
        <v>0</v>
      </c>
      <c r="AZ200" s="103">
        <f t="shared" si="418"/>
        <v>0</v>
      </c>
      <c r="BA200" s="103">
        <f t="shared" si="418"/>
        <v>0</v>
      </c>
      <c r="BB200" s="103">
        <f t="shared" si="418"/>
        <v>0</v>
      </c>
      <c r="BC200" s="103">
        <f t="shared" si="418"/>
        <v>0</v>
      </c>
      <c r="BD200" s="103">
        <f t="shared" si="418"/>
        <v>0</v>
      </c>
      <c r="BE200" s="103">
        <f t="shared" si="418"/>
        <v>0</v>
      </c>
      <c r="BF200" s="103">
        <f t="shared" si="418"/>
        <v>0</v>
      </c>
      <c r="BG200" s="103">
        <f t="shared" si="418"/>
        <v>0</v>
      </c>
      <c r="BH200" s="103"/>
      <c r="BI200" s="104"/>
      <c r="BJ200" s="104"/>
      <c r="BK200" s="104"/>
      <c r="BL200" s="110">
        <f>$O200*AB200*'Cost inputs'!F$12/1000000</f>
        <v>2.42967428235952E-3</v>
      </c>
      <c r="BM200" s="110">
        <f>$O200*AC200*'Cost inputs'!G$12/1000000</f>
        <v>1.2898307200221741E-3</v>
      </c>
      <c r="BN200" s="110">
        <f>$O200*AD200*'Cost inputs'!H$12/1000000</f>
        <v>1.6821158713796818E-3</v>
      </c>
      <c r="BO200" s="110">
        <f>$O200*AE200*'Cost inputs'!I$12/1000000</f>
        <v>7.0345999887039734E-4</v>
      </c>
      <c r="BP200" s="110">
        <f>$O200*AF200*'Cost inputs'!J$12/1000000</f>
        <v>1.1480470111371926E-3</v>
      </c>
      <c r="BQ200" s="110">
        <f>$O200*AG200*'Cost inputs'!K$12/1000000</f>
        <v>2.6997521071321956E-3</v>
      </c>
      <c r="BR200" s="110">
        <f>$O200*AH200*'Cost inputs'!L$12/1000000</f>
        <v>2.2615960867976956E-3</v>
      </c>
      <c r="BS200" s="110">
        <f>$O200*AI200*'Cost inputs'!M$12/1000000</f>
        <v>2.4879252441376929E-3</v>
      </c>
      <c r="BT200" s="110">
        <f>$O200*AJ200*'Cost inputs'!N$12/1000000</f>
        <v>1.9699293014274455E-3</v>
      </c>
      <c r="BU200" s="110">
        <f>$O200*AK200*'Cost inputs'!O$12/1000000</f>
        <v>5.8967901562804515E-4</v>
      </c>
      <c r="BV200" s="110">
        <f>$O200*AL200*'Cost inputs'!P$12/1000000</f>
        <v>4.4667388900905772E-3</v>
      </c>
      <c r="BW200" s="110">
        <f>$O200*AM200*'Cost inputs'!Q$12/1000000</f>
        <v>4.6211228775205259E-3</v>
      </c>
      <c r="BX200" s="110">
        <f>$O200*AN200*'Cost inputs'!R$12/1000000</f>
        <v>4.7891670327319166E-3</v>
      </c>
      <c r="BY200" s="110">
        <f>$O200*AO200*'Cost inputs'!S$12/1000000</f>
        <v>4.6961887870282911E-3</v>
      </c>
      <c r="BZ200" s="110">
        <f>$O200*AP200*'Cost inputs'!T$12/1000000</f>
        <v>2.27471139119313E-3</v>
      </c>
      <c r="CA200" s="110">
        <f>$O200*AQ200*'Cost inputs'!U$12/1000000</f>
        <v>2.499163430067855E-3</v>
      </c>
      <c r="CB200" s="110">
        <f>$O200*AR200*'Cost inputs'!V$12/1000000</f>
        <v>8.6813406284156713E-4</v>
      </c>
      <c r="CC200" s="110">
        <f>$O200*AS200*'Cost inputs'!W$12/1000000</f>
        <v>0</v>
      </c>
      <c r="CD200" s="110">
        <f>$O200*AT200*'Cost inputs'!X$12/1000000</f>
        <v>0</v>
      </c>
      <c r="CE200" s="110">
        <f>$O200*AU200*'Cost inputs'!Y$12/1000000</f>
        <v>0</v>
      </c>
      <c r="CF200" s="110">
        <f>$O200*AV200*'Cost inputs'!Z$12/1000000</f>
        <v>0</v>
      </c>
      <c r="CG200" s="110">
        <f>$O200*AW200*'Cost inputs'!AA$12/1000000</f>
        <v>0</v>
      </c>
      <c r="CH200" s="110">
        <f>$O200*AX200*'Cost inputs'!AB$12/1000000</f>
        <v>0</v>
      </c>
      <c r="CI200" s="110">
        <f>$O200*AY200*'Cost inputs'!AC$12/1000000</f>
        <v>0</v>
      </c>
      <c r="CJ200" s="110">
        <f>$O200*AZ200*'Cost inputs'!AD$12/1000000</f>
        <v>0</v>
      </c>
      <c r="CK200" s="110">
        <f>$O200*BA200*'Cost inputs'!AE$12/1000000</f>
        <v>0</v>
      </c>
      <c r="CL200" s="110">
        <f>$O200*BB200*'Cost inputs'!AF$12/1000000</f>
        <v>0</v>
      </c>
      <c r="CM200" s="110">
        <f>$O200*BC200*'Cost inputs'!AG$12/1000000</f>
        <v>0</v>
      </c>
      <c r="CN200" s="110">
        <f>$O200*BD200*'Cost inputs'!AH$12/1000000</f>
        <v>0</v>
      </c>
      <c r="CO200" s="110">
        <f>$O200*BE200*'Cost inputs'!AI$12/1000000</f>
        <v>0</v>
      </c>
      <c r="CP200" s="110">
        <f>$O200*BF200*'Cost inputs'!AJ$12/1000000</f>
        <v>0</v>
      </c>
      <c r="CQ200" s="110">
        <f>$O200*BG200*'Cost inputs'!AK$12/1000000</f>
        <v>0</v>
      </c>
      <c r="CR200" s="131">
        <f t="shared" si="414"/>
        <v>4.1477236110365912E-2</v>
      </c>
      <c r="CS200" s="26"/>
    </row>
    <row r="201" spans="1:97" x14ac:dyDescent="0.3">
      <c r="A201" s="104" t="str">
        <f t="shared" ref="A201:N201" si="419">A86</f>
        <v>Paerata / Pukekohe</v>
      </c>
      <c r="B201" s="104" t="str">
        <f t="shared" si="419"/>
        <v>Pukekohe-Paerata Surrounds</v>
      </c>
      <c r="C201" s="104">
        <f t="shared" si="419"/>
        <v>0</v>
      </c>
      <c r="D201" s="104" t="str">
        <f t="shared" si="419"/>
        <v>Paerata West, Pukekohe North-east, North-west, South-east</v>
      </c>
      <c r="E201" s="104">
        <f t="shared" si="419"/>
        <v>0</v>
      </c>
      <c r="F201" s="104">
        <f t="shared" si="419"/>
        <v>14</v>
      </c>
      <c r="G201" s="104">
        <f t="shared" si="419"/>
        <v>0</v>
      </c>
      <c r="H201" s="104">
        <f t="shared" si="419"/>
        <v>0</v>
      </c>
      <c r="I201" s="104">
        <f t="shared" si="419"/>
        <v>0</v>
      </c>
      <c r="J201" s="104">
        <f t="shared" si="419"/>
        <v>14</v>
      </c>
      <c r="K201" s="104">
        <f t="shared" si="419"/>
        <v>0</v>
      </c>
      <c r="L201" s="104">
        <f t="shared" si="419"/>
        <v>0</v>
      </c>
      <c r="M201" s="104">
        <f t="shared" si="419"/>
        <v>0</v>
      </c>
      <c r="N201" s="104">
        <f t="shared" si="419"/>
        <v>0</v>
      </c>
      <c r="O201" s="104">
        <f t="shared" si="374"/>
        <v>14</v>
      </c>
      <c r="P201" s="104" cm="1">
        <f t="array" ref="P201">2024+MATCH(1,0/AB201:BG201)</f>
        <v>2046</v>
      </c>
      <c r="Q201" s="104" t="str">
        <f t="shared" si="318"/>
        <v>Paerata West, Pukekohe North-east, North-west, South-east</v>
      </c>
      <c r="R201" s="104">
        <f t="shared" si="321"/>
        <v>0</v>
      </c>
      <c r="S201" s="104"/>
      <c r="T201" s="104"/>
      <c r="U201" s="104"/>
      <c r="V201" s="104"/>
      <c r="W201" s="104"/>
      <c r="X201" s="104"/>
      <c r="Y201" s="104"/>
      <c r="Z201" s="104"/>
      <c r="AA201" s="104"/>
      <c r="AB201" s="103">
        <f t="shared" si="382"/>
        <v>0</v>
      </c>
      <c r="AC201" s="103">
        <f t="shared" si="379"/>
        <v>0</v>
      </c>
      <c r="AD201" s="103">
        <f t="shared" ref="AD201:BG201" si="420">AD86</f>
        <v>0</v>
      </c>
      <c r="AE201" s="103">
        <f t="shared" si="420"/>
        <v>0</v>
      </c>
      <c r="AF201" s="103">
        <f t="shared" si="420"/>
        <v>0</v>
      </c>
      <c r="AG201" s="103">
        <f t="shared" si="420"/>
        <v>0</v>
      </c>
      <c r="AH201" s="103">
        <f t="shared" si="420"/>
        <v>0</v>
      </c>
      <c r="AI201" s="103">
        <f t="shared" si="420"/>
        <v>0</v>
      </c>
      <c r="AJ201" s="103">
        <f t="shared" si="420"/>
        <v>0</v>
      </c>
      <c r="AK201" s="103">
        <f t="shared" si="420"/>
        <v>0</v>
      </c>
      <c r="AL201" s="103">
        <f t="shared" si="420"/>
        <v>0</v>
      </c>
      <c r="AM201" s="103">
        <f t="shared" si="420"/>
        <v>0.05</v>
      </c>
      <c r="AN201" s="103">
        <f t="shared" si="420"/>
        <v>0.05</v>
      </c>
      <c r="AO201" s="103">
        <f t="shared" si="420"/>
        <v>0.05</v>
      </c>
      <c r="AP201" s="103">
        <f t="shared" si="420"/>
        <v>0.05</v>
      </c>
      <c r="AQ201" s="103">
        <f t="shared" si="420"/>
        <v>7.4999999999999997E-2</v>
      </c>
      <c r="AR201" s="103">
        <f t="shared" si="420"/>
        <v>7.4999999999999997E-2</v>
      </c>
      <c r="AS201" s="103">
        <f t="shared" si="420"/>
        <v>7.4999999999999997E-2</v>
      </c>
      <c r="AT201" s="103">
        <f t="shared" si="420"/>
        <v>7.4999999999999997E-2</v>
      </c>
      <c r="AU201" s="103">
        <f t="shared" si="420"/>
        <v>0.16666666666666666</v>
      </c>
      <c r="AV201" s="103">
        <f t="shared" si="420"/>
        <v>0.16666666666666666</v>
      </c>
      <c r="AW201" s="103">
        <f t="shared" si="420"/>
        <v>0.16666666666666666</v>
      </c>
      <c r="AX201" s="103">
        <f t="shared" si="420"/>
        <v>0</v>
      </c>
      <c r="AY201" s="103">
        <f t="shared" si="420"/>
        <v>0</v>
      </c>
      <c r="AZ201" s="103">
        <f t="shared" si="420"/>
        <v>0</v>
      </c>
      <c r="BA201" s="103">
        <f t="shared" si="420"/>
        <v>0</v>
      </c>
      <c r="BB201" s="103">
        <f t="shared" si="420"/>
        <v>0</v>
      </c>
      <c r="BC201" s="103">
        <f t="shared" si="420"/>
        <v>0</v>
      </c>
      <c r="BD201" s="103">
        <f t="shared" si="420"/>
        <v>0</v>
      </c>
      <c r="BE201" s="103">
        <f t="shared" si="420"/>
        <v>0</v>
      </c>
      <c r="BF201" s="103">
        <f t="shared" si="420"/>
        <v>0</v>
      </c>
      <c r="BG201" s="103">
        <f t="shared" si="420"/>
        <v>0</v>
      </c>
      <c r="BH201" s="103"/>
      <c r="BI201" s="104"/>
      <c r="BJ201" s="104"/>
      <c r="BK201" s="104"/>
      <c r="BL201" s="110">
        <f>$O201*AB201*'Cost inputs'!F$12/1000000</f>
        <v>0</v>
      </c>
      <c r="BM201" s="110">
        <f>$O201*AC201*'Cost inputs'!G$12/1000000</f>
        <v>0</v>
      </c>
      <c r="BN201" s="110">
        <f>$O201*AD201*'Cost inputs'!H$12/1000000</f>
        <v>0</v>
      </c>
      <c r="BO201" s="110">
        <f>$O201*AE201*'Cost inputs'!I$12/1000000</f>
        <v>0</v>
      </c>
      <c r="BP201" s="110">
        <f>$O201*AF201*'Cost inputs'!J$12/1000000</f>
        <v>0</v>
      </c>
      <c r="BQ201" s="110">
        <f>$O201*AG201*'Cost inputs'!K$12/1000000</f>
        <v>0</v>
      </c>
      <c r="BR201" s="110">
        <f>$O201*AH201*'Cost inputs'!L$12/1000000</f>
        <v>0</v>
      </c>
      <c r="BS201" s="110">
        <f>$O201*AI201*'Cost inputs'!M$12/1000000</f>
        <v>0</v>
      </c>
      <c r="BT201" s="110">
        <f>$O201*AJ201*'Cost inputs'!N$12/1000000</f>
        <v>0</v>
      </c>
      <c r="BU201" s="110">
        <f>$O201*AK201*'Cost inputs'!O$12/1000000</f>
        <v>0</v>
      </c>
      <c r="BV201" s="110">
        <f>$O201*AL201*'Cost inputs'!P$12/1000000</f>
        <v>0</v>
      </c>
      <c r="BW201" s="110">
        <f>$O201*AM201*'Cost inputs'!Q$12/1000000</f>
        <v>3.0512612063906836E-2</v>
      </c>
      <c r="BX201" s="110">
        <f>$O201*AN201*'Cost inputs'!R$12/1000000</f>
        <v>3.1183889529312791E-2</v>
      </c>
      <c r="BY201" s="110">
        <f>$O201*AO201*'Cost inputs'!S$12/1000000</f>
        <v>3.186993509895767E-2</v>
      </c>
      <c r="BZ201" s="110">
        <f>$O201*AP201*'Cost inputs'!T$12/1000000</f>
        <v>3.2571073671134744E-2</v>
      </c>
      <c r="CA201" s="110">
        <f>$O201*AQ201*'Cost inputs'!U$12/1000000</f>
        <v>4.9931455937849555E-2</v>
      </c>
      <c r="CB201" s="110">
        <f>$O201*AR201*'Cost inputs'!V$12/1000000</f>
        <v>5.1029947968482245E-2</v>
      </c>
      <c r="CC201" s="110">
        <f>$O201*AS201*'Cost inputs'!W$12/1000000</f>
        <v>5.2152606823788861E-2</v>
      </c>
      <c r="CD201" s="110">
        <f>$O201*AT201*'Cost inputs'!X$12/1000000</f>
        <v>5.3299964173912209E-2</v>
      </c>
      <c r="CE201" s="110">
        <f>$O201*AU201*'Cost inputs'!Y$12/1000000</f>
        <v>0.12105014085719616</v>
      </c>
      <c r="CF201" s="110">
        <f>$O201*AV201*'Cost inputs'!Z$12/1000000</f>
        <v>0.12371324395605449</v>
      </c>
      <c r="CG201" s="110">
        <f>$O201*AW201*'Cost inputs'!AA$12/1000000</f>
        <v>0.12643493532308769</v>
      </c>
      <c r="CH201" s="110">
        <f>$O201*AX201*'Cost inputs'!AB$12/1000000</f>
        <v>0</v>
      </c>
      <c r="CI201" s="110">
        <f>$O201*AY201*'Cost inputs'!AC$12/1000000</f>
        <v>0</v>
      </c>
      <c r="CJ201" s="110">
        <f>$O201*AZ201*'Cost inputs'!AD$12/1000000</f>
        <v>0</v>
      </c>
      <c r="CK201" s="110">
        <f>$O201*BA201*'Cost inputs'!AE$12/1000000</f>
        <v>0</v>
      </c>
      <c r="CL201" s="110">
        <f>$O201*BB201*'Cost inputs'!AF$12/1000000</f>
        <v>0</v>
      </c>
      <c r="CM201" s="110">
        <f>$O201*BC201*'Cost inputs'!AG$12/1000000</f>
        <v>0</v>
      </c>
      <c r="CN201" s="110">
        <f>$O201*BD201*'Cost inputs'!AH$12/1000000</f>
        <v>0</v>
      </c>
      <c r="CO201" s="110">
        <f>$O201*BE201*'Cost inputs'!AI$12/1000000</f>
        <v>0</v>
      </c>
      <c r="CP201" s="110">
        <f>$O201*BF201*'Cost inputs'!AJ$12/1000000</f>
        <v>0</v>
      </c>
      <c r="CQ201" s="110">
        <f>$O201*BG201*'Cost inputs'!AK$12/1000000</f>
        <v>0</v>
      </c>
      <c r="CR201" s="131">
        <f t="shared" si="414"/>
        <v>0.70374980540368326</v>
      </c>
      <c r="CS201" s="26"/>
    </row>
    <row r="202" spans="1:97" x14ac:dyDescent="0.3">
      <c r="A202" s="104" t="str">
        <f t="shared" ref="A202:N202" si="421">A87</f>
        <v>Paerata / Pukekohe</v>
      </c>
      <c r="B202" s="104" t="str">
        <f t="shared" si="421"/>
        <v>Pukekohe-Paerata Surrounds</v>
      </c>
      <c r="C202" s="104">
        <f t="shared" si="421"/>
        <v>0</v>
      </c>
      <c r="D202" s="104" t="str">
        <f t="shared" si="421"/>
        <v>Paerata West, Pukekohe North-east, North-west, South-east</v>
      </c>
      <c r="E202" s="104">
        <f t="shared" si="421"/>
        <v>0</v>
      </c>
      <c r="F202" s="104">
        <f t="shared" si="421"/>
        <v>0</v>
      </c>
      <c r="G202" s="104">
        <f t="shared" si="421"/>
        <v>2</v>
      </c>
      <c r="H202" s="104">
        <f t="shared" si="421"/>
        <v>0</v>
      </c>
      <c r="I202" s="104">
        <f t="shared" si="421"/>
        <v>0</v>
      </c>
      <c r="J202" s="104">
        <f t="shared" si="421"/>
        <v>0</v>
      </c>
      <c r="K202" s="104">
        <f t="shared" si="421"/>
        <v>2</v>
      </c>
      <c r="L202" s="104">
        <f t="shared" si="421"/>
        <v>0</v>
      </c>
      <c r="M202" s="104">
        <f t="shared" si="421"/>
        <v>0</v>
      </c>
      <c r="N202" s="104">
        <f t="shared" si="421"/>
        <v>0</v>
      </c>
      <c r="O202" s="104">
        <f t="shared" si="374"/>
        <v>2</v>
      </c>
      <c r="P202" s="104" cm="1">
        <f t="array" ref="P202">2024+MATCH(1,0/AB202:BG202)</f>
        <v>2046</v>
      </c>
      <c r="Q202" s="104" t="str">
        <f t="shared" si="318"/>
        <v>Paerata West, Pukekohe North-east, North-west, South-east</v>
      </c>
      <c r="R202" s="104">
        <f t="shared" si="321"/>
        <v>0</v>
      </c>
      <c r="S202" s="104"/>
      <c r="T202" s="104"/>
      <c r="U202" s="104"/>
      <c r="V202" s="104"/>
      <c r="W202" s="104"/>
      <c r="X202" s="104"/>
      <c r="Y202" s="104"/>
      <c r="Z202" s="104"/>
      <c r="AA202" s="104"/>
      <c r="AB202" s="103">
        <f t="shared" si="382"/>
        <v>0</v>
      </c>
      <c r="AC202" s="103">
        <f t="shared" si="379"/>
        <v>0</v>
      </c>
      <c r="AD202" s="103">
        <f t="shared" ref="AD202:BG202" si="422">AD87</f>
        <v>0</v>
      </c>
      <c r="AE202" s="103">
        <f t="shared" si="422"/>
        <v>0</v>
      </c>
      <c r="AF202" s="103">
        <f t="shared" si="422"/>
        <v>0</v>
      </c>
      <c r="AG202" s="103">
        <f t="shared" si="422"/>
        <v>0</v>
      </c>
      <c r="AH202" s="103">
        <f t="shared" si="422"/>
        <v>0</v>
      </c>
      <c r="AI202" s="103">
        <f t="shared" si="422"/>
        <v>0</v>
      </c>
      <c r="AJ202" s="103">
        <f t="shared" si="422"/>
        <v>4.9999999999999996E-2</v>
      </c>
      <c r="AK202" s="103">
        <f t="shared" si="422"/>
        <v>4.9999999999999996E-2</v>
      </c>
      <c r="AL202" s="103">
        <f t="shared" si="422"/>
        <v>4.9999999999999996E-2</v>
      </c>
      <c r="AM202" s="103">
        <f t="shared" si="422"/>
        <v>0.125</v>
      </c>
      <c r="AN202" s="103">
        <f t="shared" si="422"/>
        <v>0.125</v>
      </c>
      <c r="AO202" s="103">
        <f t="shared" si="422"/>
        <v>0.125</v>
      </c>
      <c r="AP202" s="103">
        <f t="shared" si="422"/>
        <v>0.125</v>
      </c>
      <c r="AQ202" s="103">
        <f t="shared" si="422"/>
        <v>6.25E-2</v>
      </c>
      <c r="AR202" s="103">
        <f t="shared" si="422"/>
        <v>6.25E-2</v>
      </c>
      <c r="AS202" s="103">
        <f t="shared" si="422"/>
        <v>6.25E-2</v>
      </c>
      <c r="AT202" s="103">
        <f t="shared" si="422"/>
        <v>6.25E-2</v>
      </c>
      <c r="AU202" s="103">
        <f t="shared" si="422"/>
        <v>3.3333333333333333E-2</v>
      </c>
      <c r="AV202" s="103">
        <f t="shared" si="422"/>
        <v>3.3333333333333333E-2</v>
      </c>
      <c r="AW202" s="103">
        <f t="shared" si="422"/>
        <v>3.3333333333333333E-2</v>
      </c>
      <c r="AX202" s="103">
        <f t="shared" si="422"/>
        <v>0</v>
      </c>
      <c r="AY202" s="103">
        <f t="shared" si="422"/>
        <v>0</v>
      </c>
      <c r="AZ202" s="103">
        <f t="shared" si="422"/>
        <v>0</v>
      </c>
      <c r="BA202" s="103">
        <f t="shared" si="422"/>
        <v>0</v>
      </c>
      <c r="BB202" s="103">
        <f t="shared" si="422"/>
        <v>0</v>
      </c>
      <c r="BC202" s="103">
        <f t="shared" si="422"/>
        <v>0</v>
      </c>
      <c r="BD202" s="103">
        <f t="shared" si="422"/>
        <v>0</v>
      </c>
      <c r="BE202" s="103">
        <f t="shared" si="422"/>
        <v>0</v>
      </c>
      <c r="BF202" s="103">
        <f t="shared" si="422"/>
        <v>0</v>
      </c>
      <c r="BG202" s="103">
        <f t="shared" si="422"/>
        <v>0</v>
      </c>
      <c r="BH202" s="103"/>
      <c r="BI202" s="104"/>
      <c r="BJ202" s="104"/>
      <c r="BK202" s="104"/>
      <c r="BL202" s="110">
        <f>$O202*AB202*'Cost inputs'!F$12/1000000</f>
        <v>0</v>
      </c>
      <c r="BM202" s="110">
        <f>$O202*AC202*'Cost inputs'!G$12/1000000</f>
        <v>0</v>
      </c>
      <c r="BN202" s="110">
        <f>$O202*AD202*'Cost inputs'!H$12/1000000</f>
        <v>0</v>
      </c>
      <c r="BO202" s="110">
        <f>$O202*AE202*'Cost inputs'!I$12/1000000</f>
        <v>0</v>
      </c>
      <c r="BP202" s="110">
        <f>$O202*AF202*'Cost inputs'!J$12/1000000</f>
        <v>0</v>
      </c>
      <c r="BQ202" s="110">
        <f>$O202*AG202*'Cost inputs'!K$12/1000000</f>
        <v>0</v>
      </c>
      <c r="BR202" s="110">
        <f>$O202*AH202*'Cost inputs'!L$12/1000000</f>
        <v>0</v>
      </c>
      <c r="BS202" s="110">
        <f>$O202*AI202*'Cost inputs'!M$12/1000000</f>
        <v>0</v>
      </c>
      <c r="BT202" s="110">
        <f>$O202*AJ202*'Cost inputs'!N$12/1000000</f>
        <v>4.0834633312229196E-3</v>
      </c>
      <c r="BU202" s="110">
        <f>$O202*AK202*'Cost inputs'!O$12/1000000</f>
        <v>4.1732995245098237E-3</v>
      </c>
      <c r="BV202" s="110">
        <f>$O202*AL202*'Cost inputs'!P$12/1000000</f>
        <v>4.2651121140490399E-3</v>
      </c>
      <c r="BW202" s="110">
        <f>$O202*AM202*'Cost inputs'!Q$12/1000000</f>
        <v>1.0897361451395297E-2</v>
      </c>
      <c r="BX202" s="110">
        <f>$O202*AN202*'Cost inputs'!R$12/1000000</f>
        <v>1.1137103403325995E-2</v>
      </c>
      <c r="BY202" s="110">
        <f>$O202*AO202*'Cost inputs'!S$12/1000000</f>
        <v>1.1382119678199168E-2</v>
      </c>
      <c r="BZ202" s="110">
        <f>$O202*AP202*'Cost inputs'!T$12/1000000</f>
        <v>1.1632526311119549E-2</v>
      </c>
      <c r="CA202" s="110">
        <f>$O202*AQ202*'Cost inputs'!U$12/1000000</f>
        <v>5.9442209449820892E-3</v>
      </c>
      <c r="CB202" s="110">
        <f>$O202*AR202*'Cost inputs'!V$12/1000000</f>
        <v>6.0749938057716958E-3</v>
      </c>
      <c r="CC202" s="110">
        <f>$O202*AS202*'Cost inputs'!W$12/1000000</f>
        <v>6.2086436694986733E-3</v>
      </c>
      <c r="CD202" s="110">
        <f>$O202*AT202*'Cost inputs'!X$12/1000000</f>
        <v>6.345233830227644E-3</v>
      </c>
      <c r="CE202" s="110">
        <f>$O202*AU202*'Cost inputs'!Y$12/1000000</f>
        <v>3.4585754530627477E-3</v>
      </c>
      <c r="CF202" s="110">
        <f>$O202*AV202*'Cost inputs'!Z$12/1000000</f>
        <v>3.5346641130301285E-3</v>
      </c>
      <c r="CG202" s="110">
        <f>$O202*AW202*'Cost inputs'!AA$12/1000000</f>
        <v>3.6124267235167918E-3</v>
      </c>
      <c r="CH202" s="110">
        <f>$O202*AX202*'Cost inputs'!AB$12/1000000</f>
        <v>0</v>
      </c>
      <c r="CI202" s="110">
        <f>$O202*AY202*'Cost inputs'!AC$12/1000000</f>
        <v>0</v>
      </c>
      <c r="CJ202" s="110">
        <f>$O202*AZ202*'Cost inputs'!AD$12/1000000</f>
        <v>0</v>
      </c>
      <c r="CK202" s="110">
        <f>$O202*BA202*'Cost inputs'!AE$12/1000000</f>
        <v>0</v>
      </c>
      <c r="CL202" s="110">
        <f>$O202*BB202*'Cost inputs'!AF$12/1000000</f>
        <v>0</v>
      </c>
      <c r="CM202" s="110">
        <f>$O202*BC202*'Cost inputs'!AG$12/1000000</f>
        <v>0</v>
      </c>
      <c r="CN202" s="110">
        <f>$O202*BD202*'Cost inputs'!AH$12/1000000</f>
        <v>0</v>
      </c>
      <c r="CO202" s="110">
        <f>$O202*BE202*'Cost inputs'!AI$12/1000000</f>
        <v>0</v>
      </c>
      <c r="CP202" s="110">
        <f>$O202*BF202*'Cost inputs'!AJ$12/1000000</f>
        <v>0</v>
      </c>
      <c r="CQ202" s="110">
        <f>$O202*BG202*'Cost inputs'!AK$12/1000000</f>
        <v>0</v>
      </c>
      <c r="CR202" s="131">
        <f t="shared" si="414"/>
        <v>9.2749744353911576E-2</v>
      </c>
      <c r="CS202" s="26"/>
    </row>
    <row r="203" spans="1:97" x14ac:dyDescent="0.3">
      <c r="A203" s="104" t="str">
        <f t="shared" ref="A203:N203" si="423">A88</f>
        <v>Paerata / Pukekohe</v>
      </c>
      <c r="B203" s="104" t="str">
        <f t="shared" si="423"/>
        <v>Pukekohe-Paerata Surrounds</v>
      </c>
      <c r="C203" s="104">
        <f t="shared" si="423"/>
        <v>0</v>
      </c>
      <c r="D203" s="104" t="str">
        <f t="shared" si="423"/>
        <v>Paerata West, Pukekohe North-east, North-west, South-east</v>
      </c>
      <c r="E203" s="104">
        <f t="shared" si="423"/>
        <v>0</v>
      </c>
      <c r="F203" s="104">
        <f t="shared" si="423"/>
        <v>0</v>
      </c>
      <c r="G203" s="104">
        <f t="shared" si="423"/>
        <v>0</v>
      </c>
      <c r="H203" s="104">
        <f t="shared" si="423"/>
        <v>0</v>
      </c>
      <c r="I203" s="104">
        <f t="shared" si="423"/>
        <v>0.5</v>
      </c>
      <c r="J203" s="104">
        <f t="shared" si="423"/>
        <v>0</v>
      </c>
      <c r="K203" s="104">
        <f t="shared" si="423"/>
        <v>0</v>
      </c>
      <c r="L203" s="104">
        <f t="shared" si="423"/>
        <v>0</v>
      </c>
      <c r="M203" s="104">
        <f t="shared" si="423"/>
        <v>0.5</v>
      </c>
      <c r="N203" s="104">
        <f t="shared" si="423"/>
        <v>0</v>
      </c>
      <c r="O203" s="104">
        <f t="shared" si="374"/>
        <v>1</v>
      </c>
      <c r="P203" s="104" cm="1">
        <f t="array" ref="P203">2024+MATCH(1,0/AB203:BG203)</f>
        <v>2046</v>
      </c>
      <c r="Q203" s="104" t="str">
        <f t="shared" si="318"/>
        <v>Paerata West, Pukekohe North-east, North-west, South-east</v>
      </c>
      <c r="R203" s="104">
        <f t="shared" si="321"/>
        <v>0</v>
      </c>
      <c r="S203" s="104"/>
      <c r="T203" s="104"/>
      <c r="U203" s="104"/>
      <c r="V203" s="104"/>
      <c r="W203" s="104"/>
      <c r="X203" s="104"/>
      <c r="Y203" s="104"/>
      <c r="Z203" s="104"/>
      <c r="AA203" s="104"/>
      <c r="AB203" s="103">
        <f t="shared" si="382"/>
        <v>0</v>
      </c>
      <c r="AC203" s="103">
        <f t="shared" si="379"/>
        <v>0</v>
      </c>
      <c r="AD203" s="103">
        <f t="shared" ref="AD203:BG203" si="424">AD88</f>
        <v>0</v>
      </c>
      <c r="AE203" s="103">
        <f t="shared" si="424"/>
        <v>0</v>
      </c>
      <c r="AF203" s="103">
        <f t="shared" si="424"/>
        <v>0</v>
      </c>
      <c r="AG203" s="103">
        <f t="shared" si="424"/>
        <v>0</v>
      </c>
      <c r="AH203" s="103">
        <f t="shared" si="424"/>
        <v>0</v>
      </c>
      <c r="AI203" s="103">
        <f t="shared" si="424"/>
        <v>0</v>
      </c>
      <c r="AJ203" s="103">
        <f t="shared" si="424"/>
        <v>0</v>
      </c>
      <c r="AK203" s="103">
        <f t="shared" si="424"/>
        <v>0</v>
      </c>
      <c r="AL203" s="103">
        <f t="shared" si="424"/>
        <v>0</v>
      </c>
      <c r="AM203" s="103">
        <f t="shared" si="424"/>
        <v>0</v>
      </c>
      <c r="AN203" s="103">
        <f t="shared" si="424"/>
        <v>0</v>
      </c>
      <c r="AO203" s="103">
        <f t="shared" si="424"/>
        <v>0</v>
      </c>
      <c r="AP203" s="103">
        <f t="shared" si="424"/>
        <v>0</v>
      </c>
      <c r="AQ203" s="103">
        <f t="shared" si="424"/>
        <v>0.125</v>
      </c>
      <c r="AR203" s="103">
        <f t="shared" si="424"/>
        <v>0.125</v>
      </c>
      <c r="AS203" s="103">
        <f t="shared" si="424"/>
        <v>0.125</v>
      </c>
      <c r="AT203" s="103">
        <f t="shared" si="424"/>
        <v>0.125</v>
      </c>
      <c r="AU203" s="103">
        <f t="shared" si="424"/>
        <v>0.16666666666666666</v>
      </c>
      <c r="AV203" s="103">
        <f t="shared" si="424"/>
        <v>0.16666666666666666</v>
      </c>
      <c r="AW203" s="103">
        <f t="shared" si="424"/>
        <v>0.16666666666666666</v>
      </c>
      <c r="AX203" s="103">
        <f t="shared" si="424"/>
        <v>0</v>
      </c>
      <c r="AY203" s="103">
        <f t="shared" si="424"/>
        <v>0</v>
      </c>
      <c r="AZ203" s="103">
        <f t="shared" si="424"/>
        <v>0</v>
      </c>
      <c r="BA203" s="103">
        <f t="shared" si="424"/>
        <v>0</v>
      </c>
      <c r="BB203" s="103">
        <f t="shared" si="424"/>
        <v>0</v>
      </c>
      <c r="BC203" s="103">
        <f t="shared" si="424"/>
        <v>0</v>
      </c>
      <c r="BD203" s="103">
        <f t="shared" si="424"/>
        <v>0</v>
      </c>
      <c r="BE203" s="103">
        <f t="shared" si="424"/>
        <v>0</v>
      </c>
      <c r="BF203" s="103">
        <f t="shared" si="424"/>
        <v>0</v>
      </c>
      <c r="BG203" s="103">
        <f t="shared" si="424"/>
        <v>0</v>
      </c>
      <c r="BH203" s="103"/>
      <c r="BI203" s="104"/>
      <c r="BJ203" s="104"/>
      <c r="BK203" s="104"/>
      <c r="BL203" s="110">
        <f>$O203*AB203*'Cost inputs'!F$12/1000000</f>
        <v>0</v>
      </c>
      <c r="BM203" s="110">
        <f>$O203*AC203*'Cost inputs'!G$12/1000000</f>
        <v>0</v>
      </c>
      <c r="BN203" s="110">
        <f>$O203*AD203*'Cost inputs'!H$12/1000000</f>
        <v>0</v>
      </c>
      <c r="BO203" s="110">
        <f>$O203*AE203*'Cost inputs'!I$12/1000000</f>
        <v>0</v>
      </c>
      <c r="BP203" s="110">
        <f>$O203*AF203*'Cost inputs'!J$12/1000000</f>
        <v>0</v>
      </c>
      <c r="BQ203" s="110">
        <f>$O203*AG203*'Cost inputs'!K$12/1000000</f>
        <v>0</v>
      </c>
      <c r="BR203" s="110">
        <f>$O203*AH203*'Cost inputs'!L$12/1000000</f>
        <v>0</v>
      </c>
      <c r="BS203" s="110">
        <f>$O203*AI203*'Cost inputs'!M$12/1000000</f>
        <v>0</v>
      </c>
      <c r="BT203" s="110">
        <f>$O203*AJ203*'Cost inputs'!N$12/1000000</f>
        <v>0</v>
      </c>
      <c r="BU203" s="110">
        <f>$O203*AK203*'Cost inputs'!O$12/1000000</f>
        <v>0</v>
      </c>
      <c r="BV203" s="110">
        <f>$O203*AL203*'Cost inputs'!P$12/1000000</f>
        <v>0</v>
      </c>
      <c r="BW203" s="110">
        <f>$O203*AM203*'Cost inputs'!Q$12/1000000</f>
        <v>0</v>
      </c>
      <c r="BX203" s="110">
        <f>$O203*AN203*'Cost inputs'!R$12/1000000</f>
        <v>0</v>
      </c>
      <c r="BY203" s="110">
        <f>$O203*AO203*'Cost inputs'!S$12/1000000</f>
        <v>0</v>
      </c>
      <c r="BZ203" s="110">
        <f>$O203*AP203*'Cost inputs'!T$12/1000000</f>
        <v>0</v>
      </c>
      <c r="CA203" s="110">
        <f>$O203*AQ203*'Cost inputs'!U$12/1000000</f>
        <v>5.9442209449820892E-3</v>
      </c>
      <c r="CB203" s="110">
        <f>$O203*AR203*'Cost inputs'!V$12/1000000</f>
        <v>6.0749938057716958E-3</v>
      </c>
      <c r="CC203" s="110">
        <f>$O203*AS203*'Cost inputs'!W$12/1000000</f>
        <v>6.2086436694986733E-3</v>
      </c>
      <c r="CD203" s="110">
        <f>$O203*AT203*'Cost inputs'!X$12/1000000</f>
        <v>6.345233830227644E-3</v>
      </c>
      <c r="CE203" s="110">
        <f>$O203*AU203*'Cost inputs'!Y$12/1000000</f>
        <v>8.6464386326568689E-3</v>
      </c>
      <c r="CF203" s="110">
        <f>$O203*AV203*'Cost inputs'!Z$12/1000000</f>
        <v>8.8366602825753222E-3</v>
      </c>
      <c r="CG203" s="110">
        <f>$O203*AW203*'Cost inputs'!AA$12/1000000</f>
        <v>9.0310668087919786E-3</v>
      </c>
      <c r="CH203" s="110">
        <f>$O203*AX203*'Cost inputs'!AB$12/1000000</f>
        <v>0</v>
      </c>
      <c r="CI203" s="110">
        <f>$O203*AY203*'Cost inputs'!AC$12/1000000</f>
        <v>0</v>
      </c>
      <c r="CJ203" s="110">
        <f>$O203*AZ203*'Cost inputs'!AD$12/1000000</f>
        <v>0</v>
      </c>
      <c r="CK203" s="110">
        <f>$O203*BA203*'Cost inputs'!AE$12/1000000</f>
        <v>0</v>
      </c>
      <c r="CL203" s="110">
        <f>$O203*BB203*'Cost inputs'!AF$12/1000000</f>
        <v>0</v>
      </c>
      <c r="CM203" s="110">
        <f>$O203*BC203*'Cost inputs'!AG$12/1000000</f>
        <v>0</v>
      </c>
      <c r="CN203" s="110">
        <f>$O203*BD203*'Cost inputs'!AH$12/1000000</f>
        <v>0</v>
      </c>
      <c r="CO203" s="110">
        <f>$O203*BE203*'Cost inputs'!AI$12/1000000</f>
        <v>0</v>
      </c>
      <c r="CP203" s="110">
        <f>$O203*BF203*'Cost inputs'!AJ$12/1000000</f>
        <v>0</v>
      </c>
      <c r="CQ203" s="110">
        <f>$O203*BG203*'Cost inputs'!AK$12/1000000</f>
        <v>0</v>
      </c>
      <c r="CR203" s="131">
        <f t="shared" si="414"/>
        <v>5.1087257974504266E-2</v>
      </c>
      <c r="CS203" s="26"/>
    </row>
    <row r="204" spans="1:97" x14ac:dyDescent="0.3">
      <c r="A204" s="104" t="str">
        <f t="shared" ref="A204:N204" si="425">A89</f>
        <v>Paerata / Pukekohe</v>
      </c>
      <c r="B204" s="104" t="str">
        <f t="shared" si="425"/>
        <v>Pukekohe-Paerata Surrounds</v>
      </c>
      <c r="C204" s="104">
        <f t="shared" si="425"/>
        <v>0</v>
      </c>
      <c r="D204" s="104" t="str">
        <f t="shared" si="425"/>
        <v>Paerata South</v>
      </c>
      <c r="E204" s="104">
        <f t="shared" si="425"/>
        <v>0</v>
      </c>
      <c r="F204" s="104">
        <f t="shared" si="425"/>
        <v>3</v>
      </c>
      <c r="G204" s="104">
        <f t="shared" si="425"/>
        <v>0</v>
      </c>
      <c r="H204" s="104">
        <f t="shared" si="425"/>
        <v>0</v>
      </c>
      <c r="I204" s="104">
        <f t="shared" si="425"/>
        <v>0</v>
      </c>
      <c r="J204" s="104">
        <f t="shared" si="425"/>
        <v>3</v>
      </c>
      <c r="K204" s="104">
        <f t="shared" si="425"/>
        <v>0</v>
      </c>
      <c r="L204" s="104">
        <f t="shared" si="425"/>
        <v>0</v>
      </c>
      <c r="M204" s="104">
        <f t="shared" si="425"/>
        <v>0</v>
      </c>
      <c r="N204" s="104">
        <f t="shared" si="425"/>
        <v>0</v>
      </c>
      <c r="O204" s="104">
        <f t="shared" si="374"/>
        <v>3</v>
      </c>
      <c r="P204" s="104" cm="1">
        <f t="array" ref="P204">2024+MATCH(1,0/AB204:BG204)</f>
        <v>2041</v>
      </c>
      <c r="Q204" s="104" t="str">
        <f t="shared" si="318"/>
        <v>Paerata South</v>
      </c>
      <c r="R204" s="104">
        <f t="shared" si="321"/>
        <v>0</v>
      </c>
      <c r="S204" s="104"/>
      <c r="T204" s="104"/>
      <c r="U204" s="104"/>
      <c r="V204" s="104"/>
      <c r="W204" s="104"/>
      <c r="X204" s="104"/>
      <c r="Y204" s="104"/>
      <c r="Z204" s="104"/>
      <c r="AA204" s="104"/>
      <c r="AB204" s="103">
        <f t="shared" si="382"/>
        <v>0</v>
      </c>
      <c r="AC204" s="103">
        <f t="shared" si="379"/>
        <v>0</v>
      </c>
      <c r="AD204" s="103">
        <f t="shared" ref="AD204:BG204" si="426">AD89</f>
        <v>0</v>
      </c>
      <c r="AE204" s="103">
        <f t="shared" si="426"/>
        <v>0</v>
      </c>
      <c r="AF204" s="103">
        <f t="shared" si="426"/>
        <v>0</v>
      </c>
      <c r="AG204" s="103">
        <f t="shared" si="426"/>
        <v>0</v>
      </c>
      <c r="AH204" s="103">
        <f t="shared" si="426"/>
        <v>0.05</v>
      </c>
      <c r="AI204" s="103">
        <f t="shared" si="426"/>
        <v>0.05</v>
      </c>
      <c r="AJ204" s="103">
        <f t="shared" si="426"/>
        <v>0.05</v>
      </c>
      <c r="AK204" s="103">
        <f t="shared" si="426"/>
        <v>0.05</v>
      </c>
      <c r="AL204" s="103">
        <f t="shared" si="426"/>
        <v>7.4999999999999997E-2</v>
      </c>
      <c r="AM204" s="103">
        <f t="shared" si="426"/>
        <v>7.4999999999999997E-2</v>
      </c>
      <c r="AN204" s="103">
        <f t="shared" si="426"/>
        <v>7.4999999999999997E-2</v>
      </c>
      <c r="AO204" s="103">
        <f t="shared" si="426"/>
        <v>7.4999999999999997E-2</v>
      </c>
      <c r="AP204" s="103">
        <f t="shared" si="426"/>
        <v>0.16666666666666666</v>
      </c>
      <c r="AQ204" s="103">
        <f t="shared" si="426"/>
        <v>0.16666666666666666</v>
      </c>
      <c r="AR204" s="103">
        <f t="shared" si="426"/>
        <v>0.16666666666666666</v>
      </c>
      <c r="AS204" s="103">
        <f t="shared" si="426"/>
        <v>0</v>
      </c>
      <c r="AT204" s="103">
        <f t="shared" si="426"/>
        <v>0</v>
      </c>
      <c r="AU204" s="103">
        <f t="shared" si="426"/>
        <v>0</v>
      </c>
      <c r="AV204" s="103">
        <f t="shared" si="426"/>
        <v>0</v>
      </c>
      <c r="AW204" s="103">
        <f t="shared" si="426"/>
        <v>0</v>
      </c>
      <c r="AX204" s="103">
        <f t="shared" si="426"/>
        <v>0</v>
      </c>
      <c r="AY204" s="103">
        <f t="shared" si="426"/>
        <v>0</v>
      </c>
      <c r="AZ204" s="103">
        <f t="shared" si="426"/>
        <v>0</v>
      </c>
      <c r="BA204" s="103">
        <f t="shared" si="426"/>
        <v>0</v>
      </c>
      <c r="BB204" s="103">
        <f t="shared" si="426"/>
        <v>0</v>
      </c>
      <c r="BC204" s="103">
        <f t="shared" si="426"/>
        <v>0</v>
      </c>
      <c r="BD204" s="103">
        <f t="shared" si="426"/>
        <v>0</v>
      </c>
      <c r="BE204" s="103">
        <f t="shared" si="426"/>
        <v>0</v>
      </c>
      <c r="BF204" s="103">
        <f t="shared" si="426"/>
        <v>0</v>
      </c>
      <c r="BG204" s="103">
        <f t="shared" si="426"/>
        <v>0</v>
      </c>
      <c r="BH204" s="103"/>
      <c r="BI204" s="104"/>
      <c r="BJ204" s="104"/>
      <c r="BK204" s="104"/>
      <c r="BL204" s="110">
        <f>$O204*AB204*'Cost inputs'!F$12/1000000</f>
        <v>0</v>
      </c>
      <c r="BM204" s="110">
        <f>$O204*AC204*'Cost inputs'!G$12/1000000</f>
        <v>0</v>
      </c>
      <c r="BN204" s="110">
        <f>$O204*AD204*'Cost inputs'!H$12/1000000</f>
        <v>0</v>
      </c>
      <c r="BO204" s="110">
        <f>$O204*AE204*'Cost inputs'!I$12/1000000</f>
        <v>0</v>
      </c>
      <c r="BP204" s="110">
        <f>$O204*AF204*'Cost inputs'!J$12/1000000</f>
        <v>0</v>
      </c>
      <c r="BQ204" s="110">
        <f>$O204*AG204*'Cost inputs'!K$12/1000000</f>
        <v>0</v>
      </c>
      <c r="BR204" s="110">
        <f>$O204*AH204*'Cost inputs'!L$12/1000000</f>
        <v>5.8643263054622002E-3</v>
      </c>
      <c r="BS204" s="110">
        <f>$O204*AI204*'Cost inputs'!M$12/1000000</f>
        <v>5.9933414841823688E-3</v>
      </c>
      <c r="BT204" s="110">
        <f>$O204*AJ204*'Cost inputs'!N$12/1000000</f>
        <v>6.1251949968343803E-3</v>
      </c>
      <c r="BU204" s="110">
        <f>$O204*AK204*'Cost inputs'!O$12/1000000</f>
        <v>6.2599492867647369E-3</v>
      </c>
      <c r="BV204" s="110">
        <f>$O204*AL204*'Cost inputs'!P$12/1000000</f>
        <v>9.5965022566103404E-3</v>
      </c>
      <c r="BW204" s="110">
        <f>$O204*AM204*'Cost inputs'!Q$12/1000000</f>
        <v>9.8076253062557676E-3</v>
      </c>
      <c r="BX204" s="110">
        <f>$O204*AN204*'Cost inputs'!R$12/1000000</f>
        <v>1.0023393062993395E-2</v>
      </c>
      <c r="BY204" s="110">
        <f>$O204*AO204*'Cost inputs'!S$12/1000000</f>
        <v>1.024390771037925E-2</v>
      </c>
      <c r="BZ204" s="110">
        <f>$O204*AP204*'Cost inputs'!T$12/1000000</f>
        <v>2.3265052622239098E-2</v>
      </c>
      <c r="CA204" s="110">
        <f>$O204*AQ204*'Cost inputs'!U$12/1000000</f>
        <v>2.3776883779928357E-2</v>
      </c>
      <c r="CB204" s="110">
        <f>$O204*AR204*'Cost inputs'!V$12/1000000</f>
        <v>2.4299975223086783E-2</v>
      </c>
      <c r="CC204" s="110">
        <f>$O204*AS204*'Cost inputs'!W$12/1000000</f>
        <v>0</v>
      </c>
      <c r="CD204" s="110">
        <f>$O204*AT204*'Cost inputs'!X$12/1000000</f>
        <v>0</v>
      </c>
      <c r="CE204" s="110">
        <f>$O204*AU204*'Cost inputs'!Y$12/1000000</f>
        <v>0</v>
      </c>
      <c r="CF204" s="110">
        <f>$O204*AV204*'Cost inputs'!Z$12/1000000</f>
        <v>0</v>
      </c>
      <c r="CG204" s="110">
        <f>$O204*AW204*'Cost inputs'!AA$12/1000000</f>
        <v>0</v>
      </c>
      <c r="CH204" s="110">
        <f>$O204*AX204*'Cost inputs'!AB$12/1000000</f>
        <v>0</v>
      </c>
      <c r="CI204" s="110">
        <f>$O204*AY204*'Cost inputs'!AC$12/1000000</f>
        <v>0</v>
      </c>
      <c r="CJ204" s="110">
        <f>$O204*AZ204*'Cost inputs'!AD$12/1000000</f>
        <v>0</v>
      </c>
      <c r="CK204" s="110">
        <f>$O204*BA204*'Cost inputs'!AE$12/1000000</f>
        <v>0</v>
      </c>
      <c r="CL204" s="110">
        <f>$O204*BB204*'Cost inputs'!AF$12/1000000</f>
        <v>0</v>
      </c>
      <c r="CM204" s="110">
        <f>$O204*BC204*'Cost inputs'!AG$12/1000000</f>
        <v>0</v>
      </c>
      <c r="CN204" s="110">
        <f>$O204*BD204*'Cost inputs'!AH$12/1000000</f>
        <v>0</v>
      </c>
      <c r="CO204" s="110">
        <f>$O204*BE204*'Cost inputs'!AI$12/1000000</f>
        <v>0</v>
      </c>
      <c r="CP204" s="110">
        <f>$O204*BF204*'Cost inputs'!AJ$12/1000000</f>
        <v>0</v>
      </c>
      <c r="CQ204" s="110">
        <f>$O204*BG204*'Cost inputs'!AK$12/1000000</f>
        <v>0</v>
      </c>
      <c r="CR204" s="131">
        <f t="shared" si="414"/>
        <v>0.13525615203473668</v>
      </c>
      <c r="CS204" s="26"/>
    </row>
    <row r="205" spans="1:97" x14ac:dyDescent="0.3">
      <c r="A205" s="104" t="str">
        <f t="shared" ref="A205:N205" si="427">A90</f>
        <v>Paerata / Pukekohe</v>
      </c>
      <c r="B205" s="104" t="str">
        <f t="shared" si="427"/>
        <v>Pukekohe-Paerata Surrounds</v>
      </c>
      <c r="C205" s="104">
        <f t="shared" si="427"/>
        <v>0</v>
      </c>
      <c r="D205" s="104" t="str">
        <f t="shared" si="427"/>
        <v>Paerata South</v>
      </c>
      <c r="E205" s="104">
        <f t="shared" si="427"/>
        <v>0</v>
      </c>
      <c r="F205" s="104">
        <f t="shared" si="427"/>
        <v>0</v>
      </c>
      <c r="G205" s="104">
        <f t="shared" si="427"/>
        <v>1</v>
      </c>
      <c r="H205" s="104">
        <f t="shared" si="427"/>
        <v>0</v>
      </c>
      <c r="I205" s="104">
        <f t="shared" si="427"/>
        <v>0</v>
      </c>
      <c r="J205" s="104">
        <f t="shared" si="427"/>
        <v>0</v>
      </c>
      <c r="K205" s="104">
        <f t="shared" si="427"/>
        <v>1</v>
      </c>
      <c r="L205" s="104">
        <f t="shared" si="427"/>
        <v>0</v>
      </c>
      <c r="M205" s="104">
        <f t="shared" si="427"/>
        <v>0</v>
      </c>
      <c r="N205" s="104">
        <f t="shared" si="427"/>
        <v>0</v>
      </c>
      <c r="O205" s="104">
        <f t="shared" si="374"/>
        <v>1</v>
      </c>
      <c r="P205" s="104" cm="1">
        <f t="array" ref="P205">2024+MATCH(1,0/AB205:BG205)</f>
        <v>2041</v>
      </c>
      <c r="Q205" s="104" t="str">
        <f t="shared" si="318"/>
        <v>Paerata South</v>
      </c>
      <c r="R205" s="104">
        <f t="shared" si="321"/>
        <v>0</v>
      </c>
      <c r="S205" s="104"/>
      <c r="T205" s="104"/>
      <c r="U205" s="104"/>
      <c r="V205" s="104"/>
      <c r="W205" s="104"/>
      <c r="X205" s="104"/>
      <c r="Y205" s="104"/>
      <c r="Z205" s="104"/>
      <c r="AA205" s="104"/>
      <c r="AB205" s="103">
        <f t="shared" si="382"/>
        <v>7.2277777590649045E-2</v>
      </c>
      <c r="AC205" s="103">
        <f t="shared" si="379"/>
        <v>3.7144039148275132E-2</v>
      </c>
      <c r="AD205" s="103">
        <f t="shared" ref="AD205:BG205" si="428">AD90</f>
        <v>4.693886925000864E-2</v>
      </c>
      <c r="AE205" s="103">
        <f t="shared" si="428"/>
        <v>1.9207251627271639E-2</v>
      </c>
      <c r="AF205" s="103">
        <f t="shared" si="428"/>
        <v>3.0671470308457977E-2</v>
      </c>
      <c r="AG205" s="103">
        <f t="shared" si="428"/>
        <v>7.0574517253221988E-2</v>
      </c>
      <c r="AH205" s="103">
        <f t="shared" si="428"/>
        <v>5.784797696261839E-2</v>
      </c>
      <c r="AI205" s="103">
        <f t="shared" si="428"/>
        <v>6.2267232328672428E-2</v>
      </c>
      <c r="AJ205" s="103">
        <f t="shared" si="428"/>
        <v>4.8241630734504208E-2</v>
      </c>
      <c r="AK205" s="103">
        <f t="shared" si="428"/>
        <v>1.4129803340614668E-2</v>
      </c>
      <c r="AL205" s="103">
        <f t="shared" si="428"/>
        <v>0.10472734996525389</v>
      </c>
      <c r="AM205" s="103">
        <f t="shared" si="428"/>
        <v>0.10601471966704468</v>
      </c>
      <c r="AN205" s="103">
        <f t="shared" si="428"/>
        <v>0.10750477164694536</v>
      </c>
      <c r="AO205" s="103">
        <f t="shared" si="428"/>
        <v>0.10314837920794254</v>
      </c>
      <c r="AP205" s="103">
        <f t="shared" si="428"/>
        <v>4.8886873976350477E-2</v>
      </c>
      <c r="AQ205" s="103">
        <f t="shared" si="428"/>
        <v>5.2554477979523215E-2</v>
      </c>
      <c r="AR205" s="103">
        <f t="shared" si="428"/>
        <v>1.7862859012645727E-2</v>
      </c>
      <c r="AS205" s="103">
        <f t="shared" si="428"/>
        <v>0</v>
      </c>
      <c r="AT205" s="103">
        <f t="shared" si="428"/>
        <v>0</v>
      </c>
      <c r="AU205" s="103">
        <f t="shared" si="428"/>
        <v>0</v>
      </c>
      <c r="AV205" s="103">
        <f t="shared" si="428"/>
        <v>0</v>
      </c>
      <c r="AW205" s="103">
        <f t="shared" si="428"/>
        <v>0</v>
      </c>
      <c r="AX205" s="103">
        <f t="shared" si="428"/>
        <v>0</v>
      </c>
      <c r="AY205" s="103">
        <f t="shared" si="428"/>
        <v>0</v>
      </c>
      <c r="AZ205" s="103">
        <f t="shared" si="428"/>
        <v>0</v>
      </c>
      <c r="BA205" s="103">
        <f t="shared" si="428"/>
        <v>0</v>
      </c>
      <c r="BB205" s="103">
        <f t="shared" si="428"/>
        <v>0</v>
      </c>
      <c r="BC205" s="103">
        <f t="shared" si="428"/>
        <v>0</v>
      </c>
      <c r="BD205" s="103">
        <f t="shared" si="428"/>
        <v>0</v>
      </c>
      <c r="BE205" s="103">
        <f t="shared" si="428"/>
        <v>0</v>
      </c>
      <c r="BF205" s="103">
        <f t="shared" si="428"/>
        <v>0</v>
      </c>
      <c r="BG205" s="103">
        <f t="shared" si="428"/>
        <v>0</v>
      </c>
      <c r="BH205" s="103"/>
      <c r="BI205" s="104"/>
      <c r="BJ205" s="104"/>
      <c r="BK205" s="104"/>
      <c r="BL205" s="110">
        <f>$O205*AB205*'Cost inputs'!F$12/1000000</f>
        <v>2.42967428235952E-3</v>
      </c>
      <c r="BM205" s="110">
        <f>$O205*AC205*'Cost inputs'!G$12/1000000</f>
        <v>1.2898307200221741E-3</v>
      </c>
      <c r="BN205" s="110">
        <f>$O205*AD205*'Cost inputs'!H$12/1000000</f>
        <v>1.6821158713796818E-3</v>
      </c>
      <c r="BO205" s="110">
        <f>$O205*AE205*'Cost inputs'!I$12/1000000</f>
        <v>7.0345999887039734E-4</v>
      </c>
      <c r="BP205" s="110">
        <f>$O205*AF205*'Cost inputs'!J$12/1000000</f>
        <v>1.1480470111371926E-3</v>
      </c>
      <c r="BQ205" s="110">
        <f>$O205*AG205*'Cost inputs'!K$12/1000000</f>
        <v>2.6997521071321956E-3</v>
      </c>
      <c r="BR205" s="110">
        <f>$O205*AH205*'Cost inputs'!L$12/1000000</f>
        <v>2.2615960867976956E-3</v>
      </c>
      <c r="BS205" s="110">
        <f>$O205*AI205*'Cost inputs'!M$12/1000000</f>
        <v>2.4879252441376929E-3</v>
      </c>
      <c r="BT205" s="110">
        <f>$O205*AJ205*'Cost inputs'!N$12/1000000</f>
        <v>1.9699293014274455E-3</v>
      </c>
      <c r="BU205" s="110">
        <f>$O205*AK205*'Cost inputs'!O$12/1000000</f>
        <v>5.8967901562804515E-4</v>
      </c>
      <c r="BV205" s="110">
        <f>$O205*AL205*'Cost inputs'!P$12/1000000</f>
        <v>4.4667388900905772E-3</v>
      </c>
      <c r="BW205" s="110">
        <f>$O205*AM205*'Cost inputs'!Q$12/1000000</f>
        <v>4.6211228775205259E-3</v>
      </c>
      <c r="BX205" s="110">
        <f>$O205*AN205*'Cost inputs'!R$12/1000000</f>
        <v>4.7891670327319166E-3</v>
      </c>
      <c r="BY205" s="110">
        <f>$O205*AO205*'Cost inputs'!S$12/1000000</f>
        <v>4.6961887870282911E-3</v>
      </c>
      <c r="BZ205" s="110">
        <f>$O205*AP205*'Cost inputs'!T$12/1000000</f>
        <v>2.27471139119313E-3</v>
      </c>
      <c r="CA205" s="110">
        <f>$O205*AQ205*'Cost inputs'!U$12/1000000</f>
        <v>2.499163430067855E-3</v>
      </c>
      <c r="CB205" s="110">
        <f>$O205*AR205*'Cost inputs'!V$12/1000000</f>
        <v>8.6813406284156713E-4</v>
      </c>
      <c r="CC205" s="110">
        <f>$O205*AS205*'Cost inputs'!W$12/1000000</f>
        <v>0</v>
      </c>
      <c r="CD205" s="110">
        <f>$O205*AT205*'Cost inputs'!X$12/1000000</f>
        <v>0</v>
      </c>
      <c r="CE205" s="110">
        <f>$O205*AU205*'Cost inputs'!Y$12/1000000</f>
        <v>0</v>
      </c>
      <c r="CF205" s="110">
        <f>$O205*AV205*'Cost inputs'!Z$12/1000000</f>
        <v>0</v>
      </c>
      <c r="CG205" s="110">
        <f>$O205*AW205*'Cost inputs'!AA$12/1000000</f>
        <v>0</v>
      </c>
      <c r="CH205" s="110">
        <f>$O205*AX205*'Cost inputs'!AB$12/1000000</f>
        <v>0</v>
      </c>
      <c r="CI205" s="110">
        <f>$O205*AY205*'Cost inputs'!AC$12/1000000</f>
        <v>0</v>
      </c>
      <c r="CJ205" s="110">
        <f>$O205*AZ205*'Cost inputs'!AD$12/1000000</f>
        <v>0</v>
      </c>
      <c r="CK205" s="110">
        <f>$O205*BA205*'Cost inputs'!AE$12/1000000</f>
        <v>0</v>
      </c>
      <c r="CL205" s="110">
        <f>$O205*BB205*'Cost inputs'!AF$12/1000000</f>
        <v>0</v>
      </c>
      <c r="CM205" s="110">
        <f>$O205*BC205*'Cost inputs'!AG$12/1000000</f>
        <v>0</v>
      </c>
      <c r="CN205" s="110">
        <f>$O205*BD205*'Cost inputs'!AH$12/1000000</f>
        <v>0</v>
      </c>
      <c r="CO205" s="110">
        <f>$O205*BE205*'Cost inputs'!AI$12/1000000</f>
        <v>0</v>
      </c>
      <c r="CP205" s="110">
        <f>$O205*BF205*'Cost inputs'!AJ$12/1000000</f>
        <v>0</v>
      </c>
      <c r="CQ205" s="110">
        <f>$O205*BG205*'Cost inputs'!AK$12/1000000</f>
        <v>0</v>
      </c>
      <c r="CR205" s="131">
        <f t="shared" si="414"/>
        <v>4.1477236110365912E-2</v>
      </c>
      <c r="CS205" s="26"/>
    </row>
    <row r="206" spans="1:97" x14ac:dyDescent="0.3">
      <c r="A206" s="104" t="str">
        <f t="shared" ref="A206:N206" si="429">A91</f>
        <v>Paerata / Pukekohe</v>
      </c>
      <c r="B206" s="104" t="str">
        <f t="shared" si="429"/>
        <v>Pukekohe-Paerata Surrounds</v>
      </c>
      <c r="C206" s="104">
        <f t="shared" si="429"/>
        <v>0</v>
      </c>
      <c r="D206" s="104" t="str">
        <f t="shared" si="429"/>
        <v>Pukekohe East, South-west</v>
      </c>
      <c r="E206" s="104" t="str">
        <f t="shared" si="429"/>
        <v>and 1 in Puke-West</v>
      </c>
      <c r="F206" s="104">
        <f t="shared" si="429"/>
        <v>11</v>
      </c>
      <c r="G206" s="104">
        <f t="shared" si="429"/>
        <v>0</v>
      </c>
      <c r="H206" s="104">
        <f t="shared" si="429"/>
        <v>0</v>
      </c>
      <c r="I206" s="104">
        <f t="shared" si="429"/>
        <v>0</v>
      </c>
      <c r="J206" s="104">
        <f t="shared" si="429"/>
        <v>11</v>
      </c>
      <c r="K206" s="104">
        <f t="shared" si="429"/>
        <v>0</v>
      </c>
      <c r="L206" s="104">
        <f t="shared" si="429"/>
        <v>0</v>
      </c>
      <c r="M206" s="104">
        <f t="shared" si="429"/>
        <v>0</v>
      </c>
      <c r="N206" s="104">
        <f t="shared" si="429"/>
        <v>0</v>
      </c>
      <c r="O206" s="104">
        <f t="shared" si="374"/>
        <v>11</v>
      </c>
      <c r="P206" s="104" cm="1">
        <f t="array" ref="P206">2024+MATCH(1,0/AB206:BG206)</f>
        <v>2042</v>
      </c>
      <c r="Q206" s="104" t="str">
        <f t="shared" si="318"/>
        <v>Pukekohe East, South-west</v>
      </c>
      <c r="R206" s="104" t="str">
        <f t="shared" si="321"/>
        <v>and 1 in Puke-West</v>
      </c>
      <c r="S206" s="104"/>
      <c r="T206" s="104"/>
      <c r="U206" s="104"/>
      <c r="V206" s="104"/>
      <c r="W206" s="104"/>
      <c r="X206" s="104"/>
      <c r="Y206" s="104"/>
      <c r="Z206" s="104"/>
      <c r="AA206" s="104"/>
      <c r="AB206" s="103">
        <f t="shared" si="382"/>
        <v>0</v>
      </c>
      <c r="AC206" s="103">
        <f t="shared" si="379"/>
        <v>0</v>
      </c>
      <c r="AD206" s="103">
        <f t="shared" ref="AD206:BG206" si="430">AD91</f>
        <v>0</v>
      </c>
      <c r="AE206" s="103">
        <f t="shared" si="430"/>
        <v>0</v>
      </c>
      <c r="AF206" s="103">
        <f t="shared" si="430"/>
        <v>0</v>
      </c>
      <c r="AG206" s="103">
        <f t="shared" si="430"/>
        <v>0</v>
      </c>
      <c r="AH206" s="103">
        <f t="shared" si="430"/>
        <v>0</v>
      </c>
      <c r="AI206" s="103">
        <f t="shared" si="430"/>
        <v>0.05</v>
      </c>
      <c r="AJ206" s="103">
        <f t="shared" si="430"/>
        <v>0.05</v>
      </c>
      <c r="AK206" s="103">
        <f t="shared" si="430"/>
        <v>0.05</v>
      </c>
      <c r="AL206" s="103">
        <f t="shared" si="430"/>
        <v>0.05</v>
      </c>
      <c r="AM206" s="103">
        <f t="shared" si="430"/>
        <v>7.4999999999999997E-2</v>
      </c>
      <c r="AN206" s="103">
        <f t="shared" si="430"/>
        <v>7.4999999999999997E-2</v>
      </c>
      <c r="AO206" s="103">
        <f t="shared" si="430"/>
        <v>7.4999999999999997E-2</v>
      </c>
      <c r="AP206" s="103">
        <f t="shared" si="430"/>
        <v>7.4999999999999997E-2</v>
      </c>
      <c r="AQ206" s="103">
        <f t="shared" si="430"/>
        <v>0.16666666666666666</v>
      </c>
      <c r="AR206" s="103">
        <f t="shared" si="430"/>
        <v>0.16666666666666666</v>
      </c>
      <c r="AS206" s="103">
        <f t="shared" si="430"/>
        <v>0.16666666666666666</v>
      </c>
      <c r="AT206" s="103">
        <f t="shared" si="430"/>
        <v>0</v>
      </c>
      <c r="AU206" s="103">
        <f t="shared" si="430"/>
        <v>0</v>
      </c>
      <c r="AV206" s="103">
        <f t="shared" si="430"/>
        <v>0</v>
      </c>
      <c r="AW206" s="103">
        <f t="shared" si="430"/>
        <v>0</v>
      </c>
      <c r="AX206" s="103">
        <f t="shared" si="430"/>
        <v>0</v>
      </c>
      <c r="AY206" s="103">
        <f t="shared" si="430"/>
        <v>0</v>
      </c>
      <c r="AZ206" s="103">
        <f t="shared" si="430"/>
        <v>0</v>
      </c>
      <c r="BA206" s="103">
        <f t="shared" si="430"/>
        <v>0</v>
      </c>
      <c r="BB206" s="103">
        <f t="shared" si="430"/>
        <v>0</v>
      </c>
      <c r="BC206" s="103">
        <f t="shared" si="430"/>
        <v>0</v>
      </c>
      <c r="BD206" s="103">
        <f t="shared" si="430"/>
        <v>0</v>
      </c>
      <c r="BE206" s="103">
        <f t="shared" si="430"/>
        <v>0</v>
      </c>
      <c r="BF206" s="103">
        <f t="shared" si="430"/>
        <v>0</v>
      </c>
      <c r="BG206" s="103">
        <f t="shared" si="430"/>
        <v>0</v>
      </c>
      <c r="BH206" s="103"/>
      <c r="BI206" s="104"/>
      <c r="BJ206" s="104"/>
      <c r="BK206" s="104"/>
      <c r="BL206" s="110">
        <f>$O206*AB206*'Cost inputs'!F$12/1000000</f>
        <v>0</v>
      </c>
      <c r="BM206" s="110">
        <f>$O206*AC206*'Cost inputs'!G$12/1000000</f>
        <v>0</v>
      </c>
      <c r="BN206" s="110">
        <f>$O206*AD206*'Cost inputs'!H$12/1000000</f>
        <v>0</v>
      </c>
      <c r="BO206" s="110">
        <f>$O206*AE206*'Cost inputs'!I$12/1000000</f>
        <v>0</v>
      </c>
      <c r="BP206" s="110">
        <f>$O206*AF206*'Cost inputs'!J$12/1000000</f>
        <v>0</v>
      </c>
      <c r="BQ206" s="110">
        <f>$O206*AG206*'Cost inputs'!K$12/1000000</f>
        <v>0</v>
      </c>
      <c r="BR206" s="110">
        <f>$O206*AH206*'Cost inputs'!L$12/1000000</f>
        <v>0</v>
      </c>
      <c r="BS206" s="110">
        <f>$O206*AI206*'Cost inputs'!M$12/1000000</f>
        <v>2.1975585442002014E-2</v>
      </c>
      <c r="BT206" s="110">
        <f>$O206*AJ206*'Cost inputs'!N$12/1000000</f>
        <v>2.2459048321726058E-2</v>
      </c>
      <c r="BU206" s="110">
        <f>$O206*AK206*'Cost inputs'!O$12/1000000</f>
        <v>2.2953147384804033E-2</v>
      </c>
      <c r="BV206" s="110">
        <f>$O206*AL206*'Cost inputs'!P$12/1000000</f>
        <v>2.3458116627269723E-2</v>
      </c>
      <c r="BW206" s="110">
        <f>$O206*AM206*'Cost inputs'!Q$12/1000000</f>
        <v>3.5961292789604478E-2</v>
      </c>
      <c r="BX206" s="110">
        <f>$O206*AN206*'Cost inputs'!R$12/1000000</f>
        <v>3.6752441230975784E-2</v>
      </c>
      <c r="BY206" s="110">
        <f>$O206*AO206*'Cost inputs'!S$12/1000000</f>
        <v>3.756099493805725E-2</v>
      </c>
      <c r="BZ206" s="110">
        <f>$O206*AP206*'Cost inputs'!T$12/1000000</f>
        <v>3.8387336826694513E-2</v>
      </c>
      <c r="CA206" s="110">
        <f>$O206*AQ206*'Cost inputs'!U$12/1000000</f>
        <v>8.7181907193070646E-2</v>
      </c>
      <c r="CB206" s="110">
        <f>$O206*AR206*'Cost inputs'!V$12/1000000</f>
        <v>8.9099909151318185E-2</v>
      </c>
      <c r="CC206" s="110">
        <f>$O206*AS206*'Cost inputs'!W$12/1000000</f>
        <v>9.1060107152647202E-2</v>
      </c>
      <c r="CD206" s="110">
        <f>$O206*AT206*'Cost inputs'!X$12/1000000</f>
        <v>0</v>
      </c>
      <c r="CE206" s="110">
        <f>$O206*AU206*'Cost inputs'!Y$12/1000000</f>
        <v>0</v>
      </c>
      <c r="CF206" s="110">
        <f>$O206*AV206*'Cost inputs'!Z$12/1000000</f>
        <v>0</v>
      </c>
      <c r="CG206" s="110">
        <f>$O206*AW206*'Cost inputs'!AA$12/1000000</f>
        <v>0</v>
      </c>
      <c r="CH206" s="110">
        <f>$O206*AX206*'Cost inputs'!AB$12/1000000</f>
        <v>0</v>
      </c>
      <c r="CI206" s="110">
        <f>$O206*AY206*'Cost inputs'!AC$12/1000000</f>
        <v>0</v>
      </c>
      <c r="CJ206" s="110">
        <f>$O206*AZ206*'Cost inputs'!AD$12/1000000</f>
        <v>0</v>
      </c>
      <c r="CK206" s="110">
        <f>$O206*BA206*'Cost inputs'!AE$12/1000000</f>
        <v>0</v>
      </c>
      <c r="CL206" s="110">
        <f>$O206*BB206*'Cost inputs'!AF$12/1000000</f>
        <v>0</v>
      </c>
      <c r="CM206" s="110">
        <f>$O206*BC206*'Cost inputs'!AG$12/1000000</f>
        <v>0</v>
      </c>
      <c r="CN206" s="110">
        <f>$O206*BD206*'Cost inputs'!AH$12/1000000</f>
        <v>0</v>
      </c>
      <c r="CO206" s="110">
        <f>$O206*BE206*'Cost inputs'!AI$12/1000000</f>
        <v>0</v>
      </c>
      <c r="CP206" s="110">
        <f>$O206*BF206*'Cost inputs'!AJ$12/1000000</f>
        <v>0</v>
      </c>
      <c r="CQ206" s="110">
        <f>$O206*BG206*'Cost inputs'!AK$12/1000000</f>
        <v>0</v>
      </c>
      <c r="CR206" s="131">
        <f t="shared" si="414"/>
        <v>0.50684988705816991</v>
      </c>
      <c r="CS206" s="26"/>
    </row>
    <row r="207" spans="1:97" x14ac:dyDescent="0.3">
      <c r="A207" s="104" t="str">
        <f t="shared" ref="A207:N207" si="431">A92</f>
        <v>Paerata / Pukekohe</v>
      </c>
      <c r="B207" s="104" t="str">
        <f t="shared" si="431"/>
        <v>Pukekohe-Paerata Surrounds</v>
      </c>
      <c r="C207" s="104">
        <f t="shared" si="431"/>
        <v>0</v>
      </c>
      <c r="D207" s="104" t="str">
        <f t="shared" si="431"/>
        <v>Pukekohe East, South-west</v>
      </c>
      <c r="E207" s="104">
        <f t="shared" si="431"/>
        <v>0</v>
      </c>
      <c r="F207" s="104">
        <f t="shared" si="431"/>
        <v>0</v>
      </c>
      <c r="G207" s="104">
        <f t="shared" si="431"/>
        <v>1</v>
      </c>
      <c r="H207" s="104">
        <f t="shared" si="431"/>
        <v>0</v>
      </c>
      <c r="I207" s="104">
        <f t="shared" si="431"/>
        <v>0</v>
      </c>
      <c r="J207" s="104">
        <f t="shared" si="431"/>
        <v>0</v>
      </c>
      <c r="K207" s="104">
        <f t="shared" si="431"/>
        <v>1</v>
      </c>
      <c r="L207" s="104">
        <f t="shared" si="431"/>
        <v>0</v>
      </c>
      <c r="M207" s="104">
        <f t="shared" si="431"/>
        <v>0</v>
      </c>
      <c r="N207" s="104">
        <f t="shared" si="431"/>
        <v>0</v>
      </c>
      <c r="O207" s="104">
        <f t="shared" si="374"/>
        <v>1</v>
      </c>
      <c r="P207" s="104" cm="1">
        <f t="array" ref="P207">2024+MATCH(1,0/AB207:BG207)</f>
        <v>2044</v>
      </c>
      <c r="Q207" s="104" t="str">
        <f t="shared" si="318"/>
        <v>Pukekohe East, South-west</v>
      </c>
      <c r="R207" s="104">
        <f t="shared" si="321"/>
        <v>0</v>
      </c>
      <c r="S207" s="104"/>
      <c r="T207" s="104"/>
      <c r="U207" s="104"/>
      <c r="V207" s="104"/>
      <c r="W207" s="104"/>
      <c r="X207" s="104"/>
      <c r="Y207" s="104"/>
      <c r="Z207" s="104"/>
      <c r="AA207" s="104"/>
      <c r="AB207" s="103">
        <f t="shared" si="382"/>
        <v>0</v>
      </c>
      <c r="AC207" s="103">
        <f t="shared" si="379"/>
        <v>0</v>
      </c>
      <c r="AD207" s="103">
        <f t="shared" ref="AD207:BG207" si="432">AD92</f>
        <v>0</v>
      </c>
      <c r="AE207" s="103">
        <f t="shared" si="432"/>
        <v>0</v>
      </c>
      <c r="AF207" s="103">
        <f t="shared" si="432"/>
        <v>0</v>
      </c>
      <c r="AG207" s="103">
        <f t="shared" si="432"/>
        <v>0</v>
      </c>
      <c r="AH207" s="103">
        <f t="shared" si="432"/>
        <v>4.9999999999999996E-2</v>
      </c>
      <c r="AI207" s="103">
        <f t="shared" si="432"/>
        <v>4.9999999999999996E-2</v>
      </c>
      <c r="AJ207" s="103">
        <f t="shared" si="432"/>
        <v>4.9999999999999996E-2</v>
      </c>
      <c r="AK207" s="103">
        <f t="shared" si="432"/>
        <v>0.125</v>
      </c>
      <c r="AL207" s="103">
        <f t="shared" si="432"/>
        <v>0.125</v>
      </c>
      <c r="AM207" s="103">
        <f t="shared" si="432"/>
        <v>0.125</v>
      </c>
      <c r="AN207" s="103">
        <f t="shared" si="432"/>
        <v>0.125</v>
      </c>
      <c r="AO207" s="103">
        <f t="shared" si="432"/>
        <v>6.25E-2</v>
      </c>
      <c r="AP207" s="103">
        <f t="shared" si="432"/>
        <v>6.25E-2</v>
      </c>
      <c r="AQ207" s="103">
        <f t="shared" si="432"/>
        <v>6.25E-2</v>
      </c>
      <c r="AR207" s="103">
        <f t="shared" si="432"/>
        <v>6.25E-2</v>
      </c>
      <c r="AS207" s="103">
        <f t="shared" si="432"/>
        <v>3.3333333333333333E-2</v>
      </c>
      <c r="AT207" s="103">
        <f t="shared" si="432"/>
        <v>3.3333333333333333E-2</v>
      </c>
      <c r="AU207" s="103">
        <f t="shared" si="432"/>
        <v>3.3333333333333333E-2</v>
      </c>
      <c r="AV207" s="103">
        <f t="shared" si="432"/>
        <v>0</v>
      </c>
      <c r="AW207" s="103">
        <f t="shared" si="432"/>
        <v>0</v>
      </c>
      <c r="AX207" s="103">
        <f t="shared" si="432"/>
        <v>0</v>
      </c>
      <c r="AY207" s="103">
        <f t="shared" si="432"/>
        <v>0</v>
      </c>
      <c r="AZ207" s="103">
        <f t="shared" si="432"/>
        <v>0</v>
      </c>
      <c r="BA207" s="103">
        <f t="shared" si="432"/>
        <v>0</v>
      </c>
      <c r="BB207" s="103">
        <f t="shared" si="432"/>
        <v>0</v>
      </c>
      <c r="BC207" s="103">
        <f t="shared" si="432"/>
        <v>0</v>
      </c>
      <c r="BD207" s="103">
        <f t="shared" si="432"/>
        <v>0</v>
      </c>
      <c r="BE207" s="103">
        <f t="shared" si="432"/>
        <v>0</v>
      </c>
      <c r="BF207" s="103">
        <f t="shared" si="432"/>
        <v>0</v>
      </c>
      <c r="BG207" s="103">
        <f t="shared" si="432"/>
        <v>0</v>
      </c>
      <c r="BH207" s="103"/>
      <c r="BI207" s="104"/>
      <c r="BJ207" s="104"/>
      <c r="BK207" s="104"/>
      <c r="BL207" s="110">
        <f>$O207*AB207*'Cost inputs'!F$12/1000000</f>
        <v>0</v>
      </c>
      <c r="BM207" s="110">
        <f>$O207*AC207*'Cost inputs'!G$12/1000000</f>
        <v>0</v>
      </c>
      <c r="BN207" s="110">
        <f>$O207*AD207*'Cost inputs'!H$12/1000000</f>
        <v>0</v>
      </c>
      <c r="BO207" s="110">
        <f>$O207*AE207*'Cost inputs'!I$12/1000000</f>
        <v>0</v>
      </c>
      <c r="BP207" s="110">
        <f>$O207*AF207*'Cost inputs'!J$12/1000000</f>
        <v>0</v>
      </c>
      <c r="BQ207" s="110">
        <f>$O207*AG207*'Cost inputs'!K$12/1000000</f>
        <v>0</v>
      </c>
      <c r="BR207" s="110">
        <f>$O207*AH207*'Cost inputs'!L$12/1000000</f>
        <v>1.9547754351540662E-3</v>
      </c>
      <c r="BS207" s="110">
        <f>$O207*AI207*'Cost inputs'!M$12/1000000</f>
        <v>1.9977804947274558E-3</v>
      </c>
      <c r="BT207" s="110">
        <f>$O207*AJ207*'Cost inputs'!N$12/1000000</f>
        <v>2.0417316656114598E-3</v>
      </c>
      <c r="BU207" s="110">
        <f>$O207*AK207*'Cost inputs'!O$12/1000000</f>
        <v>5.2166244056372794E-3</v>
      </c>
      <c r="BV207" s="110">
        <f>$O207*AL207*'Cost inputs'!P$12/1000000</f>
        <v>5.3313901425613005E-3</v>
      </c>
      <c r="BW207" s="110">
        <f>$O207*AM207*'Cost inputs'!Q$12/1000000</f>
        <v>5.4486807256976487E-3</v>
      </c>
      <c r="BX207" s="110">
        <f>$O207*AN207*'Cost inputs'!R$12/1000000</f>
        <v>5.5685517016629974E-3</v>
      </c>
      <c r="BY207" s="110">
        <f>$O207*AO207*'Cost inputs'!S$12/1000000</f>
        <v>2.8455299195497921E-3</v>
      </c>
      <c r="BZ207" s="110">
        <f>$O207*AP207*'Cost inputs'!T$12/1000000</f>
        <v>2.9081315777798873E-3</v>
      </c>
      <c r="CA207" s="110">
        <f>$O207*AQ207*'Cost inputs'!U$12/1000000</f>
        <v>2.9721104724910446E-3</v>
      </c>
      <c r="CB207" s="110">
        <f>$O207*AR207*'Cost inputs'!V$12/1000000</f>
        <v>3.0374969028858479E-3</v>
      </c>
      <c r="CC207" s="110">
        <f>$O207*AS207*'Cost inputs'!W$12/1000000</f>
        <v>1.6556383118663128E-3</v>
      </c>
      <c r="CD207" s="110">
        <f>$O207*AT207*'Cost inputs'!X$12/1000000</f>
        <v>1.6920623547273716E-3</v>
      </c>
      <c r="CE207" s="110">
        <f>$O207*AU207*'Cost inputs'!Y$12/1000000</f>
        <v>1.7292877265313738E-3</v>
      </c>
      <c r="CF207" s="110">
        <f>$O207*AV207*'Cost inputs'!Z$12/1000000</f>
        <v>0</v>
      </c>
      <c r="CG207" s="110">
        <f>$O207*AW207*'Cost inputs'!AA$12/1000000</f>
        <v>0</v>
      </c>
      <c r="CH207" s="110">
        <f>$O207*AX207*'Cost inputs'!AB$12/1000000</f>
        <v>0</v>
      </c>
      <c r="CI207" s="110">
        <f>$O207*AY207*'Cost inputs'!AC$12/1000000</f>
        <v>0</v>
      </c>
      <c r="CJ207" s="110">
        <f>$O207*AZ207*'Cost inputs'!AD$12/1000000</f>
        <v>0</v>
      </c>
      <c r="CK207" s="110">
        <f>$O207*BA207*'Cost inputs'!AE$12/1000000</f>
        <v>0</v>
      </c>
      <c r="CL207" s="110">
        <f>$O207*BB207*'Cost inputs'!AF$12/1000000</f>
        <v>0</v>
      </c>
      <c r="CM207" s="110">
        <f>$O207*BC207*'Cost inputs'!AG$12/1000000</f>
        <v>0</v>
      </c>
      <c r="CN207" s="110">
        <f>$O207*BD207*'Cost inputs'!AH$12/1000000</f>
        <v>0</v>
      </c>
      <c r="CO207" s="110">
        <f>$O207*BE207*'Cost inputs'!AI$12/1000000</f>
        <v>0</v>
      </c>
      <c r="CP207" s="110">
        <f>$O207*BF207*'Cost inputs'!AJ$12/1000000</f>
        <v>0</v>
      </c>
      <c r="CQ207" s="110">
        <f>$O207*BG207*'Cost inputs'!AK$12/1000000</f>
        <v>0</v>
      </c>
      <c r="CR207" s="131">
        <f t="shared" si="414"/>
        <v>4.4399791836883841E-2</v>
      </c>
      <c r="CS207" s="26"/>
    </row>
    <row r="208" spans="1:97" x14ac:dyDescent="0.3">
      <c r="A208" s="104" t="str">
        <f t="shared" ref="A208:N208" si="433">A93</f>
        <v>Paerata / Pukekohe</v>
      </c>
      <c r="B208" s="104" t="str">
        <f t="shared" si="433"/>
        <v>Rural SW</v>
      </c>
      <c r="C208" s="104">
        <f t="shared" si="433"/>
        <v>0</v>
      </c>
      <c r="D208" s="104" t="str">
        <f t="shared" si="433"/>
        <v>Karaka North LZ</v>
      </c>
      <c r="E208" s="104" t="str">
        <f t="shared" si="433"/>
        <v>land prog by sat inspection</v>
      </c>
      <c r="F208" s="104">
        <f t="shared" si="433"/>
        <v>1</v>
      </c>
      <c r="G208" s="104">
        <f t="shared" si="433"/>
        <v>0</v>
      </c>
      <c r="H208" s="104">
        <f t="shared" si="433"/>
        <v>0</v>
      </c>
      <c r="I208" s="104">
        <f t="shared" si="433"/>
        <v>0</v>
      </c>
      <c r="J208" s="104">
        <f t="shared" si="433"/>
        <v>1</v>
      </c>
      <c r="K208" s="104">
        <f t="shared" si="433"/>
        <v>0</v>
      </c>
      <c r="L208" s="104">
        <f t="shared" si="433"/>
        <v>0</v>
      </c>
      <c r="M208" s="104">
        <f t="shared" si="433"/>
        <v>0</v>
      </c>
      <c r="N208" s="104">
        <f t="shared" si="433"/>
        <v>0</v>
      </c>
      <c r="O208" s="104">
        <f t="shared" si="374"/>
        <v>1</v>
      </c>
      <c r="P208" s="104" cm="1">
        <f t="array" ref="P208">2024+MATCH(1,0/AB208:BG208)</f>
        <v>2038</v>
      </c>
      <c r="Q208" s="104" t="str">
        <f t="shared" si="318"/>
        <v>Karaka North LZ</v>
      </c>
      <c r="R208" s="104" t="str">
        <f t="shared" si="321"/>
        <v>land prog by sat inspection</v>
      </c>
      <c r="S208" s="104"/>
      <c r="T208" s="104"/>
      <c r="U208" s="104"/>
      <c r="V208" s="104"/>
      <c r="W208" s="104"/>
      <c r="X208" s="104"/>
      <c r="Y208" s="104"/>
      <c r="Z208" s="104"/>
      <c r="AA208" s="104"/>
      <c r="AB208" s="103">
        <f t="shared" si="382"/>
        <v>0</v>
      </c>
      <c r="AC208" s="103">
        <f t="shared" si="379"/>
        <v>0</v>
      </c>
      <c r="AD208" s="103">
        <f t="shared" ref="AD208:BG208" si="434">AD93</f>
        <v>0</v>
      </c>
      <c r="AE208" s="103">
        <f t="shared" si="434"/>
        <v>0</v>
      </c>
      <c r="AF208" s="103">
        <f t="shared" si="434"/>
        <v>0</v>
      </c>
      <c r="AG208" s="103">
        <f t="shared" si="434"/>
        <v>0</v>
      </c>
      <c r="AH208" s="103">
        <f t="shared" si="434"/>
        <v>0</v>
      </c>
      <c r="AI208" s="103">
        <f t="shared" si="434"/>
        <v>0</v>
      </c>
      <c r="AJ208" s="103">
        <f t="shared" si="434"/>
        <v>0</v>
      </c>
      <c r="AK208" s="103">
        <f t="shared" si="434"/>
        <v>0</v>
      </c>
      <c r="AL208" s="103">
        <f t="shared" si="434"/>
        <v>0.25</v>
      </c>
      <c r="AM208" s="103">
        <f t="shared" si="434"/>
        <v>0.25</v>
      </c>
      <c r="AN208" s="103">
        <f t="shared" si="434"/>
        <v>0.25</v>
      </c>
      <c r="AO208" s="103">
        <f t="shared" si="434"/>
        <v>0.25</v>
      </c>
      <c r="AP208" s="103">
        <f t="shared" si="434"/>
        <v>0</v>
      </c>
      <c r="AQ208" s="103">
        <f t="shared" si="434"/>
        <v>0</v>
      </c>
      <c r="AR208" s="103">
        <f t="shared" si="434"/>
        <v>0</v>
      </c>
      <c r="AS208" s="103">
        <f t="shared" si="434"/>
        <v>0</v>
      </c>
      <c r="AT208" s="103">
        <f t="shared" si="434"/>
        <v>0</v>
      </c>
      <c r="AU208" s="103">
        <f t="shared" si="434"/>
        <v>0</v>
      </c>
      <c r="AV208" s="103">
        <f t="shared" si="434"/>
        <v>0</v>
      </c>
      <c r="AW208" s="103">
        <f t="shared" si="434"/>
        <v>0</v>
      </c>
      <c r="AX208" s="103">
        <f t="shared" si="434"/>
        <v>0</v>
      </c>
      <c r="AY208" s="103">
        <f t="shared" si="434"/>
        <v>0</v>
      </c>
      <c r="AZ208" s="103">
        <f t="shared" si="434"/>
        <v>0</v>
      </c>
      <c r="BA208" s="103">
        <f t="shared" si="434"/>
        <v>0</v>
      </c>
      <c r="BB208" s="103">
        <f t="shared" si="434"/>
        <v>0</v>
      </c>
      <c r="BC208" s="103">
        <f t="shared" si="434"/>
        <v>0</v>
      </c>
      <c r="BD208" s="103">
        <f t="shared" si="434"/>
        <v>0</v>
      </c>
      <c r="BE208" s="103">
        <f t="shared" si="434"/>
        <v>0</v>
      </c>
      <c r="BF208" s="103">
        <f t="shared" si="434"/>
        <v>0</v>
      </c>
      <c r="BG208" s="103">
        <f t="shared" si="434"/>
        <v>0</v>
      </c>
      <c r="BH208" s="103"/>
      <c r="BI208" s="104"/>
      <c r="BJ208" s="104"/>
      <c r="BK208" s="104"/>
      <c r="BL208" s="110">
        <f>$O208*AB208*'Cost inputs'!F$12/1000000</f>
        <v>0</v>
      </c>
      <c r="BM208" s="110">
        <f>$O208*AC208*'Cost inputs'!G$12/1000000</f>
        <v>0</v>
      </c>
      <c r="BN208" s="110">
        <f>$O208*AD208*'Cost inputs'!H$12/1000000</f>
        <v>0</v>
      </c>
      <c r="BO208" s="110">
        <f>$O208*AE208*'Cost inputs'!I$12/1000000</f>
        <v>0</v>
      </c>
      <c r="BP208" s="110">
        <f>$O208*AF208*'Cost inputs'!J$12/1000000</f>
        <v>0</v>
      </c>
      <c r="BQ208" s="110">
        <f>$O208*AG208*'Cost inputs'!K$12/1000000</f>
        <v>0</v>
      </c>
      <c r="BR208" s="110">
        <f>$O208*AH208*'Cost inputs'!L$12/1000000</f>
        <v>0</v>
      </c>
      <c r="BS208" s="110">
        <f>$O208*AI208*'Cost inputs'!M$12/1000000</f>
        <v>0</v>
      </c>
      <c r="BT208" s="110">
        <f>$O208*AJ208*'Cost inputs'!N$12/1000000</f>
        <v>0</v>
      </c>
      <c r="BU208" s="110">
        <f>$O208*AK208*'Cost inputs'!O$12/1000000</f>
        <v>0</v>
      </c>
      <c r="BV208" s="110">
        <f>$O208*AL208*'Cost inputs'!P$12/1000000</f>
        <v>1.0662780285122601E-2</v>
      </c>
      <c r="BW208" s="110">
        <f>$O208*AM208*'Cost inputs'!Q$12/1000000</f>
        <v>1.0897361451395297E-2</v>
      </c>
      <c r="BX208" s="110">
        <f>$O208*AN208*'Cost inputs'!R$12/1000000</f>
        <v>1.1137103403325995E-2</v>
      </c>
      <c r="BY208" s="110">
        <f>$O208*AO208*'Cost inputs'!S$12/1000000</f>
        <v>1.1382119678199168E-2</v>
      </c>
      <c r="BZ208" s="110">
        <f>$O208*AP208*'Cost inputs'!T$12/1000000</f>
        <v>0</v>
      </c>
      <c r="CA208" s="110">
        <f>$O208*AQ208*'Cost inputs'!U$12/1000000</f>
        <v>0</v>
      </c>
      <c r="CB208" s="110">
        <f>$O208*AR208*'Cost inputs'!V$12/1000000</f>
        <v>0</v>
      </c>
      <c r="CC208" s="110">
        <f>$O208*AS208*'Cost inputs'!W$12/1000000</f>
        <v>0</v>
      </c>
      <c r="CD208" s="110">
        <f>$O208*AT208*'Cost inputs'!X$12/1000000</f>
        <v>0</v>
      </c>
      <c r="CE208" s="110">
        <f>$O208*AU208*'Cost inputs'!Y$12/1000000</f>
        <v>0</v>
      </c>
      <c r="CF208" s="110">
        <f>$O208*AV208*'Cost inputs'!Z$12/1000000</f>
        <v>0</v>
      </c>
      <c r="CG208" s="110">
        <f>$O208*AW208*'Cost inputs'!AA$12/1000000</f>
        <v>0</v>
      </c>
      <c r="CH208" s="110">
        <f>$O208*AX208*'Cost inputs'!AB$12/1000000</f>
        <v>0</v>
      </c>
      <c r="CI208" s="110">
        <f>$O208*AY208*'Cost inputs'!AC$12/1000000</f>
        <v>0</v>
      </c>
      <c r="CJ208" s="110">
        <f>$O208*AZ208*'Cost inputs'!AD$12/1000000</f>
        <v>0</v>
      </c>
      <c r="CK208" s="110">
        <f>$O208*BA208*'Cost inputs'!AE$12/1000000</f>
        <v>0</v>
      </c>
      <c r="CL208" s="110">
        <f>$O208*BB208*'Cost inputs'!AF$12/1000000</f>
        <v>0</v>
      </c>
      <c r="CM208" s="110">
        <f>$O208*BC208*'Cost inputs'!AG$12/1000000</f>
        <v>0</v>
      </c>
      <c r="CN208" s="110">
        <f>$O208*BD208*'Cost inputs'!AH$12/1000000</f>
        <v>0</v>
      </c>
      <c r="CO208" s="110">
        <f>$O208*BE208*'Cost inputs'!AI$12/1000000</f>
        <v>0</v>
      </c>
      <c r="CP208" s="110">
        <f>$O208*BF208*'Cost inputs'!AJ$12/1000000</f>
        <v>0</v>
      </c>
      <c r="CQ208" s="110">
        <f>$O208*BG208*'Cost inputs'!AK$12/1000000</f>
        <v>0</v>
      </c>
      <c r="CR208" s="131">
        <f t="shared" si="414"/>
        <v>4.407936481804306E-2</v>
      </c>
      <c r="CS208" s="26"/>
    </row>
    <row r="209" spans="1:98" x14ac:dyDescent="0.3">
      <c r="A209" s="104" t="str">
        <f t="shared" ref="A209:N209" si="435">A94</f>
        <v>Paerata / Pukekohe</v>
      </c>
      <c r="B209" s="104" t="str">
        <f t="shared" si="435"/>
        <v>Rural SW</v>
      </c>
      <c r="C209" s="104">
        <f t="shared" si="435"/>
        <v>0</v>
      </c>
      <c r="D209" s="104" t="str">
        <f t="shared" si="435"/>
        <v>Karaka North LZ</v>
      </c>
      <c r="E209" s="142" t="str">
        <f t="shared" si="435"/>
        <v>negotiatingbut no price; maybe FY25 or FY26</v>
      </c>
      <c r="F209" s="142">
        <f t="shared" si="435"/>
        <v>1.25</v>
      </c>
      <c r="G209" s="104">
        <f t="shared" si="435"/>
        <v>0</v>
      </c>
      <c r="H209" s="104">
        <f t="shared" si="435"/>
        <v>0</v>
      </c>
      <c r="I209" s="104">
        <f t="shared" si="435"/>
        <v>0</v>
      </c>
      <c r="J209" s="142">
        <f t="shared" si="435"/>
        <v>1.25</v>
      </c>
      <c r="K209" s="104">
        <f t="shared" si="435"/>
        <v>0</v>
      </c>
      <c r="L209" s="104">
        <f t="shared" si="435"/>
        <v>0</v>
      </c>
      <c r="M209" s="104">
        <f t="shared" si="435"/>
        <v>0</v>
      </c>
      <c r="N209" s="104">
        <f t="shared" si="435"/>
        <v>0</v>
      </c>
      <c r="O209" s="104">
        <f t="shared" si="374"/>
        <v>1</v>
      </c>
      <c r="P209" s="104" cm="1">
        <f t="array" ref="P209">2024+MATCH(1,0/AB209:BG209)</f>
        <v>2035</v>
      </c>
      <c r="Q209" s="104" t="str">
        <f t="shared" si="318"/>
        <v>Karaka North LZ</v>
      </c>
      <c r="R209" s="142" t="str">
        <f t="shared" si="321"/>
        <v>negotiatingbut no price; maybe FY25 or FY26</v>
      </c>
      <c r="S209" s="142"/>
      <c r="T209" s="142"/>
      <c r="U209" s="142"/>
      <c r="V209" s="142"/>
      <c r="W209" s="142"/>
      <c r="X209" s="104"/>
      <c r="Y209" s="104"/>
      <c r="Z209" s="104"/>
      <c r="AA209" s="104"/>
      <c r="AB209" s="149">
        <f t="shared" si="382"/>
        <v>0.25</v>
      </c>
      <c r="AC209" s="149">
        <f t="shared" si="379"/>
        <v>0.1</v>
      </c>
      <c r="AD209" s="149">
        <f t="shared" ref="AD209:BG209" si="436">AD94</f>
        <v>0</v>
      </c>
      <c r="AE209" s="149">
        <f t="shared" si="436"/>
        <v>0</v>
      </c>
      <c r="AF209" s="149">
        <f t="shared" si="436"/>
        <v>0</v>
      </c>
      <c r="AG209" s="149">
        <f t="shared" si="436"/>
        <v>0</v>
      </c>
      <c r="AH209" s="149">
        <f t="shared" si="436"/>
        <v>0</v>
      </c>
      <c r="AI209" s="149">
        <f t="shared" si="436"/>
        <v>0</v>
      </c>
      <c r="AJ209" s="149">
        <f t="shared" si="436"/>
        <v>0</v>
      </c>
      <c r="AK209" s="149">
        <f t="shared" si="436"/>
        <v>0</v>
      </c>
      <c r="AL209" s="149">
        <f t="shared" si="436"/>
        <v>0.65</v>
      </c>
      <c r="AM209" s="149">
        <f t="shared" si="436"/>
        <v>0</v>
      </c>
      <c r="AN209" s="149">
        <f t="shared" si="436"/>
        <v>0</v>
      </c>
      <c r="AO209" s="149">
        <f t="shared" si="436"/>
        <v>0</v>
      </c>
      <c r="AP209" s="149">
        <f t="shared" si="436"/>
        <v>0</v>
      </c>
      <c r="AQ209" s="149">
        <f t="shared" si="436"/>
        <v>0</v>
      </c>
      <c r="AR209" s="149">
        <f t="shared" si="436"/>
        <v>0</v>
      </c>
      <c r="AS209" s="149">
        <f t="shared" si="436"/>
        <v>0</v>
      </c>
      <c r="AT209" s="149">
        <f t="shared" si="436"/>
        <v>0</v>
      </c>
      <c r="AU209" s="149">
        <f t="shared" si="436"/>
        <v>0</v>
      </c>
      <c r="AV209" s="149">
        <f t="shared" si="436"/>
        <v>0</v>
      </c>
      <c r="AW209" s="149">
        <f t="shared" si="436"/>
        <v>0</v>
      </c>
      <c r="AX209" s="149">
        <f t="shared" si="436"/>
        <v>0</v>
      </c>
      <c r="AY209" s="149">
        <f t="shared" si="436"/>
        <v>0</v>
      </c>
      <c r="AZ209" s="149">
        <f t="shared" si="436"/>
        <v>0</v>
      </c>
      <c r="BA209" s="149">
        <f t="shared" si="436"/>
        <v>0</v>
      </c>
      <c r="BB209" s="149">
        <f t="shared" si="436"/>
        <v>0</v>
      </c>
      <c r="BC209" s="149">
        <f t="shared" si="436"/>
        <v>0</v>
      </c>
      <c r="BD209" s="149">
        <f t="shared" si="436"/>
        <v>0</v>
      </c>
      <c r="BE209" s="149">
        <f t="shared" si="436"/>
        <v>0</v>
      </c>
      <c r="BF209" s="149">
        <f t="shared" si="436"/>
        <v>0</v>
      </c>
      <c r="BG209" s="149">
        <f t="shared" si="436"/>
        <v>0</v>
      </c>
      <c r="BH209" s="156"/>
      <c r="BI209" s="145"/>
      <c r="BJ209" s="145"/>
      <c r="BK209" s="145"/>
      <c r="BL209" s="154">
        <f>$O209*AB209*'Cost inputs'!F$12/1000000</f>
        <v>8.4039464249999977E-3</v>
      </c>
      <c r="BM209" s="154">
        <f>$O209*AC209*'Cost inputs'!G$12/1000000</f>
        <v>3.472510662809999E-3</v>
      </c>
      <c r="BN209" s="154">
        <f>$O209*AD209*'Cost inputs'!H$12/1000000</f>
        <v>0</v>
      </c>
      <c r="BO209" s="154">
        <f>$O209*AE209*'Cost inputs'!I$12/1000000</f>
        <v>0</v>
      </c>
      <c r="BP209" s="154">
        <f>$O209*AF209*'Cost inputs'!J$12/1000000</f>
        <v>0</v>
      </c>
      <c r="BQ209" s="154">
        <f>$O209*AG209*'Cost inputs'!K$12/1000000</f>
        <v>0</v>
      </c>
      <c r="BR209" s="154">
        <f>$O209*AH209*'Cost inputs'!L$12/1000000</f>
        <v>0</v>
      </c>
      <c r="BS209" s="154">
        <f>$O209*AI209*'Cost inputs'!M$12/1000000</f>
        <v>0</v>
      </c>
      <c r="BT209" s="154">
        <f>$O209*AJ209*'Cost inputs'!N$12/1000000</f>
        <v>0</v>
      </c>
      <c r="BU209" s="154">
        <f>$O209*AK209*'Cost inputs'!O$12/1000000</f>
        <v>0</v>
      </c>
      <c r="BV209" s="154">
        <f>$O209*AL209*'Cost inputs'!P$12/1000000</f>
        <v>2.7723228741318762E-2</v>
      </c>
      <c r="BW209" s="154">
        <f>$O209*AM209*'Cost inputs'!Q$12/1000000</f>
        <v>0</v>
      </c>
      <c r="BX209" s="154">
        <f>$O209*AN209*'Cost inputs'!R$12/1000000</f>
        <v>0</v>
      </c>
      <c r="BY209" s="154">
        <f>$O209*AO209*'Cost inputs'!S$12/1000000</f>
        <v>0</v>
      </c>
      <c r="BZ209" s="154">
        <f>$O209*AP209*'Cost inputs'!T$12/1000000</f>
        <v>0</v>
      </c>
      <c r="CA209" s="154">
        <f>$O209*AQ209*'Cost inputs'!U$12/1000000</f>
        <v>0</v>
      </c>
      <c r="CB209" s="154">
        <f>$O209*AR209*'Cost inputs'!V$12/1000000</f>
        <v>0</v>
      </c>
      <c r="CC209" s="154">
        <f>$O209*AS209*'Cost inputs'!W$12/1000000</f>
        <v>0</v>
      </c>
      <c r="CD209" s="154">
        <f>$O209*AT209*'Cost inputs'!X$12/1000000</f>
        <v>0</v>
      </c>
      <c r="CE209" s="154">
        <f>$O209*AU209*'Cost inputs'!Y$12/1000000</f>
        <v>0</v>
      </c>
      <c r="CF209" s="154">
        <f>$O209*AV209*'Cost inputs'!Z$12/1000000</f>
        <v>0</v>
      </c>
      <c r="CG209" s="154">
        <f>$O209*AW209*'Cost inputs'!AA$12/1000000</f>
        <v>0</v>
      </c>
      <c r="CH209" s="154">
        <f>$O209*AX209*'Cost inputs'!AB$12/1000000</f>
        <v>0</v>
      </c>
      <c r="CI209" s="154">
        <f>$O209*AY209*'Cost inputs'!AC$12/1000000</f>
        <v>0</v>
      </c>
      <c r="CJ209" s="154">
        <f>$O209*AZ209*'Cost inputs'!AD$12/1000000</f>
        <v>0</v>
      </c>
      <c r="CK209" s="154">
        <f>$O209*BA209*'Cost inputs'!AE$12/1000000</f>
        <v>0</v>
      </c>
      <c r="CL209" s="154">
        <f>$O209*BB209*'Cost inputs'!AF$12/1000000</f>
        <v>0</v>
      </c>
      <c r="CM209" s="154">
        <f>$O209*BC209*'Cost inputs'!AG$12/1000000</f>
        <v>0</v>
      </c>
      <c r="CN209" s="154">
        <f>$O209*BD209*'Cost inputs'!AH$12/1000000</f>
        <v>0</v>
      </c>
      <c r="CO209" s="154">
        <f>$O209*BE209*'Cost inputs'!AI$12/1000000</f>
        <v>0</v>
      </c>
      <c r="CP209" s="154">
        <f>$O209*BF209*'Cost inputs'!AJ$12/1000000</f>
        <v>0</v>
      </c>
      <c r="CQ209" s="154">
        <f>$O209*BG209*'Cost inputs'!AK$12/1000000</f>
        <v>0</v>
      </c>
      <c r="CR209" s="155">
        <f t="shared" si="414"/>
        <v>3.9599685829128761E-2</v>
      </c>
      <c r="CS209" s="26"/>
    </row>
    <row r="210" spans="1:98" x14ac:dyDescent="0.3">
      <c r="A210" s="104" t="str">
        <f t="shared" ref="A210:N210" si="437">A95</f>
        <v>Glenbrook, Clarks Beach</v>
      </c>
      <c r="B210" s="104" t="str">
        <f t="shared" si="437"/>
        <v>Rural SW</v>
      </c>
      <c r="C210" s="104">
        <f t="shared" si="437"/>
        <v>0</v>
      </c>
      <c r="D210" s="104" t="str">
        <f t="shared" si="437"/>
        <v>Kingseat</v>
      </c>
      <c r="E210" s="142" t="str">
        <f t="shared" si="437"/>
        <v>9 mcRobie, land prog by sat inspection</v>
      </c>
      <c r="F210" s="142">
        <f t="shared" si="437"/>
        <v>0.85</v>
      </c>
      <c r="G210" s="104">
        <f t="shared" si="437"/>
        <v>0</v>
      </c>
      <c r="H210" s="104">
        <f t="shared" si="437"/>
        <v>0</v>
      </c>
      <c r="I210" s="104">
        <f t="shared" si="437"/>
        <v>0</v>
      </c>
      <c r="J210" s="142">
        <f t="shared" si="437"/>
        <v>0.85</v>
      </c>
      <c r="K210" s="104">
        <f t="shared" si="437"/>
        <v>0</v>
      </c>
      <c r="L210" s="104">
        <f t="shared" si="437"/>
        <v>0</v>
      </c>
      <c r="M210" s="104">
        <f t="shared" si="437"/>
        <v>0</v>
      </c>
      <c r="N210" s="104">
        <f t="shared" si="437"/>
        <v>0</v>
      </c>
      <c r="O210" s="104">
        <f t="shared" si="374"/>
        <v>1</v>
      </c>
      <c r="P210" s="104" cm="1">
        <f t="array" ref="P210">2024+MATCH(1,0/AB210:BG210)</f>
        <v>2039</v>
      </c>
      <c r="Q210" s="104" t="str">
        <f t="shared" si="318"/>
        <v>Kingseat</v>
      </c>
      <c r="R210" s="142" t="str">
        <f t="shared" si="321"/>
        <v>9 mcRobie, land prog by sat inspection</v>
      </c>
      <c r="S210" s="142"/>
      <c r="T210" s="142"/>
      <c r="U210" s="142"/>
      <c r="V210" s="142"/>
      <c r="W210" s="142"/>
      <c r="X210" s="104"/>
      <c r="Y210" s="104"/>
      <c r="Z210" s="104"/>
      <c r="AA210" s="104"/>
      <c r="AB210" s="103">
        <f t="shared" si="382"/>
        <v>0</v>
      </c>
      <c r="AC210" s="103">
        <f t="shared" si="379"/>
        <v>0</v>
      </c>
      <c r="AD210" s="103">
        <f t="shared" ref="AD210:BG210" si="438">AD95</f>
        <v>0</v>
      </c>
      <c r="AE210" s="103">
        <f t="shared" si="438"/>
        <v>0</v>
      </c>
      <c r="AF210" s="103">
        <f t="shared" si="438"/>
        <v>0</v>
      </c>
      <c r="AG210" s="103">
        <f t="shared" si="438"/>
        <v>0</v>
      </c>
      <c r="AH210" s="103">
        <f t="shared" si="438"/>
        <v>0</v>
      </c>
      <c r="AI210" s="103">
        <f t="shared" si="438"/>
        <v>0</v>
      </c>
      <c r="AJ210" s="103">
        <f t="shared" si="438"/>
        <v>9.3749999999999986E-2</v>
      </c>
      <c r="AK210" s="103">
        <f t="shared" si="438"/>
        <v>9.3749999999999986E-2</v>
      </c>
      <c r="AL210" s="103">
        <f t="shared" si="438"/>
        <v>9.3749999999999986E-2</v>
      </c>
      <c r="AM210" s="103">
        <f t="shared" si="438"/>
        <v>9.3749999999999986E-2</v>
      </c>
      <c r="AN210" s="103">
        <f t="shared" si="438"/>
        <v>0.20833333333333334</v>
      </c>
      <c r="AO210" s="103">
        <f t="shared" si="438"/>
        <v>0.20833333333333334</v>
      </c>
      <c r="AP210" s="103">
        <f t="shared" si="438"/>
        <v>0.20833333333333334</v>
      </c>
      <c r="AQ210" s="103">
        <f t="shared" si="438"/>
        <v>0</v>
      </c>
      <c r="AR210" s="103">
        <f t="shared" si="438"/>
        <v>0</v>
      </c>
      <c r="AS210" s="103">
        <f t="shared" si="438"/>
        <v>0</v>
      </c>
      <c r="AT210" s="103">
        <f t="shared" si="438"/>
        <v>0</v>
      </c>
      <c r="AU210" s="103">
        <f t="shared" si="438"/>
        <v>0</v>
      </c>
      <c r="AV210" s="103">
        <f t="shared" si="438"/>
        <v>0</v>
      </c>
      <c r="AW210" s="103">
        <f t="shared" si="438"/>
        <v>0</v>
      </c>
      <c r="AX210" s="103">
        <f t="shared" si="438"/>
        <v>0</v>
      </c>
      <c r="AY210" s="103">
        <f t="shared" si="438"/>
        <v>0</v>
      </c>
      <c r="AZ210" s="103">
        <f t="shared" si="438"/>
        <v>0</v>
      </c>
      <c r="BA210" s="103">
        <f t="shared" si="438"/>
        <v>0</v>
      </c>
      <c r="BB210" s="103">
        <f t="shared" si="438"/>
        <v>0</v>
      </c>
      <c r="BC210" s="103">
        <f t="shared" si="438"/>
        <v>0</v>
      </c>
      <c r="BD210" s="103">
        <f t="shared" si="438"/>
        <v>0</v>
      </c>
      <c r="BE210" s="103">
        <f t="shared" si="438"/>
        <v>0</v>
      </c>
      <c r="BF210" s="103">
        <f t="shared" si="438"/>
        <v>0</v>
      </c>
      <c r="BG210" s="103">
        <f t="shared" si="438"/>
        <v>0</v>
      </c>
      <c r="BH210" s="103"/>
      <c r="BI210" s="104"/>
      <c r="BJ210" s="104"/>
      <c r="BK210" s="104"/>
      <c r="BL210" s="110">
        <f>$O210*AB210*'Cost inputs'!F$12/1000000</f>
        <v>0</v>
      </c>
      <c r="BM210" s="110">
        <f>$O210*AC210*'Cost inputs'!G$12/1000000</f>
        <v>0</v>
      </c>
      <c r="BN210" s="110">
        <f>$O210*AD210*'Cost inputs'!H$12/1000000</f>
        <v>0</v>
      </c>
      <c r="BO210" s="110">
        <f>$O210*AE210*'Cost inputs'!I$12/1000000</f>
        <v>0</v>
      </c>
      <c r="BP210" s="110">
        <f>$O210*AF210*'Cost inputs'!J$12/1000000</f>
        <v>0</v>
      </c>
      <c r="BQ210" s="110">
        <f>$O210*AG210*'Cost inputs'!K$12/1000000</f>
        <v>0</v>
      </c>
      <c r="BR210" s="110">
        <f>$O210*AH210*'Cost inputs'!L$12/1000000</f>
        <v>0</v>
      </c>
      <c r="BS210" s="110">
        <f>$O210*AI210*'Cost inputs'!M$12/1000000</f>
        <v>0</v>
      </c>
      <c r="BT210" s="110">
        <f>$O210*AJ210*'Cost inputs'!N$12/1000000</f>
        <v>3.8282468730214867E-3</v>
      </c>
      <c r="BU210" s="110">
        <f>$O210*AK210*'Cost inputs'!O$12/1000000</f>
        <v>3.9124683042279593E-3</v>
      </c>
      <c r="BV210" s="110">
        <f>$O210*AL210*'Cost inputs'!P$12/1000000</f>
        <v>3.9985426069209752E-3</v>
      </c>
      <c r="BW210" s="110">
        <f>$O210*AM210*'Cost inputs'!Q$12/1000000</f>
        <v>4.0865105442732357E-3</v>
      </c>
      <c r="BX210" s="110">
        <f>$O210*AN210*'Cost inputs'!R$12/1000000</f>
        <v>9.2809195027716632E-3</v>
      </c>
      <c r="BY210" s="110">
        <f>$O210*AO210*'Cost inputs'!S$12/1000000</f>
        <v>9.4850997318326417E-3</v>
      </c>
      <c r="BZ210" s="110">
        <f>$O210*AP210*'Cost inputs'!T$12/1000000</f>
        <v>9.6937719259329591E-3</v>
      </c>
      <c r="CA210" s="110">
        <f>$O210*AQ210*'Cost inputs'!U$12/1000000</f>
        <v>0</v>
      </c>
      <c r="CB210" s="110">
        <f>$O210*AR210*'Cost inputs'!V$12/1000000</f>
        <v>0</v>
      </c>
      <c r="CC210" s="110">
        <f>$O210*AS210*'Cost inputs'!W$12/1000000</f>
        <v>0</v>
      </c>
      <c r="CD210" s="110">
        <f>$O210*AT210*'Cost inputs'!X$12/1000000</f>
        <v>0</v>
      </c>
      <c r="CE210" s="110">
        <f>$O210*AU210*'Cost inputs'!Y$12/1000000</f>
        <v>0</v>
      </c>
      <c r="CF210" s="110">
        <f>$O210*AV210*'Cost inputs'!Z$12/1000000</f>
        <v>0</v>
      </c>
      <c r="CG210" s="110">
        <f>$O210*AW210*'Cost inputs'!AA$12/1000000</f>
        <v>0</v>
      </c>
      <c r="CH210" s="110">
        <f>$O210*AX210*'Cost inputs'!AB$12/1000000</f>
        <v>0</v>
      </c>
      <c r="CI210" s="110">
        <f>$O210*AY210*'Cost inputs'!AC$12/1000000</f>
        <v>0</v>
      </c>
      <c r="CJ210" s="110">
        <f>$O210*AZ210*'Cost inputs'!AD$12/1000000</f>
        <v>0</v>
      </c>
      <c r="CK210" s="110">
        <f>$O210*BA210*'Cost inputs'!AE$12/1000000</f>
        <v>0</v>
      </c>
      <c r="CL210" s="110">
        <f>$O210*BB210*'Cost inputs'!AF$12/1000000</f>
        <v>0</v>
      </c>
      <c r="CM210" s="110">
        <f>$O210*BC210*'Cost inputs'!AG$12/1000000</f>
        <v>0</v>
      </c>
      <c r="CN210" s="110">
        <f>$O210*BD210*'Cost inputs'!AH$12/1000000</f>
        <v>0</v>
      </c>
      <c r="CO210" s="110">
        <f>$O210*BE210*'Cost inputs'!AI$12/1000000</f>
        <v>0</v>
      </c>
      <c r="CP210" s="110">
        <f>$O210*BF210*'Cost inputs'!AJ$12/1000000</f>
        <v>0</v>
      </c>
      <c r="CQ210" s="110">
        <f>$O210*BG210*'Cost inputs'!AK$12/1000000</f>
        <v>0</v>
      </c>
      <c r="CR210" s="131">
        <f t="shared" si="414"/>
        <v>4.428555948898092E-2</v>
      </c>
      <c r="CS210" s="26"/>
    </row>
    <row r="211" spans="1:98" x14ac:dyDescent="0.3">
      <c r="A211" s="104" t="str">
        <f t="shared" ref="A211:N211" si="439">A96</f>
        <v>Glenbrook, Clarks Beach</v>
      </c>
      <c r="B211" s="104" t="str">
        <f t="shared" si="439"/>
        <v>Rural SW</v>
      </c>
      <c r="C211" s="104">
        <f t="shared" si="439"/>
        <v>0</v>
      </c>
      <c r="D211" s="104" t="str">
        <f t="shared" si="439"/>
        <v>Kingseat</v>
      </c>
      <c r="E211" s="104" t="str">
        <f t="shared" si="439"/>
        <v>2 other NHPs, unknown, land progress by sat inspection</v>
      </c>
      <c r="F211" s="104">
        <f t="shared" si="439"/>
        <v>2</v>
      </c>
      <c r="G211" s="104">
        <f t="shared" si="439"/>
        <v>0</v>
      </c>
      <c r="H211" s="104">
        <f t="shared" si="439"/>
        <v>0</v>
      </c>
      <c r="I211" s="104">
        <f t="shared" si="439"/>
        <v>0</v>
      </c>
      <c r="J211" s="104">
        <f t="shared" si="439"/>
        <v>2</v>
      </c>
      <c r="K211" s="104">
        <f t="shared" si="439"/>
        <v>0</v>
      </c>
      <c r="L211" s="104">
        <f t="shared" si="439"/>
        <v>0</v>
      </c>
      <c r="M211" s="104">
        <f t="shared" si="439"/>
        <v>0</v>
      </c>
      <c r="N211" s="104">
        <f t="shared" si="439"/>
        <v>0</v>
      </c>
      <c r="O211" s="104">
        <f t="shared" si="374"/>
        <v>2</v>
      </c>
      <c r="P211" s="104" cm="1">
        <f t="array" ref="P211">2024+MATCH(1,0/AB211:BG211)</f>
        <v>2040</v>
      </c>
      <c r="Q211" s="104" t="str">
        <f t="shared" si="318"/>
        <v>Kingseat</v>
      </c>
      <c r="R211" s="104" t="str">
        <f t="shared" si="321"/>
        <v>2 other NHPs, unknown, land progress by sat inspection</v>
      </c>
      <c r="S211" s="104"/>
      <c r="T211" s="104"/>
      <c r="U211" s="104"/>
      <c r="V211" s="104"/>
      <c r="W211" s="104"/>
      <c r="X211" s="104"/>
      <c r="Y211" s="104"/>
      <c r="Z211" s="104"/>
      <c r="AA211" s="104"/>
      <c r="AB211" s="103">
        <f t="shared" si="382"/>
        <v>0</v>
      </c>
      <c r="AC211" s="103">
        <f t="shared" si="379"/>
        <v>0</v>
      </c>
      <c r="AD211" s="103">
        <f t="shared" ref="AD211:BG211" si="440">AD96</f>
        <v>0</v>
      </c>
      <c r="AE211" s="103">
        <f t="shared" si="440"/>
        <v>0</v>
      </c>
      <c r="AF211" s="103">
        <f t="shared" si="440"/>
        <v>0</v>
      </c>
      <c r="AG211" s="103">
        <f t="shared" si="440"/>
        <v>0</v>
      </c>
      <c r="AH211" s="103">
        <f t="shared" si="440"/>
        <v>0</v>
      </c>
      <c r="AI211" s="103">
        <f t="shared" si="440"/>
        <v>0</v>
      </c>
      <c r="AJ211" s="103">
        <f t="shared" si="440"/>
        <v>0</v>
      </c>
      <c r="AK211" s="103">
        <f t="shared" si="440"/>
        <v>9.3749999999999986E-2</v>
      </c>
      <c r="AL211" s="103">
        <f t="shared" si="440"/>
        <v>9.3749999999999986E-2</v>
      </c>
      <c r="AM211" s="103">
        <f t="shared" si="440"/>
        <v>9.3749999999999986E-2</v>
      </c>
      <c r="AN211" s="103">
        <f t="shared" si="440"/>
        <v>9.3749999999999986E-2</v>
      </c>
      <c r="AO211" s="103">
        <f t="shared" si="440"/>
        <v>0.20833333333333334</v>
      </c>
      <c r="AP211" s="103">
        <f t="shared" si="440"/>
        <v>0.20833333333333334</v>
      </c>
      <c r="AQ211" s="103">
        <f t="shared" si="440"/>
        <v>0.20833333333333334</v>
      </c>
      <c r="AR211" s="103">
        <f t="shared" si="440"/>
        <v>0</v>
      </c>
      <c r="AS211" s="103">
        <f t="shared" si="440"/>
        <v>0</v>
      </c>
      <c r="AT211" s="103">
        <f t="shared" si="440"/>
        <v>0</v>
      </c>
      <c r="AU211" s="103">
        <f t="shared" si="440"/>
        <v>0</v>
      </c>
      <c r="AV211" s="103">
        <f t="shared" si="440"/>
        <v>0</v>
      </c>
      <c r="AW211" s="103">
        <f t="shared" si="440"/>
        <v>0</v>
      </c>
      <c r="AX211" s="103">
        <f t="shared" si="440"/>
        <v>0</v>
      </c>
      <c r="AY211" s="103">
        <f t="shared" si="440"/>
        <v>0</v>
      </c>
      <c r="AZ211" s="103">
        <f t="shared" si="440"/>
        <v>0</v>
      </c>
      <c r="BA211" s="103">
        <f t="shared" si="440"/>
        <v>0</v>
      </c>
      <c r="BB211" s="103">
        <f t="shared" si="440"/>
        <v>0</v>
      </c>
      <c r="BC211" s="103">
        <f t="shared" si="440"/>
        <v>0</v>
      </c>
      <c r="BD211" s="103">
        <f t="shared" si="440"/>
        <v>0</v>
      </c>
      <c r="BE211" s="103">
        <f t="shared" si="440"/>
        <v>0</v>
      </c>
      <c r="BF211" s="103">
        <f t="shared" si="440"/>
        <v>0</v>
      </c>
      <c r="BG211" s="103">
        <f t="shared" si="440"/>
        <v>0</v>
      </c>
      <c r="BH211" s="103"/>
      <c r="BI211" s="104"/>
      <c r="BJ211" s="104"/>
      <c r="BK211" s="104"/>
      <c r="BL211" s="110">
        <f>$O211*AB211*'Cost inputs'!F$12/1000000</f>
        <v>0</v>
      </c>
      <c r="BM211" s="110">
        <f>$O211*AC211*'Cost inputs'!G$12/1000000</f>
        <v>0</v>
      </c>
      <c r="BN211" s="110">
        <f>$O211*AD211*'Cost inputs'!H$12/1000000</f>
        <v>0</v>
      </c>
      <c r="BO211" s="110">
        <f>$O211*AE211*'Cost inputs'!I$12/1000000</f>
        <v>0</v>
      </c>
      <c r="BP211" s="110">
        <f>$O211*AF211*'Cost inputs'!J$12/1000000</f>
        <v>0</v>
      </c>
      <c r="BQ211" s="110">
        <f>$O211*AG211*'Cost inputs'!K$12/1000000</f>
        <v>0</v>
      </c>
      <c r="BR211" s="110">
        <f>$O211*AH211*'Cost inputs'!L$12/1000000</f>
        <v>0</v>
      </c>
      <c r="BS211" s="110">
        <f>$O211*AI211*'Cost inputs'!M$12/1000000</f>
        <v>0</v>
      </c>
      <c r="BT211" s="110">
        <f>$O211*AJ211*'Cost inputs'!N$12/1000000</f>
        <v>0</v>
      </c>
      <c r="BU211" s="110">
        <f>$O211*AK211*'Cost inputs'!O$12/1000000</f>
        <v>7.8249366084559187E-3</v>
      </c>
      <c r="BV211" s="110">
        <f>$O211*AL211*'Cost inputs'!P$12/1000000</f>
        <v>7.9970852138419504E-3</v>
      </c>
      <c r="BW211" s="110">
        <f>$O211*AM211*'Cost inputs'!Q$12/1000000</f>
        <v>8.1730210885464713E-3</v>
      </c>
      <c r="BX211" s="110">
        <f>$O211*AN211*'Cost inputs'!R$12/1000000</f>
        <v>8.3528275524944948E-3</v>
      </c>
      <c r="BY211" s="110">
        <f>$O211*AO211*'Cost inputs'!S$12/1000000</f>
        <v>1.8970199463665283E-2</v>
      </c>
      <c r="BZ211" s="110">
        <f>$O211*AP211*'Cost inputs'!T$12/1000000</f>
        <v>1.9387543851865918E-2</v>
      </c>
      <c r="CA211" s="110">
        <f>$O211*AQ211*'Cost inputs'!U$12/1000000</f>
        <v>1.9814069816606966E-2</v>
      </c>
      <c r="CB211" s="110">
        <f>$O211*AR211*'Cost inputs'!V$12/1000000</f>
        <v>0</v>
      </c>
      <c r="CC211" s="110">
        <f>$O211*AS211*'Cost inputs'!W$12/1000000</f>
        <v>0</v>
      </c>
      <c r="CD211" s="110">
        <f>$O211*AT211*'Cost inputs'!X$12/1000000</f>
        <v>0</v>
      </c>
      <c r="CE211" s="110">
        <f>$O211*AU211*'Cost inputs'!Y$12/1000000</f>
        <v>0</v>
      </c>
      <c r="CF211" s="110">
        <f>$O211*AV211*'Cost inputs'!Z$12/1000000</f>
        <v>0</v>
      </c>
      <c r="CG211" s="110">
        <f>$O211*AW211*'Cost inputs'!AA$12/1000000</f>
        <v>0</v>
      </c>
      <c r="CH211" s="110">
        <f>$O211*AX211*'Cost inputs'!AB$12/1000000</f>
        <v>0</v>
      </c>
      <c r="CI211" s="110">
        <f>$O211*AY211*'Cost inputs'!AC$12/1000000</f>
        <v>0</v>
      </c>
      <c r="CJ211" s="110">
        <f>$O211*AZ211*'Cost inputs'!AD$12/1000000</f>
        <v>0</v>
      </c>
      <c r="CK211" s="110">
        <f>$O211*BA211*'Cost inputs'!AE$12/1000000</f>
        <v>0</v>
      </c>
      <c r="CL211" s="110">
        <f>$O211*BB211*'Cost inputs'!AF$12/1000000</f>
        <v>0</v>
      </c>
      <c r="CM211" s="110">
        <f>$O211*BC211*'Cost inputs'!AG$12/1000000</f>
        <v>0</v>
      </c>
      <c r="CN211" s="110">
        <f>$O211*BD211*'Cost inputs'!AH$12/1000000</f>
        <v>0</v>
      </c>
      <c r="CO211" s="110">
        <f>$O211*BE211*'Cost inputs'!AI$12/1000000</f>
        <v>0</v>
      </c>
      <c r="CP211" s="110">
        <f>$O211*BF211*'Cost inputs'!AJ$12/1000000</f>
        <v>0</v>
      </c>
      <c r="CQ211" s="110">
        <f>$O211*BG211*'Cost inputs'!AK$12/1000000</f>
        <v>0</v>
      </c>
      <c r="CR211" s="131">
        <f t="shared" si="414"/>
        <v>9.0519683595477005E-2</v>
      </c>
      <c r="CS211" s="26"/>
    </row>
    <row r="212" spans="1:98" x14ac:dyDescent="0.3">
      <c r="A212" s="104" t="str">
        <f t="shared" ref="A212:N212" si="441">A97</f>
        <v>Glenbrook, Clarks Beach</v>
      </c>
      <c r="B212" s="104" t="str">
        <f t="shared" si="441"/>
        <v>Rural SW</v>
      </c>
      <c r="C212" s="104">
        <f t="shared" si="441"/>
        <v>0</v>
      </c>
      <c r="D212" s="104" t="str">
        <f t="shared" si="441"/>
        <v>Clarks Beach</v>
      </c>
      <c r="E212" s="104" t="str">
        <f t="shared" si="441"/>
        <v>2 other NHPs, unknown</v>
      </c>
      <c r="F212" s="104">
        <f t="shared" si="441"/>
        <v>2</v>
      </c>
      <c r="G212" s="104">
        <f t="shared" si="441"/>
        <v>0</v>
      </c>
      <c r="H212" s="104">
        <f t="shared" si="441"/>
        <v>0</v>
      </c>
      <c r="I212" s="104">
        <f t="shared" si="441"/>
        <v>0</v>
      </c>
      <c r="J212" s="104">
        <f t="shared" si="441"/>
        <v>2</v>
      </c>
      <c r="K212" s="104">
        <f t="shared" si="441"/>
        <v>0</v>
      </c>
      <c r="L212" s="104">
        <f t="shared" si="441"/>
        <v>0</v>
      </c>
      <c r="M212" s="104">
        <f t="shared" si="441"/>
        <v>0</v>
      </c>
      <c r="N212" s="104">
        <f t="shared" si="441"/>
        <v>0</v>
      </c>
      <c r="O212" s="104">
        <f t="shared" si="374"/>
        <v>2</v>
      </c>
      <c r="P212" s="104" cm="1">
        <f t="array" ref="P212">2024+MATCH(1,0/AB212:BG212)</f>
        <v>2040</v>
      </c>
      <c r="Q212" s="104" t="str">
        <f t="shared" si="318"/>
        <v>Clarks Beach</v>
      </c>
      <c r="R212" s="104" t="str">
        <f t="shared" si="321"/>
        <v>2 other NHPs, unknown</v>
      </c>
      <c r="S212" s="104"/>
      <c r="T212" s="104"/>
      <c r="U212" s="104"/>
      <c r="V212" s="104"/>
      <c r="W212" s="104"/>
      <c r="X212" s="104"/>
      <c r="Y212" s="104"/>
      <c r="Z212" s="104"/>
      <c r="AA212" s="104"/>
      <c r="AB212" s="103">
        <f t="shared" si="382"/>
        <v>0</v>
      </c>
      <c r="AC212" s="103">
        <f t="shared" si="379"/>
        <v>0</v>
      </c>
      <c r="AD212" s="103">
        <f t="shared" ref="AD212:BG212" si="442">AD97</f>
        <v>0</v>
      </c>
      <c r="AE212" s="103">
        <f t="shared" si="442"/>
        <v>0</v>
      </c>
      <c r="AF212" s="103">
        <f t="shared" si="442"/>
        <v>0</v>
      </c>
      <c r="AG212" s="103">
        <f t="shared" si="442"/>
        <v>0</v>
      </c>
      <c r="AH212" s="103">
        <f t="shared" si="442"/>
        <v>0</v>
      </c>
      <c r="AI212" s="103">
        <f t="shared" si="442"/>
        <v>0</v>
      </c>
      <c r="AJ212" s="103">
        <f t="shared" si="442"/>
        <v>0</v>
      </c>
      <c r="AK212" s="103">
        <f t="shared" si="442"/>
        <v>9.3749999999999986E-2</v>
      </c>
      <c r="AL212" s="103">
        <f t="shared" si="442"/>
        <v>9.3749999999999986E-2</v>
      </c>
      <c r="AM212" s="103">
        <f t="shared" si="442"/>
        <v>9.3749999999999986E-2</v>
      </c>
      <c r="AN212" s="103">
        <f t="shared" si="442"/>
        <v>9.3749999999999986E-2</v>
      </c>
      <c r="AO212" s="103">
        <f t="shared" si="442"/>
        <v>0.20833333333333334</v>
      </c>
      <c r="AP212" s="103">
        <f t="shared" si="442"/>
        <v>0.20833333333333334</v>
      </c>
      <c r="AQ212" s="103">
        <f t="shared" si="442"/>
        <v>0.20833333333333334</v>
      </c>
      <c r="AR212" s="103">
        <f t="shared" si="442"/>
        <v>0</v>
      </c>
      <c r="AS212" s="103">
        <f t="shared" si="442"/>
        <v>0</v>
      </c>
      <c r="AT212" s="103">
        <f t="shared" si="442"/>
        <v>0</v>
      </c>
      <c r="AU212" s="103">
        <f t="shared" si="442"/>
        <v>0</v>
      </c>
      <c r="AV212" s="103">
        <f t="shared" si="442"/>
        <v>0</v>
      </c>
      <c r="AW212" s="103">
        <f t="shared" si="442"/>
        <v>0</v>
      </c>
      <c r="AX212" s="103">
        <f t="shared" si="442"/>
        <v>0</v>
      </c>
      <c r="AY212" s="103">
        <f t="shared" si="442"/>
        <v>0</v>
      </c>
      <c r="AZ212" s="103">
        <f t="shared" si="442"/>
        <v>0</v>
      </c>
      <c r="BA212" s="103">
        <f t="shared" si="442"/>
        <v>0</v>
      </c>
      <c r="BB212" s="103">
        <f t="shared" si="442"/>
        <v>0</v>
      </c>
      <c r="BC212" s="103">
        <f t="shared" si="442"/>
        <v>0</v>
      </c>
      <c r="BD212" s="103">
        <f t="shared" si="442"/>
        <v>0</v>
      </c>
      <c r="BE212" s="103">
        <f t="shared" si="442"/>
        <v>0</v>
      </c>
      <c r="BF212" s="103">
        <f t="shared" si="442"/>
        <v>0</v>
      </c>
      <c r="BG212" s="103">
        <f t="shared" si="442"/>
        <v>0</v>
      </c>
      <c r="BH212" s="103"/>
      <c r="BI212" s="104"/>
      <c r="BJ212" s="104"/>
      <c r="BK212" s="104"/>
      <c r="BL212" s="110">
        <f>$O212*AB212*'Cost inputs'!F$12/1000000</f>
        <v>0</v>
      </c>
      <c r="BM212" s="110">
        <f>$O212*AC212*'Cost inputs'!G$12/1000000</f>
        <v>0</v>
      </c>
      <c r="BN212" s="110">
        <f>$O212*AD212*'Cost inputs'!H$12/1000000</f>
        <v>0</v>
      </c>
      <c r="BO212" s="110">
        <f>$O212*AE212*'Cost inputs'!I$12/1000000</f>
        <v>0</v>
      </c>
      <c r="BP212" s="110">
        <f>$O212*AF212*'Cost inputs'!J$12/1000000</f>
        <v>0</v>
      </c>
      <c r="BQ212" s="110">
        <f>$O212*AG212*'Cost inputs'!K$12/1000000</f>
        <v>0</v>
      </c>
      <c r="BR212" s="110">
        <f>$O212*AH212*'Cost inputs'!L$12/1000000</f>
        <v>0</v>
      </c>
      <c r="BS212" s="110">
        <f>$O212*AI212*'Cost inputs'!M$12/1000000</f>
        <v>0</v>
      </c>
      <c r="BT212" s="110">
        <f>$O212*AJ212*'Cost inputs'!N$12/1000000</f>
        <v>0</v>
      </c>
      <c r="BU212" s="110">
        <f>$O212*AK212*'Cost inputs'!O$12/1000000</f>
        <v>7.8249366084559187E-3</v>
      </c>
      <c r="BV212" s="110">
        <f>$O212*AL212*'Cost inputs'!P$12/1000000</f>
        <v>7.9970852138419504E-3</v>
      </c>
      <c r="BW212" s="110">
        <f>$O212*AM212*'Cost inputs'!Q$12/1000000</f>
        <v>8.1730210885464713E-3</v>
      </c>
      <c r="BX212" s="110">
        <f>$O212*AN212*'Cost inputs'!R$12/1000000</f>
        <v>8.3528275524944948E-3</v>
      </c>
      <c r="BY212" s="110">
        <f>$O212*AO212*'Cost inputs'!S$12/1000000</f>
        <v>1.8970199463665283E-2</v>
      </c>
      <c r="BZ212" s="110">
        <f>$O212*AP212*'Cost inputs'!T$12/1000000</f>
        <v>1.9387543851865918E-2</v>
      </c>
      <c r="CA212" s="110">
        <f>$O212*AQ212*'Cost inputs'!U$12/1000000</f>
        <v>1.9814069816606966E-2</v>
      </c>
      <c r="CB212" s="110">
        <f>$O212*AR212*'Cost inputs'!V$12/1000000</f>
        <v>0</v>
      </c>
      <c r="CC212" s="110">
        <f>$O212*AS212*'Cost inputs'!W$12/1000000</f>
        <v>0</v>
      </c>
      <c r="CD212" s="110">
        <f>$O212*AT212*'Cost inputs'!X$12/1000000</f>
        <v>0</v>
      </c>
      <c r="CE212" s="110">
        <f>$O212*AU212*'Cost inputs'!Y$12/1000000</f>
        <v>0</v>
      </c>
      <c r="CF212" s="110">
        <f>$O212*AV212*'Cost inputs'!Z$12/1000000</f>
        <v>0</v>
      </c>
      <c r="CG212" s="110">
        <f>$O212*AW212*'Cost inputs'!AA$12/1000000</f>
        <v>0</v>
      </c>
      <c r="CH212" s="110">
        <f>$O212*AX212*'Cost inputs'!AB$12/1000000</f>
        <v>0</v>
      </c>
      <c r="CI212" s="110">
        <f>$O212*AY212*'Cost inputs'!AC$12/1000000</f>
        <v>0</v>
      </c>
      <c r="CJ212" s="110">
        <f>$O212*AZ212*'Cost inputs'!AD$12/1000000</f>
        <v>0</v>
      </c>
      <c r="CK212" s="110">
        <f>$O212*BA212*'Cost inputs'!AE$12/1000000</f>
        <v>0</v>
      </c>
      <c r="CL212" s="110">
        <f>$O212*BB212*'Cost inputs'!AF$12/1000000</f>
        <v>0</v>
      </c>
      <c r="CM212" s="110">
        <f>$O212*BC212*'Cost inputs'!AG$12/1000000</f>
        <v>0</v>
      </c>
      <c r="CN212" s="110">
        <f>$O212*BD212*'Cost inputs'!AH$12/1000000</f>
        <v>0</v>
      </c>
      <c r="CO212" s="110">
        <f>$O212*BE212*'Cost inputs'!AI$12/1000000</f>
        <v>0</v>
      </c>
      <c r="CP212" s="110">
        <f>$O212*BF212*'Cost inputs'!AJ$12/1000000</f>
        <v>0</v>
      </c>
      <c r="CQ212" s="110">
        <f>$O212*BG212*'Cost inputs'!AK$12/1000000</f>
        <v>0</v>
      </c>
      <c r="CR212" s="131">
        <f t="shared" si="414"/>
        <v>9.0519683595477005E-2</v>
      </c>
      <c r="CS212" s="26"/>
    </row>
    <row r="213" spans="1:98" x14ac:dyDescent="0.3">
      <c r="A213" s="104" t="str">
        <f t="shared" ref="A213:N213" si="443">A98</f>
        <v>Glenbrook, Clarks Beach</v>
      </c>
      <c r="B213" s="104" t="str">
        <f t="shared" si="443"/>
        <v>Rural SW</v>
      </c>
      <c r="C213" s="104">
        <f t="shared" si="443"/>
        <v>0</v>
      </c>
      <c r="D213" s="104" t="str">
        <f t="shared" si="443"/>
        <v>Glenbrook Beach</v>
      </c>
      <c r="E213" s="142" t="str">
        <f t="shared" si="443"/>
        <v>McLarin dr, 5000m2 sought</v>
      </c>
      <c r="F213" s="142">
        <f t="shared" si="443"/>
        <v>1.25</v>
      </c>
      <c r="G213" s="104">
        <f t="shared" si="443"/>
        <v>0</v>
      </c>
      <c r="H213" s="104">
        <f t="shared" si="443"/>
        <v>0</v>
      </c>
      <c r="I213" s="104">
        <f t="shared" si="443"/>
        <v>0</v>
      </c>
      <c r="J213" s="142">
        <f t="shared" si="443"/>
        <v>1.25</v>
      </c>
      <c r="K213" s="104">
        <f t="shared" si="443"/>
        <v>0</v>
      </c>
      <c r="L213" s="104">
        <f t="shared" si="443"/>
        <v>0</v>
      </c>
      <c r="M213" s="104">
        <f t="shared" si="443"/>
        <v>0</v>
      </c>
      <c r="N213" s="104">
        <f t="shared" si="443"/>
        <v>0</v>
      </c>
      <c r="O213" s="104">
        <f t="shared" si="374"/>
        <v>1</v>
      </c>
      <c r="P213" s="104" cm="1">
        <f t="array" ref="P213">2024+MATCH(1,0/AB213:BG213)</f>
        <v>2043</v>
      </c>
      <c r="Q213" s="104" t="str">
        <f t="shared" si="318"/>
        <v>Glenbrook Beach</v>
      </c>
      <c r="R213" s="104" t="str">
        <f t="shared" si="321"/>
        <v>McLarin dr, 5000m2 sought</v>
      </c>
      <c r="S213" s="104"/>
      <c r="T213" s="104"/>
      <c r="U213" s="104"/>
      <c r="V213" s="104"/>
      <c r="W213" s="104"/>
      <c r="X213" s="104"/>
      <c r="Y213" s="104"/>
      <c r="Z213" s="104"/>
      <c r="AA213" s="104"/>
      <c r="AB213" s="103">
        <f t="shared" si="382"/>
        <v>0</v>
      </c>
      <c r="AC213" s="103">
        <f t="shared" si="379"/>
        <v>0</v>
      </c>
      <c r="AD213" s="103">
        <f t="shared" ref="AD213:BG213" si="444">AD98</f>
        <v>0</v>
      </c>
      <c r="AE213" s="103">
        <f t="shared" si="444"/>
        <v>0</v>
      </c>
      <c r="AF213" s="103">
        <f t="shared" si="444"/>
        <v>0</v>
      </c>
      <c r="AG213" s="103">
        <f t="shared" si="444"/>
        <v>0</v>
      </c>
      <c r="AH213" s="103">
        <f t="shared" si="444"/>
        <v>0</v>
      </c>
      <c r="AI213" s="103">
        <f t="shared" si="444"/>
        <v>0</v>
      </c>
      <c r="AJ213" s="103">
        <f t="shared" si="444"/>
        <v>0.05</v>
      </c>
      <c r="AK213" s="103">
        <f t="shared" si="444"/>
        <v>0.05</v>
      </c>
      <c r="AL213" s="103">
        <f t="shared" si="444"/>
        <v>0.05</v>
      </c>
      <c r="AM213" s="103">
        <f t="shared" si="444"/>
        <v>0.05</v>
      </c>
      <c r="AN213" s="103">
        <f t="shared" si="444"/>
        <v>7.4999999999999997E-2</v>
      </c>
      <c r="AO213" s="103">
        <f t="shared" si="444"/>
        <v>7.4999999999999997E-2</v>
      </c>
      <c r="AP213" s="103">
        <f t="shared" si="444"/>
        <v>7.4999999999999997E-2</v>
      </c>
      <c r="AQ213" s="103">
        <f t="shared" si="444"/>
        <v>7.4999999999999997E-2</v>
      </c>
      <c r="AR213" s="103">
        <f t="shared" si="444"/>
        <v>0.16666666666666666</v>
      </c>
      <c r="AS213" s="103">
        <f t="shared" si="444"/>
        <v>0.16666666666666666</v>
      </c>
      <c r="AT213" s="103">
        <f t="shared" si="444"/>
        <v>0.16666666666666666</v>
      </c>
      <c r="AU213" s="103">
        <f t="shared" si="444"/>
        <v>0</v>
      </c>
      <c r="AV213" s="103">
        <f t="shared" si="444"/>
        <v>0</v>
      </c>
      <c r="AW213" s="103">
        <f t="shared" si="444"/>
        <v>0</v>
      </c>
      <c r="AX213" s="103">
        <f t="shared" si="444"/>
        <v>0</v>
      </c>
      <c r="AY213" s="103">
        <f t="shared" si="444"/>
        <v>0</v>
      </c>
      <c r="AZ213" s="103">
        <f t="shared" si="444"/>
        <v>0</v>
      </c>
      <c r="BA213" s="103">
        <f t="shared" si="444"/>
        <v>0</v>
      </c>
      <c r="BB213" s="103">
        <f t="shared" si="444"/>
        <v>0</v>
      </c>
      <c r="BC213" s="103">
        <f t="shared" si="444"/>
        <v>0</v>
      </c>
      <c r="BD213" s="103">
        <f t="shared" si="444"/>
        <v>0</v>
      </c>
      <c r="BE213" s="103">
        <f t="shared" si="444"/>
        <v>0</v>
      </c>
      <c r="BF213" s="103">
        <f t="shared" si="444"/>
        <v>0</v>
      </c>
      <c r="BG213" s="103">
        <f t="shared" si="444"/>
        <v>0</v>
      </c>
      <c r="BH213" s="103"/>
      <c r="BI213" s="104"/>
      <c r="BJ213" s="104"/>
      <c r="BK213" s="104"/>
      <c r="BL213" s="110">
        <f>$O213*AB213*'Cost inputs'!F$12/1000000</f>
        <v>0</v>
      </c>
      <c r="BM213" s="110">
        <f>$O213*AC213*'Cost inputs'!G$12/1000000</f>
        <v>0</v>
      </c>
      <c r="BN213" s="110">
        <f>$O213*AD213*'Cost inputs'!H$12/1000000</f>
        <v>0</v>
      </c>
      <c r="BO213" s="110">
        <f>$O213*AE213*'Cost inputs'!I$12/1000000</f>
        <v>0</v>
      </c>
      <c r="BP213" s="110">
        <f>$O213*AF213*'Cost inputs'!J$12/1000000</f>
        <v>0</v>
      </c>
      <c r="BQ213" s="110">
        <f>$O213*AG213*'Cost inputs'!K$12/1000000</f>
        <v>0</v>
      </c>
      <c r="BR213" s="110">
        <f>$O213*AH213*'Cost inputs'!L$12/1000000</f>
        <v>0</v>
      </c>
      <c r="BS213" s="110">
        <f>$O213*AI213*'Cost inputs'!M$12/1000000</f>
        <v>0</v>
      </c>
      <c r="BT213" s="110">
        <f>$O213*AJ213*'Cost inputs'!N$12/1000000</f>
        <v>2.0417316656114598E-3</v>
      </c>
      <c r="BU213" s="110">
        <f>$O213*AK213*'Cost inputs'!O$12/1000000</f>
        <v>2.0866497622549119E-3</v>
      </c>
      <c r="BV213" s="110">
        <f>$O213*AL213*'Cost inputs'!P$12/1000000</f>
        <v>2.1325560570245204E-3</v>
      </c>
      <c r="BW213" s="110">
        <f>$O213*AM213*'Cost inputs'!Q$12/1000000</f>
        <v>2.1794722902790595E-3</v>
      </c>
      <c r="BX213" s="110">
        <f>$O213*AN213*'Cost inputs'!R$12/1000000</f>
        <v>3.3411310209977983E-3</v>
      </c>
      <c r="BY213" s="110">
        <f>$O213*AO213*'Cost inputs'!S$12/1000000</f>
        <v>3.4146359034597502E-3</v>
      </c>
      <c r="BZ213" s="110">
        <f>$O213*AP213*'Cost inputs'!T$12/1000000</f>
        <v>3.4897578933358645E-3</v>
      </c>
      <c r="CA213" s="110">
        <f>$O213*AQ213*'Cost inputs'!U$12/1000000</f>
        <v>3.5665325669892536E-3</v>
      </c>
      <c r="CB213" s="110">
        <f>$O213*AR213*'Cost inputs'!V$12/1000000</f>
        <v>8.0999917410289266E-3</v>
      </c>
      <c r="CC213" s="110">
        <f>$O213*AS213*'Cost inputs'!W$12/1000000</f>
        <v>8.2781915593315644E-3</v>
      </c>
      <c r="CD213" s="110">
        <f>$O213*AT213*'Cost inputs'!X$12/1000000</f>
        <v>8.4603117736368593E-3</v>
      </c>
      <c r="CE213" s="110">
        <f>$O213*AU213*'Cost inputs'!Y$12/1000000</f>
        <v>0</v>
      </c>
      <c r="CF213" s="110">
        <f>$O213*AV213*'Cost inputs'!Z$12/1000000</f>
        <v>0</v>
      </c>
      <c r="CG213" s="110">
        <f>$O213*AW213*'Cost inputs'!AA$12/1000000</f>
        <v>0</v>
      </c>
      <c r="CH213" s="110">
        <f>$O213*AX213*'Cost inputs'!AB$12/1000000</f>
        <v>0</v>
      </c>
      <c r="CI213" s="110">
        <f>$O213*AY213*'Cost inputs'!AC$12/1000000</f>
        <v>0</v>
      </c>
      <c r="CJ213" s="110">
        <f>$O213*AZ213*'Cost inputs'!AD$12/1000000</f>
        <v>0</v>
      </c>
      <c r="CK213" s="110">
        <f>$O213*BA213*'Cost inputs'!AE$12/1000000</f>
        <v>0</v>
      </c>
      <c r="CL213" s="110">
        <f>$O213*BB213*'Cost inputs'!AF$12/1000000</f>
        <v>0</v>
      </c>
      <c r="CM213" s="110">
        <f>$O213*BC213*'Cost inputs'!AG$12/1000000</f>
        <v>0</v>
      </c>
      <c r="CN213" s="110">
        <f>$O213*BD213*'Cost inputs'!AH$12/1000000</f>
        <v>0</v>
      </c>
      <c r="CO213" s="110">
        <f>$O213*BE213*'Cost inputs'!AI$12/1000000</f>
        <v>0</v>
      </c>
      <c r="CP213" s="110">
        <f>$O213*BF213*'Cost inputs'!AJ$12/1000000</f>
        <v>0</v>
      </c>
      <c r="CQ213" s="110">
        <f>$O213*BG213*'Cost inputs'!AK$12/1000000</f>
        <v>0</v>
      </c>
      <c r="CR213" s="131">
        <f t="shared" si="414"/>
        <v>4.7090962233949971E-2</v>
      </c>
      <c r="CS213" s="26"/>
    </row>
    <row r="214" spans="1:98" x14ac:dyDescent="0.3">
      <c r="A214" s="104" t="str">
        <f t="shared" ref="A214:N214" si="445">A99</f>
        <v>Maraetai/Clevedon</v>
      </c>
      <c r="B214" s="104" t="str">
        <f t="shared" si="445"/>
        <v>Rural SE</v>
      </c>
      <c r="C214" s="104">
        <f t="shared" si="445"/>
        <v>0</v>
      </c>
      <c r="D214" s="104" t="str">
        <f t="shared" si="445"/>
        <v>Maraetai/Clevedon</v>
      </c>
      <c r="E214" s="104">
        <f t="shared" si="445"/>
        <v>0</v>
      </c>
      <c r="F214" s="104">
        <f t="shared" si="445"/>
        <v>2</v>
      </c>
      <c r="G214" s="104">
        <f t="shared" si="445"/>
        <v>0</v>
      </c>
      <c r="H214" s="104">
        <f t="shared" si="445"/>
        <v>0</v>
      </c>
      <c r="I214" s="104">
        <f t="shared" si="445"/>
        <v>0</v>
      </c>
      <c r="J214" s="104">
        <f t="shared" si="445"/>
        <v>2</v>
      </c>
      <c r="K214" s="104">
        <f t="shared" si="445"/>
        <v>0</v>
      </c>
      <c r="L214" s="104">
        <f t="shared" si="445"/>
        <v>0</v>
      </c>
      <c r="M214" s="104">
        <f t="shared" si="445"/>
        <v>0</v>
      </c>
      <c r="N214" s="104">
        <f t="shared" si="445"/>
        <v>0</v>
      </c>
      <c r="O214" s="104">
        <f t="shared" si="374"/>
        <v>2</v>
      </c>
      <c r="P214" s="104" cm="1">
        <f t="array" ref="P214">2024+MATCH(1,0/AB214:BG214)</f>
        <v>2043</v>
      </c>
      <c r="Q214" s="104" t="str">
        <f t="shared" si="318"/>
        <v>Maraetai/Clevedon</v>
      </c>
      <c r="R214" s="104">
        <f t="shared" si="321"/>
        <v>0</v>
      </c>
      <c r="S214" s="104"/>
      <c r="T214" s="104"/>
      <c r="U214" s="104"/>
      <c r="V214" s="104"/>
      <c r="W214" s="104"/>
      <c r="X214" s="104"/>
      <c r="Y214" s="104"/>
      <c r="Z214" s="104"/>
      <c r="AA214" s="104"/>
      <c r="AB214" s="103">
        <f t="shared" si="382"/>
        <v>0</v>
      </c>
      <c r="AC214" s="103">
        <f t="shared" si="379"/>
        <v>0</v>
      </c>
      <c r="AD214" s="103">
        <f t="shared" ref="AD214:BG214" si="446">AD99</f>
        <v>0</v>
      </c>
      <c r="AE214" s="103">
        <f t="shared" si="446"/>
        <v>0</v>
      </c>
      <c r="AF214" s="103">
        <f t="shared" si="446"/>
        <v>0</v>
      </c>
      <c r="AG214" s="103">
        <f t="shared" si="446"/>
        <v>0</v>
      </c>
      <c r="AH214" s="103">
        <f t="shared" si="446"/>
        <v>0</v>
      </c>
      <c r="AI214" s="103">
        <f t="shared" si="446"/>
        <v>0</v>
      </c>
      <c r="AJ214" s="103">
        <f t="shared" si="446"/>
        <v>0.05</v>
      </c>
      <c r="AK214" s="103">
        <f t="shared" si="446"/>
        <v>0.05</v>
      </c>
      <c r="AL214" s="103">
        <f t="shared" si="446"/>
        <v>0.05</v>
      </c>
      <c r="AM214" s="103">
        <f t="shared" si="446"/>
        <v>0.05</v>
      </c>
      <c r="AN214" s="103">
        <f t="shared" si="446"/>
        <v>7.4999999999999997E-2</v>
      </c>
      <c r="AO214" s="103">
        <f t="shared" si="446"/>
        <v>7.4999999999999997E-2</v>
      </c>
      <c r="AP214" s="103">
        <f t="shared" si="446"/>
        <v>7.4999999999999997E-2</v>
      </c>
      <c r="AQ214" s="103">
        <f t="shared" si="446"/>
        <v>7.4999999999999997E-2</v>
      </c>
      <c r="AR214" s="103">
        <f t="shared" si="446"/>
        <v>0.16666666666666666</v>
      </c>
      <c r="AS214" s="103">
        <f t="shared" si="446"/>
        <v>0.16666666666666666</v>
      </c>
      <c r="AT214" s="103">
        <f t="shared" si="446"/>
        <v>0.16666666666666666</v>
      </c>
      <c r="AU214" s="103">
        <f t="shared" si="446"/>
        <v>0</v>
      </c>
      <c r="AV214" s="103">
        <f t="shared" si="446"/>
        <v>0</v>
      </c>
      <c r="AW214" s="103">
        <f t="shared" si="446"/>
        <v>0</v>
      </c>
      <c r="AX214" s="103">
        <f t="shared" si="446"/>
        <v>0</v>
      </c>
      <c r="AY214" s="103">
        <f t="shared" si="446"/>
        <v>0</v>
      </c>
      <c r="AZ214" s="103">
        <f t="shared" si="446"/>
        <v>0</v>
      </c>
      <c r="BA214" s="103">
        <f t="shared" si="446"/>
        <v>0</v>
      </c>
      <c r="BB214" s="103">
        <f t="shared" si="446"/>
        <v>0</v>
      </c>
      <c r="BC214" s="103">
        <f t="shared" si="446"/>
        <v>0</v>
      </c>
      <c r="BD214" s="103">
        <f t="shared" si="446"/>
        <v>0</v>
      </c>
      <c r="BE214" s="103">
        <f t="shared" si="446"/>
        <v>0</v>
      </c>
      <c r="BF214" s="103">
        <f t="shared" si="446"/>
        <v>0</v>
      </c>
      <c r="BG214" s="103">
        <f t="shared" si="446"/>
        <v>0</v>
      </c>
      <c r="BH214" s="103"/>
      <c r="BI214" s="104"/>
      <c r="BJ214" s="104"/>
      <c r="BK214" s="104"/>
      <c r="BL214" s="110">
        <f>$O214*AB214*'Cost inputs'!F$12/1000000</f>
        <v>0</v>
      </c>
      <c r="BM214" s="110">
        <f>$O214*AC214*'Cost inputs'!G$12/1000000</f>
        <v>0</v>
      </c>
      <c r="BN214" s="110">
        <f>$O214*AD214*'Cost inputs'!H$12/1000000</f>
        <v>0</v>
      </c>
      <c r="BO214" s="110">
        <f>$O214*AE214*'Cost inputs'!I$12/1000000</f>
        <v>0</v>
      </c>
      <c r="BP214" s="110">
        <f>$O214*AF214*'Cost inputs'!J$12/1000000</f>
        <v>0</v>
      </c>
      <c r="BQ214" s="110">
        <f>$O214*AG214*'Cost inputs'!K$12/1000000</f>
        <v>0</v>
      </c>
      <c r="BR214" s="110">
        <f>$O214*AH214*'Cost inputs'!L$12/1000000</f>
        <v>0</v>
      </c>
      <c r="BS214" s="110">
        <f>$O214*AI214*'Cost inputs'!M$12/1000000</f>
        <v>0</v>
      </c>
      <c r="BT214" s="110">
        <f>$O214*AJ214*'Cost inputs'!N$12/1000000</f>
        <v>4.0834633312229196E-3</v>
      </c>
      <c r="BU214" s="110">
        <f>$O214*AK214*'Cost inputs'!O$12/1000000</f>
        <v>4.1732995245098237E-3</v>
      </c>
      <c r="BV214" s="110">
        <f>$O214*AL214*'Cost inputs'!P$12/1000000</f>
        <v>4.2651121140490408E-3</v>
      </c>
      <c r="BW214" s="110">
        <f>$O214*AM214*'Cost inputs'!Q$12/1000000</f>
        <v>4.358944580558119E-3</v>
      </c>
      <c r="BX214" s="110">
        <f>$O214*AN214*'Cost inputs'!R$12/1000000</f>
        <v>6.6822620419955967E-3</v>
      </c>
      <c r="BY214" s="110">
        <f>$O214*AO214*'Cost inputs'!S$12/1000000</f>
        <v>6.8292718069195004E-3</v>
      </c>
      <c r="BZ214" s="110">
        <f>$O214*AP214*'Cost inputs'!T$12/1000000</f>
        <v>6.979515786671729E-3</v>
      </c>
      <c r="CA214" s="110">
        <f>$O214*AQ214*'Cost inputs'!U$12/1000000</f>
        <v>7.1330651339785072E-3</v>
      </c>
      <c r="CB214" s="110">
        <f>$O214*AR214*'Cost inputs'!V$12/1000000</f>
        <v>1.6199983482057853E-2</v>
      </c>
      <c r="CC214" s="110">
        <f>$O214*AS214*'Cost inputs'!W$12/1000000</f>
        <v>1.6556383118663129E-2</v>
      </c>
      <c r="CD214" s="110">
        <f>$O214*AT214*'Cost inputs'!X$12/1000000</f>
        <v>1.6920623547273719E-2</v>
      </c>
      <c r="CE214" s="110">
        <f>$O214*AU214*'Cost inputs'!Y$12/1000000</f>
        <v>0</v>
      </c>
      <c r="CF214" s="110">
        <f>$O214*AV214*'Cost inputs'!Z$12/1000000</f>
        <v>0</v>
      </c>
      <c r="CG214" s="110">
        <f>$O214*AW214*'Cost inputs'!AA$12/1000000</f>
        <v>0</v>
      </c>
      <c r="CH214" s="110">
        <f>$O214*AX214*'Cost inputs'!AB$12/1000000</f>
        <v>0</v>
      </c>
      <c r="CI214" s="110">
        <f>$O214*AY214*'Cost inputs'!AC$12/1000000</f>
        <v>0</v>
      </c>
      <c r="CJ214" s="110">
        <f>$O214*AZ214*'Cost inputs'!AD$12/1000000</f>
        <v>0</v>
      </c>
      <c r="CK214" s="110">
        <f>$O214*BA214*'Cost inputs'!AE$12/1000000</f>
        <v>0</v>
      </c>
      <c r="CL214" s="110">
        <f>$O214*BB214*'Cost inputs'!AF$12/1000000</f>
        <v>0</v>
      </c>
      <c r="CM214" s="110">
        <f>$O214*BC214*'Cost inputs'!AG$12/1000000</f>
        <v>0</v>
      </c>
      <c r="CN214" s="110">
        <f>$O214*BD214*'Cost inputs'!AH$12/1000000</f>
        <v>0</v>
      </c>
      <c r="CO214" s="110">
        <f>$O214*BE214*'Cost inputs'!AI$12/1000000</f>
        <v>0</v>
      </c>
      <c r="CP214" s="110">
        <f>$O214*BF214*'Cost inputs'!AJ$12/1000000</f>
        <v>0</v>
      </c>
      <c r="CQ214" s="110">
        <f>$O214*BG214*'Cost inputs'!AK$12/1000000</f>
        <v>0</v>
      </c>
      <c r="CR214" s="131">
        <f t="shared" si="414"/>
        <v>9.4181924467899941E-2</v>
      </c>
      <c r="CS214" s="26"/>
    </row>
    <row r="215" spans="1:98" x14ac:dyDescent="0.3">
      <c r="A215" s="104" t="str">
        <f t="shared" ref="A215:N215" si="447">A100</f>
        <v>Maraetai/Clevedon</v>
      </c>
      <c r="B215" s="104" t="str">
        <f t="shared" si="447"/>
        <v>Rural SE</v>
      </c>
      <c r="C215" s="104">
        <f t="shared" si="447"/>
        <v>0</v>
      </c>
      <c r="D215" s="104" t="str">
        <f t="shared" si="447"/>
        <v>Clevedon</v>
      </c>
      <c r="E215" s="104" t="str">
        <f t="shared" si="447"/>
        <v>phased by sat inspectn</v>
      </c>
      <c r="F215" s="104">
        <f t="shared" si="447"/>
        <v>2</v>
      </c>
      <c r="G215" s="104">
        <f t="shared" si="447"/>
        <v>0</v>
      </c>
      <c r="H215" s="104">
        <f t="shared" si="447"/>
        <v>0</v>
      </c>
      <c r="I215" s="104">
        <f t="shared" si="447"/>
        <v>0</v>
      </c>
      <c r="J215" s="104">
        <f t="shared" si="447"/>
        <v>2</v>
      </c>
      <c r="K215" s="104">
        <f t="shared" si="447"/>
        <v>0</v>
      </c>
      <c r="L215" s="104">
        <f t="shared" si="447"/>
        <v>0</v>
      </c>
      <c r="M215" s="104">
        <f t="shared" si="447"/>
        <v>0</v>
      </c>
      <c r="N215" s="104">
        <f t="shared" si="447"/>
        <v>0</v>
      </c>
      <c r="O215" s="104">
        <f t="shared" si="374"/>
        <v>2</v>
      </c>
      <c r="P215" s="104" cm="1">
        <f t="array" ref="P215">2024+MATCH(1,0/AB215:BG215)</f>
        <v>2040</v>
      </c>
      <c r="Q215" s="104" t="str">
        <f t="shared" ref="Q215:R215" si="448">D215</f>
        <v>Clevedon</v>
      </c>
      <c r="R215" s="104" t="str">
        <f t="shared" si="448"/>
        <v>phased by sat inspectn</v>
      </c>
      <c r="S215" s="104"/>
      <c r="T215" s="104"/>
      <c r="U215" s="104"/>
      <c r="V215" s="104"/>
      <c r="W215" s="104"/>
      <c r="X215" s="104"/>
      <c r="Y215" s="104"/>
      <c r="Z215" s="104"/>
      <c r="AA215" s="104"/>
      <c r="AB215" s="103">
        <f t="shared" si="382"/>
        <v>0</v>
      </c>
      <c r="AC215" s="103">
        <f t="shared" si="379"/>
        <v>0</v>
      </c>
      <c r="AD215" s="103">
        <f t="shared" ref="AD215:BG215" si="449">AD100</f>
        <v>0</v>
      </c>
      <c r="AE215" s="103">
        <f t="shared" si="449"/>
        <v>0</v>
      </c>
      <c r="AF215" s="103">
        <f t="shared" si="449"/>
        <v>0</v>
      </c>
      <c r="AG215" s="103">
        <f t="shared" si="449"/>
        <v>0</v>
      </c>
      <c r="AH215" s="103">
        <f t="shared" si="449"/>
        <v>0</v>
      </c>
      <c r="AI215" s="103">
        <f t="shared" si="449"/>
        <v>0</v>
      </c>
      <c r="AJ215" s="103">
        <f t="shared" si="449"/>
        <v>0</v>
      </c>
      <c r="AK215" s="103">
        <f t="shared" si="449"/>
        <v>9.3749999999999986E-2</v>
      </c>
      <c r="AL215" s="103">
        <f t="shared" si="449"/>
        <v>9.3749999999999986E-2</v>
      </c>
      <c r="AM215" s="103">
        <f t="shared" si="449"/>
        <v>9.3749999999999986E-2</v>
      </c>
      <c r="AN215" s="103">
        <f t="shared" si="449"/>
        <v>9.3749999999999986E-2</v>
      </c>
      <c r="AO215" s="103">
        <f t="shared" si="449"/>
        <v>0.20833333333333334</v>
      </c>
      <c r="AP215" s="103">
        <f t="shared" si="449"/>
        <v>0.20833333333333334</v>
      </c>
      <c r="AQ215" s="103">
        <f t="shared" si="449"/>
        <v>0.20833333333333334</v>
      </c>
      <c r="AR215" s="103">
        <f t="shared" si="449"/>
        <v>0</v>
      </c>
      <c r="AS215" s="103">
        <f t="shared" si="449"/>
        <v>0</v>
      </c>
      <c r="AT215" s="103">
        <f t="shared" si="449"/>
        <v>0</v>
      </c>
      <c r="AU215" s="103">
        <f t="shared" si="449"/>
        <v>0</v>
      </c>
      <c r="AV215" s="103">
        <f t="shared" si="449"/>
        <v>0</v>
      </c>
      <c r="AW215" s="103">
        <f t="shared" si="449"/>
        <v>0</v>
      </c>
      <c r="AX215" s="103">
        <f t="shared" si="449"/>
        <v>0</v>
      </c>
      <c r="AY215" s="103">
        <f t="shared" si="449"/>
        <v>0</v>
      </c>
      <c r="AZ215" s="103">
        <f t="shared" si="449"/>
        <v>0</v>
      </c>
      <c r="BA215" s="103">
        <f t="shared" si="449"/>
        <v>0</v>
      </c>
      <c r="BB215" s="103">
        <f t="shared" si="449"/>
        <v>0</v>
      </c>
      <c r="BC215" s="103">
        <f t="shared" si="449"/>
        <v>0</v>
      </c>
      <c r="BD215" s="103">
        <f t="shared" si="449"/>
        <v>0</v>
      </c>
      <c r="BE215" s="103">
        <f t="shared" si="449"/>
        <v>0</v>
      </c>
      <c r="BF215" s="103">
        <f t="shared" si="449"/>
        <v>0</v>
      </c>
      <c r="BG215" s="103">
        <f t="shared" si="449"/>
        <v>0</v>
      </c>
      <c r="BH215" s="103"/>
      <c r="BI215" s="104"/>
      <c r="BJ215" s="104"/>
      <c r="BK215" s="104"/>
      <c r="BL215" s="110">
        <f>$O215*AB215*'Cost inputs'!F$12/1000000</f>
        <v>0</v>
      </c>
      <c r="BM215" s="110">
        <f>$O215*AC215*'Cost inputs'!G$12/1000000</f>
        <v>0</v>
      </c>
      <c r="BN215" s="110">
        <f>$O215*AD215*'Cost inputs'!H$12/1000000</f>
        <v>0</v>
      </c>
      <c r="BO215" s="110">
        <f>$O215*AE215*'Cost inputs'!I$12/1000000</f>
        <v>0</v>
      </c>
      <c r="BP215" s="110">
        <f>$O215*AF215*'Cost inputs'!J$12/1000000</f>
        <v>0</v>
      </c>
      <c r="BQ215" s="110">
        <f>$O215*AG215*'Cost inputs'!K$12/1000000</f>
        <v>0</v>
      </c>
      <c r="BR215" s="110">
        <f>$O215*AH215*'Cost inputs'!L$12/1000000</f>
        <v>0</v>
      </c>
      <c r="BS215" s="110">
        <f>$O215*AI215*'Cost inputs'!M$12/1000000</f>
        <v>0</v>
      </c>
      <c r="BT215" s="110">
        <f>$O215*AJ215*'Cost inputs'!N$12/1000000</f>
        <v>0</v>
      </c>
      <c r="BU215" s="110">
        <f>$O215*AK215*'Cost inputs'!O$12/1000000</f>
        <v>7.8249366084559187E-3</v>
      </c>
      <c r="BV215" s="110">
        <f>$O215*AL215*'Cost inputs'!P$12/1000000</f>
        <v>7.9970852138419504E-3</v>
      </c>
      <c r="BW215" s="110">
        <f>$O215*AM215*'Cost inputs'!Q$12/1000000</f>
        <v>8.1730210885464713E-3</v>
      </c>
      <c r="BX215" s="110">
        <f>$O215*AN215*'Cost inputs'!R$12/1000000</f>
        <v>8.3528275524944948E-3</v>
      </c>
      <c r="BY215" s="110">
        <f>$O215*AO215*'Cost inputs'!S$12/1000000</f>
        <v>1.8970199463665283E-2</v>
      </c>
      <c r="BZ215" s="110">
        <f>$O215*AP215*'Cost inputs'!T$12/1000000</f>
        <v>1.9387543851865918E-2</v>
      </c>
      <c r="CA215" s="110">
        <f>$O215*AQ215*'Cost inputs'!U$12/1000000</f>
        <v>1.9814069816606966E-2</v>
      </c>
      <c r="CB215" s="110">
        <f>$O215*AR215*'Cost inputs'!V$12/1000000</f>
        <v>0</v>
      </c>
      <c r="CC215" s="110">
        <f>$O215*AS215*'Cost inputs'!W$12/1000000</f>
        <v>0</v>
      </c>
      <c r="CD215" s="110">
        <f>$O215*AT215*'Cost inputs'!X$12/1000000</f>
        <v>0</v>
      </c>
      <c r="CE215" s="110">
        <f>$O215*AU215*'Cost inputs'!Y$12/1000000</f>
        <v>0</v>
      </c>
      <c r="CF215" s="110">
        <f>$O215*AV215*'Cost inputs'!Z$12/1000000</f>
        <v>0</v>
      </c>
      <c r="CG215" s="110">
        <f>$O215*AW215*'Cost inputs'!AA$12/1000000</f>
        <v>0</v>
      </c>
      <c r="CH215" s="110">
        <f>$O215*AX215*'Cost inputs'!AB$12/1000000</f>
        <v>0</v>
      </c>
      <c r="CI215" s="110">
        <f>$O215*AY215*'Cost inputs'!AC$12/1000000</f>
        <v>0</v>
      </c>
      <c r="CJ215" s="110">
        <f>$O215*AZ215*'Cost inputs'!AD$12/1000000</f>
        <v>0</v>
      </c>
      <c r="CK215" s="110">
        <f>$O215*BA215*'Cost inputs'!AE$12/1000000</f>
        <v>0</v>
      </c>
      <c r="CL215" s="110">
        <f>$O215*BB215*'Cost inputs'!AF$12/1000000</f>
        <v>0</v>
      </c>
      <c r="CM215" s="110">
        <f>$O215*BC215*'Cost inputs'!AG$12/1000000</f>
        <v>0</v>
      </c>
      <c r="CN215" s="110">
        <f>$O215*BD215*'Cost inputs'!AH$12/1000000</f>
        <v>0</v>
      </c>
      <c r="CO215" s="110">
        <f>$O215*BE215*'Cost inputs'!AI$12/1000000</f>
        <v>0</v>
      </c>
      <c r="CP215" s="110">
        <f>$O215*BF215*'Cost inputs'!AJ$12/1000000</f>
        <v>0</v>
      </c>
      <c r="CQ215" s="110">
        <f>$O215*BG215*'Cost inputs'!AK$12/1000000</f>
        <v>0</v>
      </c>
      <c r="CR215" s="131">
        <f t="shared" si="414"/>
        <v>9.0519683595477005E-2</v>
      </c>
      <c r="CS215" s="26"/>
    </row>
    <row r="216" spans="1:98" x14ac:dyDescent="0.3">
      <c r="A216" s="104"/>
      <c r="B216" s="104"/>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c r="Z216" s="104"/>
      <c r="AA216" s="104"/>
      <c r="AB216" s="104"/>
      <c r="AC216" s="104"/>
      <c r="AD216" s="104"/>
      <c r="AE216" s="104"/>
      <c r="AF216" s="104"/>
      <c r="AG216" s="104"/>
      <c r="AH216" s="104"/>
      <c r="AI216" s="104"/>
      <c r="AJ216" s="104"/>
      <c r="AK216" s="104"/>
      <c r="AL216" s="104"/>
      <c r="AM216" s="104"/>
      <c r="AN216" s="104"/>
      <c r="AO216" s="104"/>
      <c r="AP216" s="104"/>
      <c r="AQ216" s="104"/>
      <c r="AR216" s="104"/>
      <c r="AS216" s="104"/>
      <c r="AT216" s="104"/>
      <c r="AU216" s="104"/>
      <c r="AV216" s="104"/>
      <c r="AW216" s="104"/>
      <c r="AX216" s="104"/>
      <c r="AY216" s="104"/>
      <c r="AZ216" s="104"/>
      <c r="BA216" s="104"/>
      <c r="BB216" s="104"/>
      <c r="BC216" s="104"/>
      <c r="BD216" s="104"/>
      <c r="BE216" s="104"/>
      <c r="BF216" s="104"/>
      <c r="BG216" s="104"/>
      <c r="BH216" s="104"/>
      <c r="BI216" s="104"/>
      <c r="BJ216" s="104"/>
      <c r="BK216" s="104"/>
      <c r="BL216" s="132">
        <f t="shared" ref="BL216:CR216" si="450">SUM(BL123:BL215)</f>
        <v>0.25514381317992835</v>
      </c>
      <c r="BM216" s="132">
        <f t="shared" si="450"/>
        <v>0.19664107224629868</v>
      </c>
      <c r="BN216" s="132">
        <f t="shared" si="450"/>
        <v>0.16607219743295831</v>
      </c>
      <c r="BO216" s="132">
        <f t="shared" si="450"/>
        <v>0.10866063674196234</v>
      </c>
      <c r="BP216" s="132">
        <f t="shared" si="450"/>
        <v>0.11344839450350366</v>
      </c>
      <c r="BQ216" s="132">
        <f t="shared" si="450"/>
        <v>0.17625155865152517</v>
      </c>
      <c r="BR216" s="132">
        <f t="shared" si="450"/>
        <v>0.19429580811775538</v>
      </c>
      <c r="BS216" s="132">
        <f t="shared" si="450"/>
        <v>0.23855123490937061</v>
      </c>
      <c r="BT216" s="132">
        <f t="shared" si="450"/>
        <v>0.21850982699414026</v>
      </c>
      <c r="BU216" s="132">
        <f t="shared" si="450"/>
        <v>0.21341823846358365</v>
      </c>
      <c r="BV216" s="132">
        <f t="shared" si="450"/>
        <v>0.5695427792409451</v>
      </c>
      <c r="BW216" s="132">
        <f t="shared" si="450"/>
        <v>0.62186082367395301</v>
      </c>
      <c r="BX216" s="132">
        <f t="shared" si="450"/>
        <v>0.61283101864890999</v>
      </c>
      <c r="BY216" s="132">
        <f t="shared" si="450"/>
        <v>0.65153419748837615</v>
      </c>
      <c r="BZ216" s="132">
        <f t="shared" si="450"/>
        <v>0.58852714719077859</v>
      </c>
      <c r="CA216" s="132">
        <f t="shared" si="450"/>
        <v>0.65621955265570808</v>
      </c>
      <c r="CB216" s="132">
        <f t="shared" si="450"/>
        <v>0.66115378263722668</v>
      </c>
      <c r="CC216" s="132">
        <f t="shared" si="450"/>
        <v>0.48434822729345622</v>
      </c>
      <c r="CD216" s="132">
        <f t="shared" si="450"/>
        <v>0.44310882914423044</v>
      </c>
      <c r="CE216" s="132">
        <f t="shared" si="450"/>
        <v>0.50235808455736408</v>
      </c>
      <c r="CF216" s="132">
        <f t="shared" si="450"/>
        <v>0.43343818686031949</v>
      </c>
      <c r="CG216" s="132">
        <f t="shared" si="450"/>
        <v>0.5432186685488376</v>
      </c>
      <c r="CH216" s="132">
        <f t="shared" si="450"/>
        <v>0.35580687323946736</v>
      </c>
      <c r="CI216" s="132">
        <f t="shared" si="450"/>
        <v>0.36363462445073552</v>
      </c>
      <c r="CJ216" s="132">
        <f t="shared" si="450"/>
        <v>0.40778581052606916</v>
      </c>
      <c r="CK216" s="132">
        <f t="shared" si="450"/>
        <v>0.48030516654692856</v>
      </c>
      <c r="CL216" s="132">
        <f t="shared" si="450"/>
        <v>0.49087188021096112</v>
      </c>
      <c r="CM216" s="132">
        <f t="shared" si="450"/>
        <v>0.41522927865796005</v>
      </c>
      <c r="CN216" s="132">
        <f t="shared" si="450"/>
        <v>0.42436432278843517</v>
      </c>
      <c r="CO216" s="132">
        <f t="shared" si="450"/>
        <v>0.86847552172228693</v>
      </c>
      <c r="CP216" s="132">
        <f t="shared" si="450"/>
        <v>0.88758198320017734</v>
      </c>
      <c r="CQ216" s="132">
        <f t="shared" si="450"/>
        <v>0.90710878683058127</v>
      </c>
      <c r="CR216" s="133">
        <f t="shared" si="450"/>
        <v>14.250298327354736</v>
      </c>
      <c r="CS216" s="26"/>
    </row>
    <row r="217" spans="1:98" x14ac:dyDescent="0.3">
      <c r="A217" s="104"/>
      <c r="B217" s="104"/>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c r="Z217" s="104"/>
      <c r="AA217" s="104"/>
      <c r="AB217" s="104"/>
      <c r="AC217" s="104"/>
      <c r="AD217" s="104"/>
      <c r="AE217" s="104"/>
      <c r="AF217" s="104"/>
      <c r="AG217" s="104"/>
      <c r="AH217" s="104"/>
      <c r="AI217" s="104"/>
      <c r="AJ217" s="104"/>
      <c r="AK217" s="104"/>
      <c r="AL217" s="104"/>
      <c r="AM217" s="104"/>
      <c r="AN217" s="104"/>
      <c r="AO217" s="104"/>
      <c r="AP217" s="104"/>
      <c r="AQ217" s="104"/>
      <c r="AR217" s="104"/>
      <c r="AS217" s="104"/>
      <c r="AT217" s="104"/>
      <c r="AU217" s="104"/>
      <c r="AV217" s="104"/>
      <c r="AW217" s="104"/>
      <c r="AX217" s="104"/>
      <c r="AY217" s="104"/>
      <c r="AZ217" s="104"/>
      <c r="BA217" s="104"/>
      <c r="BB217" s="104"/>
      <c r="BC217" s="104"/>
      <c r="BD217" s="104"/>
      <c r="BE217" s="104"/>
      <c r="BF217" s="104"/>
      <c r="BG217" s="104"/>
      <c r="BH217" s="104"/>
      <c r="BI217" s="104"/>
      <c r="BJ217" s="104"/>
      <c r="BK217" s="104"/>
      <c r="BL217" s="110"/>
      <c r="BM217" s="110"/>
      <c r="BN217" s="110"/>
      <c r="BO217" s="110"/>
      <c r="BP217" s="110"/>
      <c r="BQ217" s="110"/>
      <c r="BR217" s="110"/>
      <c r="BS217" s="110"/>
      <c r="BT217" s="110"/>
      <c r="BU217" s="110"/>
      <c r="BV217" s="110"/>
      <c r="BW217" s="110"/>
      <c r="BX217" s="110"/>
      <c r="BY217" s="110"/>
      <c r="BZ217" s="110"/>
      <c r="CA217" s="110"/>
      <c r="CB217" s="110"/>
      <c r="CC217" s="110"/>
      <c r="CD217" s="110"/>
      <c r="CE217" s="110"/>
      <c r="CF217" s="110"/>
      <c r="CG217" s="110"/>
      <c r="CH217" s="110"/>
      <c r="CI217" s="110"/>
      <c r="CJ217" s="110"/>
      <c r="CK217" s="110"/>
      <c r="CL217" s="110"/>
      <c r="CM217" s="110"/>
      <c r="CN217" s="110"/>
      <c r="CO217" s="110"/>
      <c r="CP217" s="110"/>
      <c r="CQ217" s="110"/>
      <c r="CR217" s="131"/>
    </row>
    <row r="218" spans="1:98" x14ac:dyDescent="0.3">
      <c r="A218" s="104"/>
      <c r="B218" s="104"/>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c r="Z218" s="104"/>
      <c r="AA218" s="104"/>
      <c r="AB218" s="104"/>
      <c r="AC218" s="104"/>
      <c r="AD218" s="104"/>
      <c r="AE218" s="104"/>
      <c r="AF218" s="104"/>
      <c r="AG218" s="104"/>
      <c r="AH218" s="104"/>
      <c r="AI218" s="104"/>
      <c r="AJ218" s="104"/>
      <c r="AK218" s="104"/>
      <c r="AL218" s="104"/>
      <c r="AM218" s="104"/>
      <c r="AN218" s="104"/>
      <c r="AO218" s="104"/>
      <c r="AP218" s="104"/>
      <c r="AQ218" s="104"/>
      <c r="AR218" s="104"/>
      <c r="AS218" s="104"/>
      <c r="AT218" s="104"/>
      <c r="AU218" s="104"/>
      <c r="AV218" s="104"/>
      <c r="AW218" s="104"/>
      <c r="AX218" s="104"/>
      <c r="AY218" s="104"/>
      <c r="AZ218" s="104"/>
      <c r="BA218" s="104"/>
      <c r="BB218" s="104"/>
      <c r="BC218" s="104"/>
      <c r="BD218" s="104"/>
      <c r="BE218" s="104"/>
      <c r="BF218" s="104"/>
      <c r="BG218" s="104"/>
      <c r="BH218" s="104"/>
      <c r="BI218" s="104"/>
      <c r="BJ218" s="104"/>
      <c r="BK218" s="104"/>
      <c r="BL218" s="110"/>
      <c r="BM218" s="110"/>
      <c r="BN218" s="110"/>
      <c r="BO218" s="110"/>
      <c r="BP218" s="110"/>
      <c r="BQ218" s="110"/>
      <c r="BR218" s="110"/>
      <c r="BS218" s="110"/>
      <c r="BT218" s="110"/>
      <c r="BU218" s="110"/>
      <c r="BV218" s="110"/>
      <c r="BW218" s="110"/>
      <c r="BX218" s="110"/>
      <c r="BY218" s="110"/>
      <c r="BZ218" s="110"/>
      <c r="CA218" s="110"/>
      <c r="CB218" s="110"/>
      <c r="CC218" s="110"/>
      <c r="CD218" s="110"/>
      <c r="CE218" s="110"/>
      <c r="CF218" s="110"/>
      <c r="CG218" s="110"/>
      <c r="CH218" s="110"/>
      <c r="CI218" s="110"/>
      <c r="CJ218" s="110"/>
      <c r="CK218" s="110"/>
      <c r="CL218" s="110"/>
      <c r="CM218" s="110"/>
      <c r="CN218" s="110"/>
      <c r="CO218" s="110"/>
      <c r="CP218" s="110"/>
      <c r="CQ218" s="110"/>
      <c r="CR218" s="131"/>
    </row>
    <row r="219" spans="1:98" x14ac:dyDescent="0.3">
      <c r="A219" s="134" t="s">
        <v>422</v>
      </c>
      <c r="B219" s="134"/>
      <c r="C219" s="135"/>
      <c r="D219" s="135"/>
      <c r="E219" s="135"/>
      <c r="F219" s="135"/>
      <c r="G219" s="135"/>
      <c r="H219" s="135"/>
      <c r="I219" s="135"/>
      <c r="J219" s="135"/>
      <c r="K219" s="135"/>
      <c r="L219" s="135"/>
      <c r="M219" s="135"/>
      <c r="N219" s="135"/>
      <c r="O219" s="135"/>
      <c r="P219" s="135"/>
      <c r="Q219" s="135"/>
      <c r="R219" s="135"/>
      <c r="S219" s="135"/>
      <c r="T219" s="135"/>
      <c r="U219" s="104"/>
      <c r="V219" s="104"/>
      <c r="W219" s="104"/>
      <c r="X219" s="104"/>
      <c r="Y219" s="104"/>
      <c r="Z219" s="104"/>
      <c r="AA219" s="104"/>
      <c r="AB219" s="104"/>
      <c r="AC219" s="104"/>
      <c r="AD219" s="104"/>
      <c r="AE219" s="104"/>
      <c r="AF219" s="104"/>
      <c r="AG219" s="104"/>
      <c r="AH219" s="104"/>
      <c r="AI219" s="104"/>
      <c r="AJ219" s="104"/>
      <c r="AK219" s="104"/>
      <c r="AL219" s="104"/>
      <c r="AM219" s="104"/>
      <c r="AN219" s="104"/>
      <c r="AO219" s="104"/>
      <c r="AP219" s="104"/>
      <c r="AQ219" s="104"/>
      <c r="AR219" s="104"/>
      <c r="AS219" s="104"/>
      <c r="AT219" s="104"/>
      <c r="AU219" s="104"/>
      <c r="AV219" s="104"/>
      <c r="AW219" s="104"/>
      <c r="AX219" s="104"/>
      <c r="AY219" s="104"/>
      <c r="AZ219" s="104"/>
      <c r="BA219" s="104"/>
      <c r="BB219" s="104"/>
      <c r="BC219" s="104"/>
      <c r="BD219" s="104"/>
      <c r="BE219" s="104"/>
      <c r="BF219" s="104"/>
      <c r="BG219" s="104"/>
      <c r="BH219" s="104"/>
      <c r="BI219" s="104"/>
      <c r="BJ219" s="104"/>
      <c r="BK219" s="104"/>
      <c r="BL219" s="110"/>
      <c r="BM219" s="110"/>
      <c r="BN219" s="110"/>
      <c r="BO219" s="110"/>
      <c r="BP219" s="110"/>
      <c r="BQ219" s="110"/>
      <c r="BR219" s="110"/>
      <c r="BS219" s="110"/>
      <c r="BT219" s="110"/>
      <c r="BU219" s="110"/>
      <c r="BV219" s="110"/>
      <c r="BW219" s="110"/>
      <c r="BX219" s="110"/>
      <c r="BY219" s="110"/>
      <c r="BZ219" s="110"/>
      <c r="CA219" s="110"/>
      <c r="CB219" s="110"/>
      <c r="CC219" s="110"/>
      <c r="CD219" s="110"/>
      <c r="CE219" s="110"/>
      <c r="CF219" s="110"/>
      <c r="CG219" s="110"/>
      <c r="CH219" s="110"/>
      <c r="CI219" s="110"/>
      <c r="CJ219" s="110"/>
      <c r="CK219" s="110"/>
      <c r="CL219" s="110"/>
      <c r="CM219" s="110"/>
      <c r="CN219" s="110"/>
      <c r="CO219" s="110"/>
      <c r="CP219" s="110"/>
      <c r="CQ219" s="110"/>
      <c r="CR219" s="131"/>
    </row>
    <row r="220" spans="1:98" x14ac:dyDescent="0.3">
      <c r="A220" s="104" t="str">
        <f t="shared" ref="A220:I220" si="451">A8</f>
        <v>Wellsford</v>
      </c>
      <c r="B220" s="104" t="str">
        <f t="shared" si="451"/>
        <v>Rural North</v>
      </c>
      <c r="C220" s="104">
        <f t="shared" si="451"/>
        <v>0</v>
      </c>
      <c r="D220" s="104" t="str">
        <f t="shared" si="451"/>
        <v>Wellsford</v>
      </c>
      <c r="E220" s="104">
        <f t="shared" si="451"/>
        <v>0</v>
      </c>
      <c r="F220" s="104">
        <f t="shared" si="451"/>
        <v>3</v>
      </c>
      <c r="G220" s="104">
        <f t="shared" si="451"/>
        <v>0</v>
      </c>
      <c r="H220" s="104">
        <f t="shared" si="451"/>
        <v>0</v>
      </c>
      <c r="I220" s="104">
        <f t="shared" si="451"/>
        <v>0</v>
      </c>
      <c r="J220" s="104"/>
      <c r="K220" s="104"/>
      <c r="L220" s="104"/>
      <c r="M220" s="104"/>
      <c r="N220" s="104"/>
      <c r="O220" s="104"/>
      <c r="P220" s="104"/>
      <c r="Q220" s="104"/>
      <c r="R220" s="104"/>
      <c r="S220" s="104"/>
      <c r="T220" s="104"/>
      <c r="U220" s="104"/>
      <c r="V220" s="104"/>
      <c r="W220" s="104"/>
      <c r="X220" s="104"/>
      <c r="Y220" s="104"/>
      <c r="Z220" s="104"/>
      <c r="AA220" s="104"/>
      <c r="AB220" s="104"/>
      <c r="AC220" s="104"/>
      <c r="AD220" s="104"/>
      <c r="AE220" s="104"/>
      <c r="AF220" s="104"/>
      <c r="AG220" s="104"/>
      <c r="AH220" s="104"/>
      <c r="AI220" s="104"/>
      <c r="AJ220" s="104"/>
      <c r="AK220" s="104"/>
      <c r="AL220" s="104"/>
      <c r="AM220" s="104"/>
      <c r="AN220" s="104"/>
      <c r="AO220" s="104"/>
      <c r="AP220" s="104"/>
      <c r="AQ220" s="104"/>
      <c r="AR220" s="104"/>
      <c r="AS220" s="104"/>
      <c r="AT220" s="104"/>
      <c r="AU220" s="104"/>
      <c r="AV220" s="104"/>
      <c r="AW220" s="104"/>
      <c r="AX220" s="104"/>
      <c r="AY220" s="104"/>
      <c r="AZ220" s="104"/>
      <c r="BA220" s="104"/>
      <c r="BB220" s="104"/>
      <c r="BC220" s="104"/>
      <c r="BD220" s="104"/>
      <c r="BE220" s="104"/>
      <c r="BF220" s="104"/>
      <c r="BG220" s="104"/>
      <c r="BH220" s="104"/>
      <c r="BI220" s="104"/>
      <c r="BJ220" s="104"/>
      <c r="BK220" s="104"/>
      <c r="BL220" s="136">
        <f t="shared" ref="BL220:CQ220" si="452">BL8+BL123</f>
        <v>0</v>
      </c>
      <c r="BM220" s="136">
        <f t="shared" si="452"/>
        <v>0</v>
      </c>
      <c r="BN220" s="136">
        <f t="shared" si="452"/>
        <v>0</v>
      </c>
      <c r="BO220" s="136">
        <f t="shared" si="452"/>
        <v>0</v>
      </c>
      <c r="BP220" s="136">
        <f t="shared" si="452"/>
        <v>0</v>
      </c>
      <c r="BQ220" s="136">
        <f t="shared" si="452"/>
        <v>0</v>
      </c>
      <c r="BR220" s="136">
        <f t="shared" si="452"/>
        <v>0</v>
      </c>
      <c r="BS220" s="136">
        <f t="shared" si="452"/>
        <v>0</v>
      </c>
      <c r="BT220" s="136">
        <f t="shared" si="452"/>
        <v>0</v>
      </c>
      <c r="BU220" s="136">
        <f t="shared" si="452"/>
        <v>0.84070935629314292</v>
      </c>
      <c r="BV220" s="136">
        <f t="shared" si="452"/>
        <v>0.90009298307490471</v>
      </c>
      <c r="BW220" s="136">
        <f t="shared" si="452"/>
        <v>0.9636860991328402</v>
      </c>
      <c r="BX220" s="136">
        <f t="shared" si="452"/>
        <v>1.0317874297446006</v>
      </c>
      <c r="BY220" s="136">
        <f t="shared" si="452"/>
        <v>1.1047169064164093</v>
      </c>
      <c r="BZ220" s="136">
        <f t="shared" si="452"/>
        <v>1.1828171724534353</v>
      </c>
      <c r="CA220" s="136">
        <f t="shared" si="452"/>
        <v>1.2664551954240824</v>
      </c>
      <c r="CB220" s="136">
        <f t="shared" si="452"/>
        <v>2.0340359911614403</v>
      </c>
      <c r="CC220" s="136">
        <f t="shared" si="452"/>
        <v>2.177916732080234</v>
      </c>
      <c r="CD220" s="136">
        <f t="shared" si="452"/>
        <v>5.1822249281917347</v>
      </c>
      <c r="CE220" s="136">
        <f t="shared" si="452"/>
        <v>5.5489192322626231</v>
      </c>
      <c r="CF220" s="136">
        <f t="shared" si="452"/>
        <v>5.9416214712742672</v>
      </c>
      <c r="CG220" s="136">
        <f t="shared" si="452"/>
        <v>0</v>
      </c>
      <c r="CH220" s="136">
        <f t="shared" si="452"/>
        <v>0</v>
      </c>
      <c r="CI220" s="136">
        <f t="shared" si="452"/>
        <v>0</v>
      </c>
      <c r="CJ220" s="136">
        <f t="shared" si="452"/>
        <v>0</v>
      </c>
      <c r="CK220" s="136">
        <f t="shared" si="452"/>
        <v>0</v>
      </c>
      <c r="CL220" s="136">
        <f t="shared" si="452"/>
        <v>0</v>
      </c>
      <c r="CM220" s="136">
        <f t="shared" si="452"/>
        <v>0</v>
      </c>
      <c r="CN220" s="136">
        <f t="shared" si="452"/>
        <v>0</v>
      </c>
      <c r="CO220" s="136">
        <f t="shared" si="452"/>
        <v>0</v>
      </c>
      <c r="CP220" s="136">
        <f t="shared" si="452"/>
        <v>0</v>
      </c>
      <c r="CQ220" s="136">
        <f t="shared" si="452"/>
        <v>0</v>
      </c>
      <c r="CR220" s="137">
        <f>SUM(BL220:CQ220)</f>
        <v>28.174983497509714</v>
      </c>
      <c r="CS220" s="26"/>
      <c r="CT220" s="25"/>
    </row>
    <row r="221" spans="1:98" x14ac:dyDescent="0.3">
      <c r="A221" s="104" t="str">
        <f t="shared" ref="A221:I221" si="453">A9</f>
        <v>Orewa-Hibiscus</v>
      </c>
      <c r="B221" s="104" t="str">
        <f t="shared" si="453"/>
        <v>Rural North</v>
      </c>
      <c r="C221" s="104">
        <f t="shared" si="453"/>
        <v>0</v>
      </c>
      <c r="D221" s="104" t="str">
        <f t="shared" si="453"/>
        <v>Algies Bay</v>
      </c>
      <c r="E221" s="104">
        <f t="shared" si="453"/>
        <v>0</v>
      </c>
      <c r="F221" s="104">
        <f t="shared" si="453"/>
        <v>1</v>
      </c>
      <c r="G221" s="104">
        <f t="shared" si="453"/>
        <v>0</v>
      </c>
      <c r="H221" s="104">
        <f t="shared" si="453"/>
        <v>0</v>
      </c>
      <c r="I221" s="104">
        <f t="shared" si="453"/>
        <v>0</v>
      </c>
      <c r="J221" s="104"/>
      <c r="K221" s="104"/>
      <c r="L221" s="104"/>
      <c r="M221" s="104"/>
      <c r="N221" s="104"/>
      <c r="O221" s="104"/>
      <c r="P221" s="104"/>
      <c r="Q221" s="104"/>
      <c r="R221" s="104"/>
      <c r="S221" s="104"/>
      <c r="T221" s="104"/>
      <c r="U221" s="104"/>
      <c r="V221" s="104"/>
      <c r="W221" s="104"/>
      <c r="X221" s="104"/>
      <c r="Y221" s="104"/>
      <c r="Z221" s="104"/>
      <c r="AA221" s="104"/>
      <c r="AB221" s="104"/>
      <c r="AC221" s="104"/>
      <c r="AD221" s="104"/>
      <c r="AE221" s="104"/>
      <c r="AF221" s="104"/>
      <c r="AG221" s="104"/>
      <c r="AH221" s="104"/>
      <c r="AI221" s="104"/>
      <c r="AJ221" s="104"/>
      <c r="AK221" s="104"/>
      <c r="AL221" s="104"/>
      <c r="AM221" s="104"/>
      <c r="AN221" s="104"/>
      <c r="AO221" s="104"/>
      <c r="AP221" s="104"/>
      <c r="AQ221" s="104"/>
      <c r="AR221" s="104"/>
      <c r="AS221" s="104"/>
      <c r="AT221" s="104"/>
      <c r="AU221" s="104"/>
      <c r="AV221" s="104"/>
      <c r="AW221" s="104"/>
      <c r="AX221" s="104"/>
      <c r="AY221" s="104"/>
      <c r="AZ221" s="104"/>
      <c r="BA221" s="104"/>
      <c r="BB221" s="104"/>
      <c r="BC221" s="104"/>
      <c r="BD221" s="104"/>
      <c r="BE221" s="104"/>
      <c r="BF221" s="104"/>
      <c r="BG221" s="104"/>
      <c r="BH221" s="104"/>
      <c r="BI221" s="104"/>
      <c r="BJ221" s="104"/>
      <c r="BK221" s="104"/>
      <c r="BL221" s="136">
        <f t="shared" ref="BL221:CQ221" si="454">BL9+BL124</f>
        <v>0</v>
      </c>
      <c r="BM221" s="136">
        <f t="shared" si="454"/>
        <v>0</v>
      </c>
      <c r="BN221" s="136">
        <f t="shared" si="454"/>
        <v>0</v>
      </c>
      <c r="BO221" s="136">
        <f t="shared" si="454"/>
        <v>0</v>
      </c>
      <c r="BP221" s="136">
        <f t="shared" si="454"/>
        <v>0</v>
      </c>
      <c r="BQ221" s="136">
        <f t="shared" si="454"/>
        <v>0</v>
      </c>
      <c r="BR221" s="136">
        <f t="shared" si="454"/>
        <v>0</v>
      </c>
      <c r="BS221" s="136">
        <f t="shared" si="454"/>
        <v>0</v>
      </c>
      <c r="BT221" s="136">
        <f t="shared" si="454"/>
        <v>0</v>
      </c>
      <c r="BU221" s="136">
        <f t="shared" si="454"/>
        <v>0.83836187531060602</v>
      </c>
      <c r="BV221" s="136">
        <f t="shared" si="454"/>
        <v>0.89769385751075192</v>
      </c>
      <c r="BW221" s="136">
        <f t="shared" si="454"/>
        <v>0.96123419280627609</v>
      </c>
      <c r="BX221" s="136">
        <f t="shared" si="454"/>
        <v>1.0292815814788521</v>
      </c>
      <c r="BY221" s="136">
        <f t="shared" si="454"/>
        <v>2.4492353988640332</v>
      </c>
      <c r="BZ221" s="136">
        <f t="shared" si="454"/>
        <v>2.6226663422965188</v>
      </c>
      <c r="CA221" s="136">
        <f t="shared" si="454"/>
        <v>2.8084006577752008</v>
      </c>
      <c r="CB221" s="136">
        <f t="shared" si="454"/>
        <v>0</v>
      </c>
      <c r="CC221" s="136">
        <f t="shared" si="454"/>
        <v>0</v>
      </c>
      <c r="CD221" s="136">
        <f t="shared" si="454"/>
        <v>0</v>
      </c>
      <c r="CE221" s="136">
        <f t="shared" si="454"/>
        <v>0</v>
      </c>
      <c r="CF221" s="136">
        <f t="shared" si="454"/>
        <v>0</v>
      </c>
      <c r="CG221" s="136">
        <f t="shared" si="454"/>
        <v>0</v>
      </c>
      <c r="CH221" s="136">
        <f t="shared" si="454"/>
        <v>0</v>
      </c>
      <c r="CI221" s="136">
        <f t="shared" si="454"/>
        <v>0</v>
      </c>
      <c r="CJ221" s="136">
        <f t="shared" si="454"/>
        <v>0</v>
      </c>
      <c r="CK221" s="136">
        <f t="shared" si="454"/>
        <v>0</v>
      </c>
      <c r="CL221" s="136">
        <f t="shared" si="454"/>
        <v>0</v>
      </c>
      <c r="CM221" s="136">
        <f t="shared" si="454"/>
        <v>0</v>
      </c>
      <c r="CN221" s="136">
        <f t="shared" si="454"/>
        <v>0</v>
      </c>
      <c r="CO221" s="136">
        <f t="shared" si="454"/>
        <v>0</v>
      </c>
      <c r="CP221" s="136">
        <f t="shared" si="454"/>
        <v>0</v>
      </c>
      <c r="CQ221" s="136">
        <f t="shared" si="454"/>
        <v>0</v>
      </c>
      <c r="CR221" s="137">
        <f t="shared" ref="CR221:CR247" si="455">SUM(BL221:CQ221)</f>
        <v>11.606873906042239</v>
      </c>
      <c r="CS221" s="26"/>
      <c r="CT221" s="25"/>
    </row>
    <row r="222" spans="1:98" x14ac:dyDescent="0.3">
      <c r="A222" s="104" t="str">
        <f t="shared" ref="A222:I222" si="456">A10</f>
        <v>Warkworth</v>
      </c>
      <c r="B222" s="104" t="str">
        <f t="shared" si="456"/>
        <v>Warkworth</v>
      </c>
      <c r="C222" s="104" t="str">
        <f t="shared" si="456"/>
        <v>NE, N, W, S</v>
      </c>
      <c r="D222" s="104" t="str">
        <f t="shared" si="456"/>
        <v>Warkworth N LZ</v>
      </c>
      <c r="E222" s="104" t="str">
        <f t="shared" si="456"/>
        <v>phased by sat inspection</v>
      </c>
      <c r="F222" s="104">
        <f t="shared" si="456"/>
        <v>1</v>
      </c>
      <c r="G222" s="104">
        <f t="shared" si="456"/>
        <v>0</v>
      </c>
      <c r="H222" s="104">
        <f t="shared" si="456"/>
        <v>0</v>
      </c>
      <c r="I222" s="104">
        <f t="shared" si="456"/>
        <v>0</v>
      </c>
      <c r="J222" s="104"/>
      <c r="K222" s="104"/>
      <c r="L222" s="104"/>
      <c r="M222" s="104"/>
      <c r="N222" s="104"/>
      <c r="O222" s="104"/>
      <c r="P222" s="104"/>
      <c r="Q222" s="104"/>
      <c r="R222" s="104"/>
      <c r="S222" s="104"/>
      <c r="T222" s="104"/>
      <c r="U222" s="104"/>
      <c r="V222" s="104"/>
      <c r="W222" s="104"/>
      <c r="X222" s="104"/>
      <c r="Y222" s="104"/>
      <c r="Z222" s="104"/>
      <c r="AA222" s="104"/>
      <c r="AB222" s="104"/>
      <c r="AC222" s="104"/>
      <c r="AD222" s="104"/>
      <c r="AE222" s="104"/>
      <c r="AF222" s="104"/>
      <c r="AG222" s="104"/>
      <c r="AH222" s="104"/>
      <c r="AI222" s="104"/>
      <c r="AJ222" s="104"/>
      <c r="AK222" s="104"/>
      <c r="AL222" s="104"/>
      <c r="AM222" s="104"/>
      <c r="AN222" s="104"/>
      <c r="AO222" s="104"/>
      <c r="AP222" s="104"/>
      <c r="AQ222" s="104"/>
      <c r="AR222" s="104"/>
      <c r="AS222" s="104"/>
      <c r="AT222" s="104"/>
      <c r="AU222" s="104"/>
      <c r="AV222" s="104"/>
      <c r="AW222" s="104"/>
      <c r="AX222" s="104"/>
      <c r="AY222" s="104"/>
      <c r="AZ222" s="104"/>
      <c r="BA222" s="104"/>
      <c r="BB222" s="104"/>
      <c r="BC222" s="104"/>
      <c r="BD222" s="104"/>
      <c r="BE222" s="104"/>
      <c r="BF222" s="104"/>
      <c r="BG222" s="104"/>
      <c r="BH222" s="104"/>
      <c r="BI222" s="104"/>
      <c r="BJ222" s="104"/>
      <c r="BK222" s="104"/>
      <c r="BL222" s="136">
        <f t="shared" ref="BL222:CQ222" si="457">BL10+BL125</f>
        <v>0</v>
      </c>
      <c r="BM222" s="136">
        <f t="shared" si="457"/>
        <v>0</v>
      </c>
      <c r="BN222" s="136">
        <f t="shared" si="457"/>
        <v>0</v>
      </c>
      <c r="BO222" s="136">
        <f t="shared" si="457"/>
        <v>0</v>
      </c>
      <c r="BP222" s="136">
        <f t="shared" si="457"/>
        <v>0</v>
      </c>
      <c r="BQ222" s="136">
        <f t="shared" si="457"/>
        <v>0.39997580749782546</v>
      </c>
      <c r="BR222" s="136">
        <f t="shared" si="457"/>
        <v>0.4281983608740999</v>
      </c>
      <c r="BS222" s="136">
        <f t="shared" si="457"/>
        <v>0.45842084950305623</v>
      </c>
      <c r="BT222" s="136">
        <f t="shared" si="457"/>
        <v>0.49078518373482016</v>
      </c>
      <c r="BU222" s="136">
        <f t="shared" si="457"/>
        <v>1.1676518837404763</v>
      </c>
      <c r="BV222" s="136">
        <f t="shared" si="457"/>
        <v>1.2501291431595898</v>
      </c>
      <c r="BW222" s="136">
        <f t="shared" si="457"/>
        <v>1.3384529154622782</v>
      </c>
      <c r="BX222" s="136">
        <f t="shared" si="457"/>
        <v>0</v>
      </c>
      <c r="BY222" s="136">
        <f t="shared" si="457"/>
        <v>0</v>
      </c>
      <c r="BZ222" s="136">
        <f t="shared" si="457"/>
        <v>0</v>
      </c>
      <c r="CA222" s="136">
        <f t="shared" si="457"/>
        <v>0</v>
      </c>
      <c r="CB222" s="136">
        <f t="shared" si="457"/>
        <v>0</v>
      </c>
      <c r="CC222" s="136">
        <f t="shared" si="457"/>
        <v>0</v>
      </c>
      <c r="CD222" s="136">
        <f t="shared" si="457"/>
        <v>0</v>
      </c>
      <c r="CE222" s="136">
        <f t="shared" si="457"/>
        <v>0</v>
      </c>
      <c r="CF222" s="136">
        <f t="shared" si="457"/>
        <v>0</v>
      </c>
      <c r="CG222" s="136">
        <f t="shared" si="457"/>
        <v>0</v>
      </c>
      <c r="CH222" s="136">
        <f t="shared" si="457"/>
        <v>0</v>
      </c>
      <c r="CI222" s="136">
        <f t="shared" si="457"/>
        <v>0</v>
      </c>
      <c r="CJ222" s="136">
        <f t="shared" si="457"/>
        <v>0</v>
      </c>
      <c r="CK222" s="136">
        <f t="shared" si="457"/>
        <v>0</v>
      </c>
      <c r="CL222" s="136">
        <f t="shared" si="457"/>
        <v>0</v>
      </c>
      <c r="CM222" s="136">
        <f t="shared" si="457"/>
        <v>0</v>
      </c>
      <c r="CN222" s="136">
        <f t="shared" si="457"/>
        <v>0</v>
      </c>
      <c r="CO222" s="136">
        <f t="shared" si="457"/>
        <v>0</v>
      </c>
      <c r="CP222" s="136">
        <f t="shared" si="457"/>
        <v>0</v>
      </c>
      <c r="CQ222" s="136">
        <f t="shared" si="457"/>
        <v>0</v>
      </c>
      <c r="CR222" s="137">
        <f t="shared" si="455"/>
        <v>5.5336141439721462</v>
      </c>
      <c r="CS222" s="26"/>
      <c r="CT222" s="25"/>
    </row>
    <row r="223" spans="1:98" x14ac:dyDescent="0.3">
      <c r="A223" s="104" t="str">
        <f t="shared" ref="A223:I223" si="458">A11</f>
        <v>Warkworth</v>
      </c>
      <c r="B223" s="104" t="str">
        <f t="shared" si="458"/>
        <v>Warkworth</v>
      </c>
      <c r="C223" s="104" t="str">
        <f t="shared" si="458"/>
        <v>NE, N, W, S</v>
      </c>
      <c r="D223" s="104" t="str">
        <f t="shared" si="458"/>
        <v>Warkworth West LZ</v>
      </c>
      <c r="E223" s="104" t="str">
        <f t="shared" si="458"/>
        <v>phased by sat inspection</v>
      </c>
      <c r="F223" s="104">
        <f t="shared" si="458"/>
        <v>1</v>
      </c>
      <c r="G223" s="104">
        <f t="shared" si="458"/>
        <v>0</v>
      </c>
      <c r="H223" s="104">
        <f t="shared" si="458"/>
        <v>0</v>
      </c>
      <c r="I223" s="104">
        <f t="shared" si="458"/>
        <v>0</v>
      </c>
      <c r="J223" s="104"/>
      <c r="K223" s="104"/>
      <c r="L223" s="104"/>
      <c r="M223" s="104"/>
      <c r="N223" s="104"/>
      <c r="O223" s="104"/>
      <c r="P223" s="104"/>
      <c r="Q223" s="104"/>
      <c r="R223" s="104"/>
      <c r="S223" s="104"/>
      <c r="T223" s="104"/>
      <c r="U223" s="104"/>
      <c r="V223" s="104"/>
      <c r="W223" s="104"/>
      <c r="X223" s="104"/>
      <c r="Y223" s="104"/>
      <c r="Z223" s="104"/>
      <c r="AA223" s="104"/>
      <c r="AB223" s="104"/>
      <c r="AC223" s="104"/>
      <c r="AD223" s="104"/>
      <c r="AE223" s="104"/>
      <c r="AF223" s="104"/>
      <c r="AG223" s="104"/>
      <c r="AH223" s="104"/>
      <c r="AI223" s="104"/>
      <c r="AJ223" s="104"/>
      <c r="AK223" s="104"/>
      <c r="AL223" s="104"/>
      <c r="AM223" s="104"/>
      <c r="AN223" s="104"/>
      <c r="AO223" s="104"/>
      <c r="AP223" s="104"/>
      <c r="AQ223" s="104"/>
      <c r="AR223" s="104"/>
      <c r="AS223" s="104"/>
      <c r="AT223" s="104"/>
      <c r="AU223" s="104"/>
      <c r="AV223" s="104"/>
      <c r="AW223" s="104"/>
      <c r="AX223" s="104"/>
      <c r="AY223" s="104"/>
      <c r="AZ223" s="104"/>
      <c r="BA223" s="104"/>
      <c r="BB223" s="104"/>
      <c r="BC223" s="104"/>
      <c r="BD223" s="104"/>
      <c r="BE223" s="104"/>
      <c r="BF223" s="104"/>
      <c r="BG223" s="104"/>
      <c r="BH223" s="104"/>
      <c r="BI223" s="104"/>
      <c r="BJ223" s="104"/>
      <c r="BK223" s="104"/>
      <c r="BL223" s="136">
        <f t="shared" ref="BL223:CQ223" si="459">BL11+BL126</f>
        <v>0</v>
      </c>
      <c r="BM223" s="136">
        <f t="shared" si="459"/>
        <v>0</v>
      </c>
      <c r="BN223" s="136">
        <f t="shared" si="459"/>
        <v>0</v>
      </c>
      <c r="BO223" s="136">
        <f t="shared" si="459"/>
        <v>0</v>
      </c>
      <c r="BP223" s="136">
        <f t="shared" si="459"/>
        <v>6.2405327721277451E-2</v>
      </c>
      <c r="BQ223" s="136">
        <f t="shared" si="459"/>
        <v>1.9126961205030006E-3</v>
      </c>
      <c r="BR223" s="136">
        <f t="shared" si="459"/>
        <v>0.22837245913285331</v>
      </c>
      <c r="BS223" s="136">
        <f t="shared" si="459"/>
        <v>0.24449111973496335</v>
      </c>
      <c r="BT223" s="136">
        <f t="shared" si="459"/>
        <v>0.3926281469878562</v>
      </c>
      <c r="BU223" s="136">
        <f t="shared" si="459"/>
        <v>0.42035467814657146</v>
      </c>
      <c r="BV223" s="136">
        <f t="shared" si="459"/>
        <v>0.45004649153745235</v>
      </c>
      <c r="BW223" s="136">
        <f t="shared" si="459"/>
        <v>0.4818430495664201</v>
      </c>
      <c r="BX223" s="136">
        <f t="shared" si="459"/>
        <v>1.1464304774940006</v>
      </c>
      <c r="BY223" s="136">
        <f t="shared" si="459"/>
        <v>1.2274632293515662</v>
      </c>
      <c r="BZ223" s="136">
        <f t="shared" si="459"/>
        <v>1.3142413027260391</v>
      </c>
      <c r="CA223" s="136">
        <f t="shared" si="459"/>
        <v>0</v>
      </c>
      <c r="CB223" s="136">
        <f t="shared" si="459"/>
        <v>0</v>
      </c>
      <c r="CC223" s="136">
        <f t="shared" si="459"/>
        <v>0</v>
      </c>
      <c r="CD223" s="136">
        <f t="shared" si="459"/>
        <v>0</v>
      </c>
      <c r="CE223" s="136">
        <f t="shared" si="459"/>
        <v>0</v>
      </c>
      <c r="CF223" s="136">
        <f t="shared" si="459"/>
        <v>0</v>
      </c>
      <c r="CG223" s="136">
        <f t="shared" si="459"/>
        <v>0</v>
      </c>
      <c r="CH223" s="136">
        <f t="shared" si="459"/>
        <v>0</v>
      </c>
      <c r="CI223" s="136">
        <f t="shared" si="459"/>
        <v>0</v>
      </c>
      <c r="CJ223" s="136">
        <f t="shared" si="459"/>
        <v>0</v>
      </c>
      <c r="CK223" s="136">
        <f t="shared" si="459"/>
        <v>0</v>
      </c>
      <c r="CL223" s="136">
        <f t="shared" si="459"/>
        <v>0</v>
      </c>
      <c r="CM223" s="136">
        <f t="shared" si="459"/>
        <v>0</v>
      </c>
      <c r="CN223" s="136">
        <f t="shared" si="459"/>
        <v>0</v>
      </c>
      <c r="CO223" s="136">
        <f t="shared" si="459"/>
        <v>0</v>
      </c>
      <c r="CP223" s="136">
        <f t="shared" si="459"/>
        <v>0</v>
      </c>
      <c r="CQ223" s="136">
        <f t="shared" si="459"/>
        <v>0</v>
      </c>
      <c r="CR223" s="137">
        <f t="shared" si="455"/>
        <v>5.970188978519503</v>
      </c>
      <c r="CS223" s="26"/>
      <c r="CT223" s="25"/>
    </row>
    <row r="224" spans="1:98" x14ac:dyDescent="0.3">
      <c r="A224" s="104" t="str">
        <f t="shared" ref="A224:I224" si="460">A12</f>
        <v>Warkworth</v>
      </c>
      <c r="B224" s="104" t="str">
        <f t="shared" si="460"/>
        <v>Warkworth</v>
      </c>
      <c r="C224" s="104" t="str">
        <f t="shared" si="460"/>
        <v>NE, N, W, S</v>
      </c>
      <c r="D224" s="104" t="str">
        <f t="shared" si="460"/>
        <v>Warkworth North (remainder)</v>
      </c>
      <c r="E224" s="104">
        <f t="shared" si="460"/>
        <v>0</v>
      </c>
      <c r="F224" s="104">
        <f t="shared" si="460"/>
        <v>2</v>
      </c>
      <c r="G224" s="104">
        <f t="shared" si="460"/>
        <v>0</v>
      </c>
      <c r="H224" s="104">
        <f t="shared" si="460"/>
        <v>0</v>
      </c>
      <c r="I224" s="104">
        <f t="shared" si="460"/>
        <v>0</v>
      </c>
      <c r="J224" s="104"/>
      <c r="K224" s="104"/>
      <c r="L224" s="104"/>
      <c r="M224" s="104"/>
      <c r="N224" s="104"/>
      <c r="O224" s="104"/>
      <c r="P224" s="104"/>
      <c r="Q224" s="104"/>
      <c r="R224" s="104"/>
      <c r="S224" s="104"/>
      <c r="T224" s="104"/>
      <c r="U224" s="104"/>
      <c r="V224" s="104"/>
      <c r="W224" s="104"/>
      <c r="X224" s="104"/>
      <c r="Y224" s="104"/>
      <c r="Z224" s="104"/>
      <c r="AA224" s="104"/>
      <c r="AB224" s="104"/>
      <c r="AC224" s="104"/>
      <c r="AD224" s="104"/>
      <c r="AE224" s="104"/>
      <c r="AF224" s="104"/>
      <c r="AG224" s="104"/>
      <c r="AH224" s="104"/>
      <c r="AI224" s="104"/>
      <c r="AJ224" s="104"/>
      <c r="AK224" s="104"/>
      <c r="AL224" s="104"/>
      <c r="AM224" s="104"/>
      <c r="AN224" s="104"/>
      <c r="AO224" s="104"/>
      <c r="AP224" s="104"/>
      <c r="AQ224" s="104"/>
      <c r="AR224" s="104"/>
      <c r="AS224" s="104"/>
      <c r="AT224" s="104"/>
      <c r="AU224" s="104"/>
      <c r="AV224" s="104"/>
      <c r="AW224" s="104"/>
      <c r="AX224" s="104"/>
      <c r="AY224" s="104"/>
      <c r="AZ224" s="104"/>
      <c r="BA224" s="104"/>
      <c r="BB224" s="104"/>
      <c r="BC224" s="104"/>
      <c r="BD224" s="104"/>
      <c r="BE224" s="104"/>
      <c r="BF224" s="104"/>
      <c r="BG224" s="104"/>
      <c r="BH224" s="104"/>
      <c r="BI224" s="104"/>
      <c r="BJ224" s="104"/>
      <c r="BK224" s="104"/>
      <c r="BL224" s="136">
        <f t="shared" ref="BL224:CQ224" si="461">BL12+BL127</f>
        <v>0</v>
      </c>
      <c r="BM224" s="136">
        <f t="shared" si="461"/>
        <v>0</v>
      </c>
      <c r="BN224" s="136">
        <f t="shared" si="461"/>
        <v>0</v>
      </c>
      <c r="BO224" s="136">
        <f t="shared" si="461"/>
        <v>0</v>
      </c>
      <c r="BP224" s="136">
        <f t="shared" si="461"/>
        <v>0</v>
      </c>
      <c r="BQ224" s="136">
        <f t="shared" si="461"/>
        <v>0</v>
      </c>
      <c r="BR224" s="136">
        <f t="shared" si="461"/>
        <v>7.8491463681869073E-2</v>
      </c>
      <c r="BS224" s="136">
        <f t="shared" si="461"/>
        <v>8.4064357603281778E-2</v>
      </c>
      <c r="BT224" s="136">
        <f t="shared" si="461"/>
        <v>9.4116390324337704E-2</v>
      </c>
      <c r="BU224" s="136">
        <f t="shared" si="461"/>
        <v>0.10059856433413575</v>
      </c>
      <c r="BV224" s="136">
        <f t="shared" si="461"/>
        <v>0.27833167535122394</v>
      </c>
      <c r="BW224" s="136">
        <f t="shared" si="461"/>
        <v>0.29788423380757234</v>
      </c>
      <c r="BX224" s="136">
        <f t="shared" si="461"/>
        <v>0.3210478468041279</v>
      </c>
      <c r="BY224" s="136">
        <f t="shared" si="461"/>
        <v>0.34351481308716308</v>
      </c>
      <c r="BZ224" s="136">
        <f t="shared" si="461"/>
        <v>2.6199520861572574</v>
      </c>
      <c r="CA224" s="136">
        <f t="shared" si="461"/>
        <v>2.805626688000876</v>
      </c>
      <c r="CB224" s="136">
        <f t="shared" si="461"/>
        <v>3.0133866535725042</v>
      </c>
      <c r="CC224" s="136">
        <f t="shared" si="461"/>
        <v>1.6556383118663129E-2</v>
      </c>
      <c r="CD224" s="136">
        <f t="shared" si="461"/>
        <v>1.6920623547273719E-2</v>
      </c>
      <c r="CE224" s="136">
        <f t="shared" si="461"/>
        <v>0</v>
      </c>
      <c r="CF224" s="136">
        <f t="shared" si="461"/>
        <v>0</v>
      </c>
      <c r="CG224" s="136">
        <f t="shared" si="461"/>
        <v>0</v>
      </c>
      <c r="CH224" s="136">
        <f t="shared" si="461"/>
        <v>0</v>
      </c>
      <c r="CI224" s="136">
        <f t="shared" si="461"/>
        <v>0</v>
      </c>
      <c r="CJ224" s="136">
        <f t="shared" si="461"/>
        <v>0</v>
      </c>
      <c r="CK224" s="136">
        <f t="shared" si="461"/>
        <v>0</v>
      </c>
      <c r="CL224" s="136">
        <f t="shared" si="461"/>
        <v>0</v>
      </c>
      <c r="CM224" s="136">
        <f t="shared" si="461"/>
        <v>0</v>
      </c>
      <c r="CN224" s="136">
        <f t="shared" si="461"/>
        <v>0</v>
      </c>
      <c r="CO224" s="136">
        <f t="shared" si="461"/>
        <v>0</v>
      </c>
      <c r="CP224" s="136">
        <f t="shared" si="461"/>
        <v>0</v>
      </c>
      <c r="CQ224" s="136">
        <f t="shared" si="461"/>
        <v>0</v>
      </c>
      <c r="CR224" s="137">
        <f t="shared" si="455"/>
        <v>10.070491779390286</v>
      </c>
      <c r="CS224" s="26"/>
      <c r="CT224" s="25"/>
    </row>
    <row r="225" spans="1:98" x14ac:dyDescent="0.3">
      <c r="A225" s="104" t="str">
        <f t="shared" ref="A225:I225" si="462">A13</f>
        <v>Warkworth</v>
      </c>
      <c r="B225" s="104" t="str">
        <f t="shared" si="462"/>
        <v>Warkworth</v>
      </c>
      <c r="C225" s="104" t="str">
        <f t="shared" si="462"/>
        <v>NE, N, W, S</v>
      </c>
      <c r="D225" s="104" t="str">
        <f t="shared" si="462"/>
        <v>Warkworth West (remainder)</v>
      </c>
      <c r="E225" s="104">
        <f t="shared" si="462"/>
        <v>0</v>
      </c>
      <c r="F225" s="104">
        <f t="shared" si="462"/>
        <v>3</v>
      </c>
      <c r="G225" s="104">
        <f t="shared" si="462"/>
        <v>0</v>
      </c>
      <c r="H225" s="104">
        <f t="shared" si="462"/>
        <v>0</v>
      </c>
      <c r="I225" s="104">
        <f t="shared" si="462"/>
        <v>0</v>
      </c>
      <c r="J225" s="104"/>
      <c r="K225" s="104"/>
      <c r="L225" s="104"/>
      <c r="M225" s="104"/>
      <c r="N225" s="104"/>
      <c r="O225" s="104"/>
      <c r="P225" s="104"/>
      <c r="Q225" s="104"/>
      <c r="R225" s="104"/>
      <c r="S225" s="104"/>
      <c r="T225" s="104"/>
      <c r="U225" s="104"/>
      <c r="V225" s="104"/>
      <c r="W225" s="104"/>
      <c r="X225" s="104"/>
      <c r="Y225" s="104"/>
      <c r="Z225" s="104"/>
      <c r="AA225" s="104"/>
      <c r="AB225" s="104"/>
      <c r="AC225" s="104"/>
      <c r="AD225" s="104"/>
      <c r="AE225" s="104"/>
      <c r="AF225" s="104"/>
      <c r="AG225" s="104"/>
      <c r="AH225" s="104"/>
      <c r="AI225" s="104"/>
      <c r="AJ225" s="104"/>
      <c r="AK225" s="104"/>
      <c r="AL225" s="104"/>
      <c r="AM225" s="104"/>
      <c r="AN225" s="104"/>
      <c r="AO225" s="104"/>
      <c r="AP225" s="104"/>
      <c r="AQ225" s="104"/>
      <c r="AR225" s="104"/>
      <c r="AS225" s="104"/>
      <c r="AT225" s="104"/>
      <c r="AU225" s="104"/>
      <c r="AV225" s="104"/>
      <c r="AW225" s="104"/>
      <c r="AX225" s="104"/>
      <c r="AY225" s="104"/>
      <c r="AZ225" s="104"/>
      <c r="BA225" s="104"/>
      <c r="BB225" s="104"/>
      <c r="BC225" s="104"/>
      <c r="BD225" s="104"/>
      <c r="BE225" s="104"/>
      <c r="BF225" s="104"/>
      <c r="BG225" s="104"/>
      <c r="BH225" s="104"/>
      <c r="BI225" s="104"/>
      <c r="BJ225" s="104"/>
      <c r="BK225" s="104"/>
      <c r="BL225" s="136">
        <f t="shared" ref="BL225:CQ225" si="463">BL13+BL128</f>
        <v>0</v>
      </c>
      <c r="BM225" s="136">
        <f t="shared" si="463"/>
        <v>0</v>
      </c>
      <c r="BN225" s="136">
        <f t="shared" si="463"/>
        <v>0</v>
      </c>
      <c r="BO225" s="136">
        <f t="shared" si="463"/>
        <v>0</v>
      </c>
      <c r="BP225" s="136">
        <f t="shared" si="463"/>
        <v>0</v>
      </c>
      <c r="BQ225" s="136">
        <f t="shared" si="463"/>
        <v>0</v>
      </c>
      <c r="BR225" s="136">
        <f t="shared" si="463"/>
        <v>0</v>
      </c>
      <c r="BS225" s="136">
        <f t="shared" si="463"/>
        <v>0</v>
      </c>
      <c r="BT225" s="136">
        <f t="shared" si="463"/>
        <v>0</v>
      </c>
      <c r="BU225" s="136">
        <f t="shared" si="463"/>
        <v>0</v>
      </c>
      <c r="BV225" s="136">
        <f t="shared" si="463"/>
        <v>0</v>
      </c>
      <c r="BW225" s="136">
        <f t="shared" si="463"/>
        <v>0.17244401512958438</v>
      </c>
      <c r="BX225" s="136">
        <f t="shared" si="463"/>
        <v>0.18436715777711379</v>
      </c>
      <c r="BY225" s="136">
        <f t="shared" si="463"/>
        <v>0.19712979513923107</v>
      </c>
      <c r="BZ225" s="136">
        <f t="shared" si="463"/>
        <v>0.2107913762755774</v>
      </c>
      <c r="CA225" s="136">
        <f t="shared" si="463"/>
        <v>0.58998777763441546</v>
      </c>
      <c r="CB225" s="136">
        <f t="shared" si="463"/>
        <v>0.63135262955911142</v>
      </c>
      <c r="CC225" s="136">
        <f t="shared" si="463"/>
        <v>0.6756428518041393</v>
      </c>
      <c r="CD225" s="136">
        <f t="shared" si="463"/>
        <v>0.72306589191058346</v>
      </c>
      <c r="CE225" s="136">
        <f t="shared" si="463"/>
        <v>5.5489192322626231</v>
      </c>
      <c r="CF225" s="136">
        <f t="shared" si="463"/>
        <v>5.9416214712742672</v>
      </c>
      <c r="CG225" s="136">
        <f t="shared" si="463"/>
        <v>6.3621776066732014</v>
      </c>
      <c r="CH225" s="136">
        <f t="shared" si="463"/>
        <v>0</v>
      </c>
      <c r="CI225" s="136">
        <f t="shared" si="463"/>
        <v>0</v>
      </c>
      <c r="CJ225" s="136">
        <f t="shared" si="463"/>
        <v>0</v>
      </c>
      <c r="CK225" s="136">
        <f t="shared" si="463"/>
        <v>0</v>
      </c>
      <c r="CL225" s="136">
        <f t="shared" si="463"/>
        <v>0</v>
      </c>
      <c r="CM225" s="136">
        <f t="shared" si="463"/>
        <v>0</v>
      </c>
      <c r="CN225" s="136">
        <f t="shared" si="463"/>
        <v>0</v>
      </c>
      <c r="CO225" s="136">
        <f t="shared" si="463"/>
        <v>0</v>
      </c>
      <c r="CP225" s="136">
        <f t="shared" si="463"/>
        <v>0</v>
      </c>
      <c r="CQ225" s="136">
        <f t="shared" si="463"/>
        <v>0</v>
      </c>
      <c r="CR225" s="137">
        <f t="shared" si="455"/>
        <v>21.237499805439846</v>
      </c>
      <c r="CS225" s="26"/>
      <c r="CT225" s="25"/>
    </row>
    <row r="226" spans="1:98" x14ac:dyDescent="0.3">
      <c r="A226" s="104" t="str">
        <f t="shared" ref="A226:I226" si="464">A14</f>
        <v>Warkworth</v>
      </c>
      <c r="B226" s="104" t="str">
        <f t="shared" si="464"/>
        <v>Warkworth</v>
      </c>
      <c r="C226" s="104" t="str">
        <f t="shared" si="464"/>
        <v>NE, N, W, S</v>
      </c>
      <c r="D226" s="104" t="str">
        <f t="shared" si="464"/>
        <v>Warkworth North-East</v>
      </c>
      <c r="E226" s="104">
        <f t="shared" si="464"/>
        <v>0</v>
      </c>
      <c r="F226" s="104">
        <f t="shared" si="464"/>
        <v>2</v>
      </c>
      <c r="G226" s="104">
        <f t="shared" si="464"/>
        <v>0</v>
      </c>
      <c r="H226" s="104">
        <f t="shared" si="464"/>
        <v>0</v>
      </c>
      <c r="I226" s="104">
        <f t="shared" si="464"/>
        <v>0</v>
      </c>
      <c r="J226" s="104"/>
      <c r="K226" s="104"/>
      <c r="L226" s="104"/>
      <c r="M226" s="104"/>
      <c r="N226" s="104"/>
      <c r="O226" s="104"/>
      <c r="P226" s="104"/>
      <c r="Q226" s="104"/>
      <c r="R226" s="104"/>
      <c r="S226" s="104"/>
      <c r="T226" s="104"/>
      <c r="U226" s="104"/>
      <c r="V226" s="104"/>
      <c r="W226" s="104"/>
      <c r="X226" s="104"/>
      <c r="Y226" s="104"/>
      <c r="Z226" s="104"/>
      <c r="AA226" s="104"/>
      <c r="AB226" s="104"/>
      <c r="AC226" s="104"/>
      <c r="AD226" s="104"/>
      <c r="AE226" s="104"/>
      <c r="AF226" s="104"/>
      <c r="AG226" s="104"/>
      <c r="AH226" s="104"/>
      <c r="AI226" s="104"/>
      <c r="AJ226" s="104"/>
      <c r="AK226" s="104"/>
      <c r="AL226" s="104"/>
      <c r="AM226" s="104"/>
      <c r="AN226" s="104"/>
      <c r="AO226" s="104"/>
      <c r="AP226" s="104"/>
      <c r="AQ226" s="104"/>
      <c r="AR226" s="104"/>
      <c r="AS226" s="104"/>
      <c r="AT226" s="104"/>
      <c r="AU226" s="104"/>
      <c r="AV226" s="104"/>
      <c r="AW226" s="104"/>
      <c r="AX226" s="104"/>
      <c r="AY226" s="104"/>
      <c r="AZ226" s="104"/>
      <c r="BA226" s="104"/>
      <c r="BB226" s="104"/>
      <c r="BC226" s="104"/>
      <c r="BD226" s="104"/>
      <c r="BE226" s="104"/>
      <c r="BF226" s="104"/>
      <c r="BG226" s="104"/>
      <c r="BH226" s="104"/>
      <c r="BI226" s="104"/>
      <c r="BJ226" s="104"/>
      <c r="BK226" s="104"/>
      <c r="BL226" s="136">
        <f t="shared" ref="BL226:CQ226" si="465">BL14+BL129</f>
        <v>0</v>
      </c>
      <c r="BM226" s="136">
        <f t="shared" si="465"/>
        <v>0</v>
      </c>
      <c r="BN226" s="136">
        <f t="shared" si="465"/>
        <v>0</v>
      </c>
      <c r="BO226" s="136">
        <f t="shared" si="465"/>
        <v>0</v>
      </c>
      <c r="BP226" s="136">
        <f t="shared" si="465"/>
        <v>0</v>
      </c>
      <c r="BQ226" s="136">
        <f t="shared" si="465"/>
        <v>0</v>
      </c>
      <c r="BR226" s="136">
        <f t="shared" si="465"/>
        <v>0</v>
      </c>
      <c r="BS226" s="136">
        <f t="shared" si="465"/>
        <v>0</v>
      </c>
      <c r="BT226" s="136">
        <f t="shared" si="465"/>
        <v>0</v>
      </c>
      <c r="BU226" s="136">
        <f t="shared" si="465"/>
        <v>0</v>
      </c>
      <c r="BV226" s="136">
        <f t="shared" si="465"/>
        <v>0</v>
      </c>
      <c r="BW226" s="136">
        <f t="shared" si="465"/>
        <v>0</v>
      </c>
      <c r="BX226" s="136">
        <f t="shared" si="465"/>
        <v>0</v>
      </c>
      <c r="BY226" s="136">
        <f t="shared" si="465"/>
        <v>0</v>
      </c>
      <c r="BZ226" s="136">
        <f t="shared" si="465"/>
        <v>0</v>
      </c>
      <c r="CA226" s="136">
        <f t="shared" si="465"/>
        <v>0</v>
      </c>
      <c r="CB226" s="136">
        <f t="shared" si="465"/>
        <v>0.16071370188932058</v>
      </c>
      <c r="CC226" s="136">
        <f t="shared" si="465"/>
        <v>0.17188623496627611</v>
      </c>
      <c r="CD226" s="136">
        <f t="shared" si="465"/>
        <v>0.18384677881703734</v>
      </c>
      <c r="CE226" s="136">
        <f t="shared" si="465"/>
        <v>0.19665116694690205</v>
      </c>
      <c r="CF226" s="136">
        <f t="shared" si="465"/>
        <v>0.55214325137355968</v>
      </c>
      <c r="CG226" s="136">
        <f t="shared" si="465"/>
        <v>0.59095572550262077</v>
      </c>
      <c r="CH226" s="136">
        <f t="shared" si="465"/>
        <v>0.63251531196703903</v>
      </c>
      <c r="CI226" s="136">
        <f t="shared" si="465"/>
        <v>0.67701686712941322</v>
      </c>
      <c r="CJ226" s="136">
        <f t="shared" si="465"/>
        <v>5.207634161411951</v>
      </c>
      <c r="CK226" s="136">
        <f t="shared" si="465"/>
        <v>5.5764314348761816</v>
      </c>
      <c r="CL226" s="136">
        <f t="shared" si="465"/>
        <v>5.9713925302124604</v>
      </c>
      <c r="CM226" s="136">
        <f t="shared" si="465"/>
        <v>0</v>
      </c>
      <c r="CN226" s="136">
        <f t="shared" si="465"/>
        <v>0</v>
      </c>
      <c r="CO226" s="136">
        <f t="shared" si="465"/>
        <v>0</v>
      </c>
      <c r="CP226" s="136">
        <f t="shared" si="465"/>
        <v>0</v>
      </c>
      <c r="CQ226" s="136">
        <f t="shared" si="465"/>
        <v>0</v>
      </c>
      <c r="CR226" s="137">
        <f t="shared" si="455"/>
        <v>19.921187165092761</v>
      </c>
      <c r="CS226" s="26"/>
      <c r="CT226" s="25"/>
    </row>
    <row r="227" spans="1:98" x14ac:dyDescent="0.3">
      <c r="A227" s="104" t="str">
        <f t="shared" ref="A227:I227" si="466">A15</f>
        <v>Warkworth</v>
      </c>
      <c r="B227" s="104" t="str">
        <f t="shared" si="466"/>
        <v>Warkworth</v>
      </c>
      <c r="C227" s="104" t="str">
        <f t="shared" si="466"/>
        <v>NE, N, W, S</v>
      </c>
      <c r="D227" s="104" t="str">
        <f t="shared" si="466"/>
        <v>Warkworth North-East</v>
      </c>
      <c r="E227" s="104">
        <f t="shared" si="466"/>
        <v>0</v>
      </c>
      <c r="F227" s="104">
        <f t="shared" si="466"/>
        <v>0</v>
      </c>
      <c r="G227" s="104">
        <f t="shared" si="466"/>
        <v>1</v>
      </c>
      <c r="H227" s="104">
        <f t="shared" si="466"/>
        <v>0</v>
      </c>
      <c r="I227" s="104">
        <f t="shared" si="466"/>
        <v>0</v>
      </c>
      <c r="J227" s="104"/>
      <c r="K227" s="104"/>
      <c r="L227" s="104"/>
      <c r="M227" s="104"/>
      <c r="N227" s="104"/>
      <c r="O227" s="104"/>
      <c r="P227" s="104"/>
      <c r="Q227" s="104"/>
      <c r="R227" s="104"/>
      <c r="S227" s="104"/>
      <c r="T227" s="104"/>
      <c r="U227" s="104"/>
      <c r="V227" s="104"/>
      <c r="W227" s="104"/>
      <c r="X227" s="104"/>
      <c r="Y227" s="104"/>
      <c r="Z227" s="104"/>
      <c r="AA227" s="104"/>
      <c r="AB227" s="104"/>
      <c r="AC227" s="104"/>
      <c r="AD227" s="104"/>
      <c r="AE227" s="104"/>
      <c r="AF227" s="104"/>
      <c r="AG227" s="104"/>
      <c r="AH227" s="104"/>
      <c r="AI227" s="104"/>
      <c r="AJ227" s="104"/>
      <c r="AK227" s="104"/>
      <c r="AL227" s="104"/>
      <c r="AM227" s="104"/>
      <c r="AN227" s="104"/>
      <c r="AO227" s="104"/>
      <c r="AP227" s="104"/>
      <c r="AQ227" s="104"/>
      <c r="AR227" s="104"/>
      <c r="AS227" s="104"/>
      <c r="AT227" s="104"/>
      <c r="AU227" s="104"/>
      <c r="AV227" s="104"/>
      <c r="AW227" s="104"/>
      <c r="AX227" s="104"/>
      <c r="AY227" s="104"/>
      <c r="AZ227" s="104"/>
      <c r="BA227" s="104"/>
      <c r="BB227" s="104"/>
      <c r="BC227" s="104"/>
      <c r="BD227" s="104"/>
      <c r="BE227" s="104"/>
      <c r="BF227" s="104"/>
      <c r="BG227" s="104"/>
      <c r="BH227" s="104"/>
      <c r="BI227" s="104"/>
      <c r="BJ227" s="104"/>
      <c r="BK227" s="104"/>
      <c r="BL227" s="136">
        <f t="shared" ref="BL227:CQ227" si="467">BL15+BL130</f>
        <v>0</v>
      </c>
      <c r="BM227" s="136">
        <f t="shared" si="467"/>
        <v>0</v>
      </c>
      <c r="BN227" s="136">
        <f t="shared" si="467"/>
        <v>0</v>
      </c>
      <c r="BO227" s="136">
        <f t="shared" si="467"/>
        <v>0</v>
      </c>
      <c r="BP227" s="136">
        <f t="shared" si="467"/>
        <v>0</v>
      </c>
      <c r="BQ227" s="136">
        <f t="shared" si="467"/>
        <v>0</v>
      </c>
      <c r="BR227" s="136">
        <f t="shared" si="467"/>
        <v>0</v>
      </c>
      <c r="BS227" s="136">
        <f t="shared" si="467"/>
        <v>0</v>
      </c>
      <c r="BT227" s="136">
        <f t="shared" si="467"/>
        <v>0</v>
      </c>
      <c r="BU227" s="136">
        <f t="shared" si="467"/>
        <v>0</v>
      </c>
      <c r="BV227" s="136">
        <f t="shared" si="467"/>
        <v>0</v>
      </c>
      <c r="BW227" s="136">
        <f t="shared" si="467"/>
        <v>0</v>
      </c>
      <c r="BX227" s="136">
        <f t="shared" si="467"/>
        <v>0</v>
      </c>
      <c r="BY227" s="136">
        <f t="shared" si="467"/>
        <v>0.27674833258801229</v>
      </c>
      <c r="BZ227" s="136">
        <f t="shared" si="467"/>
        <v>0.2962859194289148</v>
      </c>
      <c r="CA227" s="136">
        <f t="shared" si="467"/>
        <v>0.31720822095051876</v>
      </c>
      <c r="CB227" s="136">
        <f t="shared" si="467"/>
        <v>1.4672034954748643</v>
      </c>
      <c r="CC227" s="136">
        <f t="shared" si="467"/>
        <v>1.5710772689570971</v>
      </c>
      <c r="CD227" s="136">
        <f t="shared" si="467"/>
        <v>1.6823195315132453</v>
      </c>
      <c r="CE227" s="136">
        <f t="shared" si="467"/>
        <v>1.8014533017930046</v>
      </c>
      <c r="CF227" s="136">
        <f t="shared" si="467"/>
        <v>1.7039083011035963</v>
      </c>
      <c r="CG227" s="136">
        <f t="shared" si="467"/>
        <v>1.8247234168492594</v>
      </c>
      <c r="CH227" s="136">
        <f t="shared" si="467"/>
        <v>1.954112833592945</v>
      </c>
      <c r="CI227" s="136">
        <f t="shared" si="467"/>
        <v>2.0926852481166751</v>
      </c>
      <c r="CJ227" s="136">
        <f t="shared" si="467"/>
        <v>3.8931931966219917</v>
      </c>
      <c r="CK227" s="136">
        <f t="shared" si="467"/>
        <v>4.1695154383825521</v>
      </c>
      <c r="CL227" s="136">
        <f t="shared" si="467"/>
        <v>4.4654544808537198</v>
      </c>
      <c r="CM227" s="136">
        <f t="shared" si="467"/>
        <v>0</v>
      </c>
      <c r="CN227" s="136">
        <f t="shared" si="467"/>
        <v>0</v>
      </c>
      <c r="CO227" s="136">
        <f t="shared" si="467"/>
        <v>0</v>
      </c>
      <c r="CP227" s="136">
        <f t="shared" si="467"/>
        <v>0</v>
      </c>
      <c r="CQ227" s="136">
        <f t="shared" si="467"/>
        <v>0</v>
      </c>
      <c r="CR227" s="137">
        <f t="shared" si="455"/>
        <v>27.515888986226397</v>
      </c>
      <c r="CS227" s="26"/>
      <c r="CT227" s="25"/>
    </row>
    <row r="228" spans="1:98" x14ac:dyDescent="0.3">
      <c r="A228" s="104" t="str">
        <f t="shared" ref="A228:I228" si="468">A16</f>
        <v>Warkworth</v>
      </c>
      <c r="B228" s="104" t="str">
        <f t="shared" si="468"/>
        <v>Warkworth</v>
      </c>
      <c r="C228" s="104" t="str">
        <f t="shared" si="468"/>
        <v>NE, N, W, S</v>
      </c>
      <c r="D228" s="104" t="str">
        <f t="shared" si="468"/>
        <v>Warkworth South-Central</v>
      </c>
      <c r="E228" s="104">
        <f t="shared" si="468"/>
        <v>0</v>
      </c>
      <c r="F228" s="104">
        <f t="shared" si="468"/>
        <v>3</v>
      </c>
      <c r="G228" s="104">
        <f t="shared" si="468"/>
        <v>0</v>
      </c>
      <c r="H228" s="104">
        <f t="shared" si="468"/>
        <v>0</v>
      </c>
      <c r="I228" s="104">
        <f t="shared" si="468"/>
        <v>0</v>
      </c>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04"/>
      <c r="AM228" s="104"/>
      <c r="AN228" s="104"/>
      <c r="AO228" s="104"/>
      <c r="AP228" s="104"/>
      <c r="AQ228" s="104"/>
      <c r="AR228" s="104"/>
      <c r="AS228" s="104"/>
      <c r="AT228" s="104"/>
      <c r="AU228" s="104"/>
      <c r="AV228" s="104"/>
      <c r="AW228" s="104"/>
      <c r="AX228" s="104"/>
      <c r="AY228" s="104"/>
      <c r="AZ228" s="104"/>
      <c r="BA228" s="104"/>
      <c r="BB228" s="104"/>
      <c r="BC228" s="104"/>
      <c r="BD228" s="104"/>
      <c r="BE228" s="104"/>
      <c r="BF228" s="104"/>
      <c r="BG228" s="104"/>
      <c r="BH228" s="104"/>
      <c r="BI228" s="104"/>
      <c r="BJ228" s="104"/>
      <c r="BK228" s="104"/>
      <c r="BL228" s="136">
        <f t="shared" ref="BL228:CQ228" si="469">BL16+BL131</f>
        <v>0</v>
      </c>
      <c r="BM228" s="136">
        <f t="shared" si="469"/>
        <v>0</v>
      </c>
      <c r="BN228" s="136">
        <f t="shared" si="469"/>
        <v>0</v>
      </c>
      <c r="BO228" s="136">
        <f t="shared" si="469"/>
        <v>0</v>
      </c>
      <c r="BP228" s="136">
        <f t="shared" si="469"/>
        <v>0</v>
      </c>
      <c r="BQ228" s="136">
        <f t="shared" si="469"/>
        <v>0</v>
      </c>
      <c r="BR228" s="136">
        <f t="shared" si="469"/>
        <v>0</v>
      </c>
      <c r="BS228" s="136">
        <f t="shared" si="469"/>
        <v>0</v>
      </c>
      <c r="BT228" s="136">
        <f t="shared" si="469"/>
        <v>0</v>
      </c>
      <c r="BU228" s="136">
        <f t="shared" si="469"/>
        <v>0</v>
      </c>
      <c r="BV228" s="136">
        <f t="shared" si="469"/>
        <v>0</v>
      </c>
      <c r="BW228" s="136">
        <f t="shared" si="469"/>
        <v>0.17244401512958438</v>
      </c>
      <c r="BX228" s="136">
        <f t="shared" si="469"/>
        <v>0.18436715777711379</v>
      </c>
      <c r="BY228" s="136">
        <f t="shared" si="469"/>
        <v>0.19712979513923107</v>
      </c>
      <c r="BZ228" s="136">
        <f t="shared" si="469"/>
        <v>0.2107913762755774</v>
      </c>
      <c r="CA228" s="136">
        <f t="shared" si="469"/>
        <v>0.58998777763441546</v>
      </c>
      <c r="CB228" s="136">
        <f t="shared" si="469"/>
        <v>0.63135262955911142</v>
      </c>
      <c r="CC228" s="136">
        <f t="shared" si="469"/>
        <v>0.6756428518041393</v>
      </c>
      <c r="CD228" s="136">
        <f t="shared" si="469"/>
        <v>0.72306589191058346</v>
      </c>
      <c r="CE228" s="136">
        <f t="shared" si="469"/>
        <v>5.5489192322626231</v>
      </c>
      <c r="CF228" s="136">
        <f t="shared" si="469"/>
        <v>5.9416214712742672</v>
      </c>
      <c r="CG228" s="136">
        <f t="shared" si="469"/>
        <v>6.3621776066732014</v>
      </c>
      <c r="CH228" s="136">
        <f t="shared" si="469"/>
        <v>0</v>
      </c>
      <c r="CI228" s="136">
        <f t="shared" si="469"/>
        <v>0</v>
      </c>
      <c r="CJ228" s="136">
        <f t="shared" si="469"/>
        <v>0</v>
      </c>
      <c r="CK228" s="136">
        <f t="shared" si="469"/>
        <v>0</v>
      </c>
      <c r="CL228" s="136">
        <f t="shared" si="469"/>
        <v>0</v>
      </c>
      <c r="CM228" s="136">
        <f t="shared" si="469"/>
        <v>0</v>
      </c>
      <c r="CN228" s="136">
        <f t="shared" si="469"/>
        <v>0</v>
      </c>
      <c r="CO228" s="136">
        <f t="shared" si="469"/>
        <v>0</v>
      </c>
      <c r="CP228" s="136">
        <f t="shared" si="469"/>
        <v>0</v>
      </c>
      <c r="CQ228" s="136">
        <f t="shared" si="469"/>
        <v>0</v>
      </c>
      <c r="CR228" s="137">
        <f t="shared" si="455"/>
        <v>21.237499805439846</v>
      </c>
      <c r="CS228" s="26"/>
      <c r="CT228" s="25"/>
    </row>
    <row r="229" spans="1:98" x14ac:dyDescent="0.3">
      <c r="A229" s="104" t="str">
        <f t="shared" ref="A229:I229" si="470">A17</f>
        <v>Warkworth</v>
      </c>
      <c r="B229" s="104" t="str">
        <f t="shared" si="470"/>
        <v>Warkworth</v>
      </c>
      <c r="C229" s="104" t="str">
        <f t="shared" si="470"/>
        <v>NE, N, W, S</v>
      </c>
      <c r="D229" s="104" t="str">
        <f t="shared" si="470"/>
        <v>Warkworth South-East, South-west</v>
      </c>
      <c r="E229" s="104">
        <f t="shared" si="470"/>
        <v>0</v>
      </c>
      <c r="F229" s="104">
        <f t="shared" si="470"/>
        <v>6</v>
      </c>
      <c r="G229" s="104">
        <f t="shared" si="470"/>
        <v>0</v>
      </c>
      <c r="H229" s="104">
        <f t="shared" si="470"/>
        <v>0</v>
      </c>
      <c r="I229" s="104">
        <f t="shared" si="470"/>
        <v>0</v>
      </c>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4"/>
      <c r="AY229" s="104"/>
      <c r="AZ229" s="104"/>
      <c r="BA229" s="104"/>
      <c r="BB229" s="104"/>
      <c r="BC229" s="104"/>
      <c r="BD229" s="104"/>
      <c r="BE229" s="104"/>
      <c r="BF229" s="104"/>
      <c r="BG229" s="104"/>
      <c r="BH229" s="104"/>
      <c r="BI229" s="104"/>
      <c r="BJ229" s="104"/>
      <c r="BK229" s="104"/>
      <c r="BL229" s="136">
        <f t="shared" ref="BL229:CQ229" si="471">BL17+BL132</f>
        <v>0</v>
      </c>
      <c r="BM229" s="136">
        <f t="shared" si="471"/>
        <v>0</v>
      </c>
      <c r="BN229" s="136">
        <f t="shared" si="471"/>
        <v>0</v>
      </c>
      <c r="BO229" s="136">
        <f t="shared" si="471"/>
        <v>0</v>
      </c>
      <c r="BP229" s="136">
        <f t="shared" si="471"/>
        <v>0</v>
      </c>
      <c r="BQ229" s="136">
        <f t="shared" si="471"/>
        <v>0</v>
      </c>
      <c r="BR229" s="136">
        <f t="shared" si="471"/>
        <v>0</v>
      </c>
      <c r="BS229" s="136">
        <f t="shared" si="471"/>
        <v>0</v>
      </c>
      <c r="BT229" s="136">
        <f t="shared" si="471"/>
        <v>0</v>
      </c>
      <c r="BU229" s="136">
        <f t="shared" si="471"/>
        <v>0</v>
      </c>
      <c r="BV229" s="136">
        <f t="shared" si="471"/>
        <v>0</v>
      </c>
      <c r="BW229" s="136">
        <f t="shared" si="471"/>
        <v>0</v>
      </c>
      <c r="BX229" s="136">
        <f t="shared" si="471"/>
        <v>0</v>
      </c>
      <c r="BY229" s="136">
        <f t="shared" si="471"/>
        <v>0</v>
      </c>
      <c r="BZ229" s="136">
        <f t="shared" si="471"/>
        <v>0</v>
      </c>
      <c r="CA229" s="136">
        <f t="shared" si="471"/>
        <v>0</v>
      </c>
      <c r="CB229" s="136">
        <f t="shared" si="471"/>
        <v>0.48214110566796176</v>
      </c>
      <c r="CC229" s="136">
        <f t="shared" si="471"/>
        <v>0.51565870489882826</v>
      </c>
      <c r="CD229" s="136">
        <f t="shared" si="471"/>
        <v>0.551540336451112</v>
      </c>
      <c r="CE229" s="136">
        <f t="shared" si="471"/>
        <v>0.58995350084070619</v>
      </c>
      <c r="CF229" s="136">
        <f t="shared" si="471"/>
        <v>1.6564297541206787</v>
      </c>
      <c r="CG229" s="136">
        <f t="shared" si="471"/>
        <v>1.7728671765078623</v>
      </c>
      <c r="CH229" s="136">
        <f t="shared" si="471"/>
        <v>1.8975459359011171</v>
      </c>
      <c r="CI229" s="136">
        <f t="shared" si="471"/>
        <v>2.0310506013882397</v>
      </c>
      <c r="CJ229" s="136">
        <f t="shared" si="471"/>
        <v>15.622902484235853</v>
      </c>
      <c r="CK229" s="136">
        <f t="shared" si="471"/>
        <v>16.729294304628546</v>
      </c>
      <c r="CL229" s="136">
        <f t="shared" si="471"/>
        <v>17.914177590637383</v>
      </c>
      <c r="CM229" s="136">
        <f t="shared" si="471"/>
        <v>0</v>
      </c>
      <c r="CN229" s="136">
        <f t="shared" si="471"/>
        <v>0</v>
      </c>
      <c r="CO229" s="136">
        <f t="shared" si="471"/>
        <v>0</v>
      </c>
      <c r="CP229" s="136">
        <f t="shared" si="471"/>
        <v>0</v>
      </c>
      <c r="CQ229" s="136">
        <f t="shared" si="471"/>
        <v>0</v>
      </c>
      <c r="CR229" s="137">
        <f t="shared" si="455"/>
        <v>59.763561495278282</v>
      </c>
      <c r="CS229" s="26"/>
      <c r="CT229" s="25"/>
    </row>
    <row r="230" spans="1:98" x14ac:dyDescent="0.3">
      <c r="A230" s="104" t="str">
        <f t="shared" ref="A230:I230" si="472">A18</f>
        <v>Warkworth</v>
      </c>
      <c r="B230" s="104" t="str">
        <f t="shared" si="472"/>
        <v>Warkworth</v>
      </c>
      <c r="C230" s="104" t="str">
        <f t="shared" si="472"/>
        <v>NE, N, W, S</v>
      </c>
      <c r="D230" s="104" t="str">
        <f t="shared" si="472"/>
        <v>Warkworth South-East, South-west</v>
      </c>
      <c r="E230" s="104">
        <f t="shared" si="472"/>
        <v>0</v>
      </c>
      <c r="F230" s="104">
        <f t="shared" si="472"/>
        <v>0</v>
      </c>
      <c r="G230" s="104">
        <f t="shared" si="472"/>
        <v>1</v>
      </c>
      <c r="H230" s="104">
        <f t="shared" si="472"/>
        <v>0</v>
      </c>
      <c r="I230" s="104">
        <f t="shared" si="472"/>
        <v>0</v>
      </c>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4"/>
      <c r="AY230" s="104"/>
      <c r="AZ230" s="104"/>
      <c r="BA230" s="104"/>
      <c r="BB230" s="104"/>
      <c r="BC230" s="104"/>
      <c r="BD230" s="104"/>
      <c r="BE230" s="104"/>
      <c r="BF230" s="104"/>
      <c r="BG230" s="104"/>
      <c r="BH230" s="104"/>
      <c r="BI230" s="104"/>
      <c r="BJ230" s="104"/>
      <c r="BK230" s="104"/>
      <c r="BL230" s="136">
        <f t="shared" ref="BL230:CQ230" si="473">BL18+BL133</f>
        <v>0</v>
      </c>
      <c r="BM230" s="136">
        <f t="shared" si="473"/>
        <v>0</v>
      </c>
      <c r="BN230" s="136">
        <f t="shared" si="473"/>
        <v>0</v>
      </c>
      <c r="BO230" s="136">
        <f t="shared" si="473"/>
        <v>0</v>
      </c>
      <c r="BP230" s="136">
        <f t="shared" si="473"/>
        <v>0</v>
      </c>
      <c r="BQ230" s="136">
        <f t="shared" si="473"/>
        <v>0</v>
      </c>
      <c r="BR230" s="136">
        <f t="shared" si="473"/>
        <v>0</v>
      </c>
      <c r="BS230" s="136">
        <f t="shared" si="473"/>
        <v>0</v>
      </c>
      <c r="BT230" s="136">
        <f t="shared" si="473"/>
        <v>0</v>
      </c>
      <c r="BU230" s="136">
        <f t="shared" si="473"/>
        <v>0</v>
      </c>
      <c r="BV230" s="136">
        <f t="shared" si="473"/>
        <v>0</v>
      </c>
      <c r="BW230" s="136">
        <f t="shared" si="473"/>
        <v>0</v>
      </c>
      <c r="BX230" s="136">
        <f t="shared" si="473"/>
        <v>0</v>
      </c>
      <c r="BY230" s="136">
        <f t="shared" si="473"/>
        <v>0.27674833258801229</v>
      </c>
      <c r="BZ230" s="136">
        <f t="shared" si="473"/>
        <v>0.2962859194289148</v>
      </c>
      <c r="CA230" s="136">
        <f t="shared" si="473"/>
        <v>0.31720822095051876</v>
      </c>
      <c r="CB230" s="136">
        <f t="shared" si="473"/>
        <v>1.4672034954748643</v>
      </c>
      <c r="CC230" s="136">
        <f t="shared" si="473"/>
        <v>1.5710772689570971</v>
      </c>
      <c r="CD230" s="136">
        <f t="shared" si="473"/>
        <v>1.6823195315132453</v>
      </c>
      <c r="CE230" s="136">
        <f t="shared" si="473"/>
        <v>1.8014533017930046</v>
      </c>
      <c r="CF230" s="136">
        <f t="shared" si="473"/>
        <v>1.7039083011035963</v>
      </c>
      <c r="CG230" s="136">
        <f t="shared" si="473"/>
        <v>1.8247234168492594</v>
      </c>
      <c r="CH230" s="136">
        <f t="shared" si="473"/>
        <v>1.954112833592945</v>
      </c>
      <c r="CI230" s="136">
        <f t="shared" si="473"/>
        <v>2.0926852481166751</v>
      </c>
      <c r="CJ230" s="136">
        <f t="shared" si="473"/>
        <v>3.8931931966219917</v>
      </c>
      <c r="CK230" s="136">
        <f t="shared" si="473"/>
        <v>4.1695154383825521</v>
      </c>
      <c r="CL230" s="136">
        <f t="shared" si="473"/>
        <v>4.4654544808537198</v>
      </c>
      <c r="CM230" s="136">
        <f t="shared" si="473"/>
        <v>0</v>
      </c>
      <c r="CN230" s="136">
        <f t="shared" si="473"/>
        <v>0</v>
      </c>
      <c r="CO230" s="136">
        <f t="shared" si="473"/>
        <v>0</v>
      </c>
      <c r="CP230" s="136">
        <f t="shared" si="473"/>
        <v>0</v>
      </c>
      <c r="CQ230" s="136">
        <f t="shared" si="473"/>
        <v>0</v>
      </c>
      <c r="CR230" s="137">
        <f t="shared" si="455"/>
        <v>27.515888986226397</v>
      </c>
      <c r="CS230" s="26"/>
      <c r="CT230" s="25"/>
    </row>
    <row r="231" spans="1:98" x14ac:dyDescent="0.3">
      <c r="A231" s="104" t="str">
        <f t="shared" ref="A231:I231" si="474">A19</f>
        <v>Orewa-Hibiscus</v>
      </c>
      <c r="B231" s="104" t="str">
        <f t="shared" si="474"/>
        <v>Hibiscus</v>
      </c>
      <c r="C231" s="104">
        <f t="shared" si="474"/>
        <v>0</v>
      </c>
      <c r="D231" s="104" t="str">
        <f t="shared" si="474"/>
        <v>Orewa Millwater LZ</v>
      </c>
      <c r="E231" s="142" t="str">
        <f t="shared" si="474"/>
        <v>SUL, unk, Arran Pt</v>
      </c>
      <c r="F231" s="142">
        <f t="shared" si="474"/>
        <v>1</v>
      </c>
      <c r="G231" s="104">
        <f t="shared" si="474"/>
        <v>0</v>
      </c>
      <c r="H231" s="104">
        <f t="shared" si="474"/>
        <v>0</v>
      </c>
      <c r="I231" s="104">
        <f t="shared" si="474"/>
        <v>0</v>
      </c>
      <c r="J231" s="104"/>
      <c r="K231" s="104"/>
      <c r="L231" s="104"/>
      <c r="M231" s="104"/>
      <c r="N231" s="104"/>
      <c r="O231" s="104"/>
      <c r="P231" s="104"/>
      <c r="Q231" s="104"/>
      <c r="R231" s="104"/>
      <c r="S231" s="104"/>
      <c r="T231" s="104"/>
      <c r="U231" s="104"/>
      <c r="V231" s="104"/>
      <c r="W231" s="104"/>
      <c r="X231" s="104"/>
      <c r="Y231" s="104"/>
      <c r="Z231" s="104"/>
      <c r="AA231" s="104"/>
      <c r="AB231" s="104"/>
      <c r="AC231" s="104"/>
      <c r="AD231" s="104"/>
      <c r="AE231" s="104"/>
      <c r="AF231" s="104"/>
      <c r="AG231" s="104"/>
      <c r="AH231" s="104"/>
      <c r="AI231" s="104"/>
      <c r="AJ231" s="104"/>
      <c r="AK231" s="104"/>
      <c r="AL231" s="104"/>
      <c r="AM231" s="104"/>
      <c r="AN231" s="104"/>
      <c r="AO231" s="104"/>
      <c r="AP231" s="104"/>
      <c r="AQ231" s="104"/>
      <c r="AR231" s="104"/>
      <c r="AS231" s="104"/>
      <c r="AT231" s="104"/>
      <c r="AU231" s="104"/>
      <c r="AV231" s="104"/>
      <c r="AW231" s="104"/>
      <c r="AX231" s="104"/>
      <c r="AY231" s="104"/>
      <c r="AZ231" s="104"/>
      <c r="BA231" s="104"/>
      <c r="BB231" s="104"/>
      <c r="BC231" s="104"/>
      <c r="BD231" s="104"/>
      <c r="BE231" s="104"/>
      <c r="BF231" s="104"/>
      <c r="BG231" s="104"/>
      <c r="BH231" s="104"/>
      <c r="BI231" s="104"/>
      <c r="BJ231" s="104"/>
      <c r="BK231" s="104"/>
      <c r="BL231" s="157">
        <f t="shared" ref="BL231:CQ231" si="475">BL19+BL134</f>
        <v>0</v>
      </c>
      <c r="BM231" s="157">
        <f t="shared" si="475"/>
        <v>0</v>
      </c>
      <c r="BN231" s="157">
        <f t="shared" si="475"/>
        <v>0</v>
      </c>
      <c r="BO231" s="157">
        <f t="shared" si="475"/>
        <v>0.96528043255594775</v>
      </c>
      <c r="BP231" s="157">
        <f t="shared" si="475"/>
        <v>1.0332171396893557</v>
      </c>
      <c r="BQ231" s="157">
        <f t="shared" si="475"/>
        <v>1.1059641925505181</v>
      </c>
      <c r="BR231" s="157">
        <f t="shared" si="475"/>
        <v>0</v>
      </c>
      <c r="BS231" s="157">
        <f t="shared" si="475"/>
        <v>0</v>
      </c>
      <c r="BT231" s="157">
        <f t="shared" si="475"/>
        <v>0</v>
      </c>
      <c r="BU231" s="157">
        <f t="shared" si="475"/>
        <v>0</v>
      </c>
      <c r="BV231" s="157">
        <f t="shared" si="475"/>
        <v>0</v>
      </c>
      <c r="BW231" s="157">
        <f t="shared" si="475"/>
        <v>0</v>
      </c>
      <c r="BX231" s="157">
        <f t="shared" si="475"/>
        <v>0</v>
      </c>
      <c r="BY231" s="157">
        <f t="shared" si="475"/>
        <v>0</v>
      </c>
      <c r="BZ231" s="157">
        <f t="shared" si="475"/>
        <v>0</v>
      </c>
      <c r="CA231" s="157">
        <f t="shared" si="475"/>
        <v>0</v>
      </c>
      <c r="CB231" s="157">
        <f t="shared" si="475"/>
        <v>0</v>
      </c>
      <c r="CC231" s="157">
        <f t="shared" si="475"/>
        <v>0</v>
      </c>
      <c r="CD231" s="157">
        <f t="shared" si="475"/>
        <v>0</v>
      </c>
      <c r="CE231" s="157">
        <f t="shared" si="475"/>
        <v>0</v>
      </c>
      <c r="CF231" s="157">
        <f t="shared" si="475"/>
        <v>0</v>
      </c>
      <c r="CG231" s="157">
        <f t="shared" si="475"/>
        <v>0</v>
      </c>
      <c r="CH231" s="157">
        <f t="shared" si="475"/>
        <v>0</v>
      </c>
      <c r="CI231" s="157">
        <f t="shared" si="475"/>
        <v>0</v>
      </c>
      <c r="CJ231" s="157">
        <f t="shared" si="475"/>
        <v>0</v>
      </c>
      <c r="CK231" s="157">
        <f t="shared" si="475"/>
        <v>0</v>
      </c>
      <c r="CL231" s="157">
        <f t="shared" si="475"/>
        <v>0</v>
      </c>
      <c r="CM231" s="157">
        <f t="shared" si="475"/>
        <v>0</v>
      </c>
      <c r="CN231" s="157">
        <f t="shared" si="475"/>
        <v>0</v>
      </c>
      <c r="CO231" s="157">
        <f t="shared" si="475"/>
        <v>0</v>
      </c>
      <c r="CP231" s="157">
        <f t="shared" si="475"/>
        <v>0</v>
      </c>
      <c r="CQ231" s="157">
        <f t="shared" si="475"/>
        <v>0</v>
      </c>
      <c r="CR231" s="158">
        <f t="shared" si="455"/>
        <v>3.1044617647958219</v>
      </c>
      <c r="CS231" s="26"/>
      <c r="CT231" s="25"/>
    </row>
    <row r="232" spans="1:98" x14ac:dyDescent="0.3">
      <c r="A232" s="142" t="str">
        <f t="shared" ref="A232:I232" si="476">A20</f>
        <v>spec'd price</v>
      </c>
      <c r="B232" s="104" t="str">
        <f t="shared" si="476"/>
        <v>Hibiscus</v>
      </c>
      <c r="C232" s="104">
        <f t="shared" si="476"/>
        <v>0</v>
      </c>
      <c r="D232" s="104" t="str">
        <f t="shared" si="476"/>
        <v>Orewa Millwater LZ</v>
      </c>
      <c r="E232" s="142" t="str">
        <f t="shared" si="476"/>
        <v>Rockpool, 7015m2, $2.327m</v>
      </c>
      <c r="F232" s="142">
        <f t="shared" si="476"/>
        <v>1.7537499999999999</v>
      </c>
      <c r="G232" s="104">
        <f t="shared" si="476"/>
        <v>0</v>
      </c>
      <c r="H232" s="104">
        <f t="shared" si="476"/>
        <v>0</v>
      </c>
      <c r="I232" s="104">
        <f t="shared" si="476"/>
        <v>0</v>
      </c>
      <c r="J232" s="104"/>
      <c r="K232" s="104"/>
      <c r="L232" s="104"/>
      <c r="M232" s="104"/>
      <c r="N232" s="104"/>
      <c r="O232" s="104"/>
      <c r="P232" s="104"/>
      <c r="Q232" s="104"/>
      <c r="R232" s="104"/>
      <c r="S232" s="104"/>
      <c r="T232" s="104"/>
      <c r="U232" s="104"/>
      <c r="V232" s="104"/>
      <c r="W232" s="104"/>
      <c r="X232" s="104"/>
      <c r="Y232" s="104"/>
      <c r="Z232" s="104"/>
      <c r="AA232" s="104"/>
      <c r="AB232" s="104"/>
      <c r="AC232" s="104"/>
      <c r="AD232" s="104"/>
      <c r="AE232" s="104"/>
      <c r="AF232" s="104"/>
      <c r="AG232" s="104"/>
      <c r="AH232" s="104"/>
      <c r="AI232" s="104"/>
      <c r="AJ232" s="104"/>
      <c r="AK232" s="104"/>
      <c r="AL232" s="104"/>
      <c r="AM232" s="104"/>
      <c r="AN232" s="104"/>
      <c r="AO232" s="104"/>
      <c r="AP232" s="104"/>
      <c r="AQ232" s="104"/>
      <c r="AR232" s="104"/>
      <c r="AS232" s="104"/>
      <c r="AT232" s="104"/>
      <c r="AU232" s="104"/>
      <c r="AV232" s="104"/>
      <c r="AW232" s="104"/>
      <c r="AX232" s="104"/>
      <c r="AY232" s="104"/>
      <c r="AZ232" s="104"/>
      <c r="BA232" s="104"/>
      <c r="BB232" s="104"/>
      <c r="BC232" s="104"/>
      <c r="BD232" s="104"/>
      <c r="BE232" s="104"/>
      <c r="BF232" s="104"/>
      <c r="BG232" s="104"/>
      <c r="BH232" s="104"/>
      <c r="BI232" s="104"/>
      <c r="BJ232" s="104"/>
      <c r="BK232" s="104"/>
      <c r="BL232" s="157">
        <f t="shared" ref="BL232:CQ232" si="477">BL20+BL135</f>
        <v>0.81979585713333325</v>
      </c>
      <c r="BM232" s="157">
        <f t="shared" si="477"/>
        <v>0.87635237775206676</v>
      </c>
      <c r="BN232" s="157">
        <f t="shared" si="477"/>
        <v>0.91378087921346607</v>
      </c>
      <c r="BO232" s="157">
        <f t="shared" si="477"/>
        <v>0</v>
      </c>
      <c r="BP232" s="157">
        <f t="shared" si="477"/>
        <v>0</v>
      </c>
      <c r="BQ232" s="157">
        <f t="shared" si="477"/>
        <v>0</v>
      </c>
      <c r="BR232" s="157">
        <f t="shared" si="477"/>
        <v>0</v>
      </c>
      <c r="BS232" s="157">
        <f t="shared" si="477"/>
        <v>0</v>
      </c>
      <c r="BT232" s="157">
        <f t="shared" si="477"/>
        <v>0</v>
      </c>
      <c r="BU232" s="157">
        <f t="shared" si="477"/>
        <v>0</v>
      </c>
      <c r="BV232" s="157">
        <f t="shared" si="477"/>
        <v>0</v>
      </c>
      <c r="BW232" s="157">
        <f t="shared" si="477"/>
        <v>0</v>
      </c>
      <c r="BX232" s="157">
        <f t="shared" si="477"/>
        <v>0</v>
      </c>
      <c r="BY232" s="157">
        <f t="shared" si="477"/>
        <v>0</v>
      </c>
      <c r="BZ232" s="157">
        <f t="shared" si="477"/>
        <v>0</v>
      </c>
      <c r="CA232" s="157">
        <f t="shared" si="477"/>
        <v>0</v>
      </c>
      <c r="CB232" s="157">
        <f t="shared" si="477"/>
        <v>0</v>
      </c>
      <c r="CC232" s="157">
        <f t="shared" si="477"/>
        <v>0</v>
      </c>
      <c r="CD232" s="157">
        <f t="shared" si="477"/>
        <v>0</v>
      </c>
      <c r="CE232" s="157">
        <f t="shared" si="477"/>
        <v>0</v>
      </c>
      <c r="CF232" s="157">
        <f t="shared" si="477"/>
        <v>0</v>
      </c>
      <c r="CG232" s="157">
        <f t="shared" si="477"/>
        <v>0</v>
      </c>
      <c r="CH232" s="157">
        <f t="shared" si="477"/>
        <v>0</v>
      </c>
      <c r="CI232" s="157">
        <f t="shared" si="477"/>
        <v>0</v>
      </c>
      <c r="CJ232" s="157">
        <f t="shared" si="477"/>
        <v>0</v>
      </c>
      <c r="CK232" s="157">
        <f t="shared" si="477"/>
        <v>0</v>
      </c>
      <c r="CL232" s="157">
        <f t="shared" si="477"/>
        <v>0</v>
      </c>
      <c r="CM232" s="157">
        <f t="shared" si="477"/>
        <v>0</v>
      </c>
      <c r="CN232" s="157">
        <f t="shared" si="477"/>
        <v>0</v>
      </c>
      <c r="CO232" s="157">
        <f t="shared" si="477"/>
        <v>0</v>
      </c>
      <c r="CP232" s="157">
        <f t="shared" si="477"/>
        <v>0</v>
      </c>
      <c r="CQ232" s="157">
        <f t="shared" si="477"/>
        <v>0</v>
      </c>
      <c r="CR232" s="158">
        <f t="shared" si="455"/>
        <v>2.6099291140988661</v>
      </c>
      <c r="CS232" s="26"/>
      <c r="CT232" s="25"/>
    </row>
    <row r="233" spans="1:98" x14ac:dyDescent="0.3">
      <c r="A233" s="142" t="str">
        <f t="shared" ref="A233:I233" si="478">A21</f>
        <v>spec'd price</v>
      </c>
      <c r="B233" s="104" t="str">
        <f t="shared" si="478"/>
        <v>Hibiscus</v>
      </c>
      <c r="C233" s="104">
        <f t="shared" si="478"/>
        <v>0</v>
      </c>
      <c r="D233" s="104" t="str">
        <f t="shared" si="478"/>
        <v>Orewa Millwater LZ</v>
      </c>
      <c r="E233" s="142" t="str">
        <f t="shared" si="478"/>
        <v>256WestH, 3000m2 $1.4m</v>
      </c>
      <c r="F233" s="142">
        <f t="shared" si="478"/>
        <v>0.75</v>
      </c>
      <c r="G233" s="104">
        <f t="shared" si="478"/>
        <v>0</v>
      </c>
      <c r="H233" s="104">
        <f t="shared" si="478"/>
        <v>0</v>
      </c>
      <c r="I233" s="104">
        <f t="shared" si="478"/>
        <v>0</v>
      </c>
      <c r="J233" s="104"/>
      <c r="K233" s="104"/>
      <c r="L233" s="104"/>
      <c r="M233" s="104"/>
      <c r="N233" s="104"/>
      <c r="O233" s="104"/>
      <c r="P233" s="104"/>
      <c r="Q233" s="104"/>
      <c r="R233" s="104"/>
      <c r="S233" s="104"/>
      <c r="T233" s="104"/>
      <c r="U233" s="104"/>
      <c r="V233" s="104"/>
      <c r="W233" s="104"/>
      <c r="X233" s="104"/>
      <c r="Y233" s="104"/>
      <c r="Z233" s="104"/>
      <c r="AA233" s="104"/>
      <c r="AB233" s="104"/>
      <c r="AC233" s="104"/>
      <c r="AD233" s="104"/>
      <c r="AE233" s="104"/>
      <c r="AF233" s="104"/>
      <c r="AG233" s="104"/>
      <c r="AH233" s="104"/>
      <c r="AI233" s="104"/>
      <c r="AJ233" s="104"/>
      <c r="AK233" s="104"/>
      <c r="AL233" s="104"/>
      <c r="AM233" s="104"/>
      <c r="AN233" s="104"/>
      <c r="AO233" s="104"/>
      <c r="AP233" s="104"/>
      <c r="AQ233" s="104"/>
      <c r="AR233" s="104"/>
      <c r="AS233" s="104"/>
      <c r="AT233" s="104"/>
      <c r="AU233" s="104"/>
      <c r="AV233" s="104"/>
      <c r="AW233" s="104"/>
      <c r="AX233" s="104"/>
      <c r="AY233" s="104"/>
      <c r="AZ233" s="104"/>
      <c r="BA233" s="104"/>
      <c r="BB233" s="104"/>
      <c r="BC233" s="104"/>
      <c r="BD233" s="104"/>
      <c r="BE233" s="104"/>
      <c r="BF233" s="104"/>
      <c r="BG233" s="104"/>
      <c r="BH233" s="104"/>
      <c r="BI233" s="104"/>
      <c r="BJ233" s="104"/>
      <c r="BK233" s="104"/>
      <c r="BL233" s="157">
        <f t="shared" ref="BL233:CQ233" si="479">BL21+BL136</f>
        <v>0.49093859523333333</v>
      </c>
      <c r="BM233" s="157">
        <f t="shared" si="479"/>
        <v>0.52488970220936659</v>
      </c>
      <c r="BN233" s="157">
        <f t="shared" si="479"/>
        <v>0.54733263401339971</v>
      </c>
      <c r="BO233" s="157">
        <f t="shared" si="479"/>
        <v>0</v>
      </c>
      <c r="BP233" s="157">
        <f t="shared" si="479"/>
        <v>0</v>
      </c>
      <c r="BQ233" s="157">
        <f t="shared" si="479"/>
        <v>0</v>
      </c>
      <c r="BR233" s="157">
        <f t="shared" si="479"/>
        <v>0</v>
      </c>
      <c r="BS233" s="157">
        <f t="shared" si="479"/>
        <v>0</v>
      </c>
      <c r="BT233" s="157">
        <f t="shared" si="479"/>
        <v>0</v>
      </c>
      <c r="BU233" s="157">
        <f t="shared" si="479"/>
        <v>0</v>
      </c>
      <c r="BV233" s="157">
        <f t="shared" si="479"/>
        <v>0</v>
      </c>
      <c r="BW233" s="157">
        <f t="shared" si="479"/>
        <v>0</v>
      </c>
      <c r="BX233" s="157">
        <f t="shared" si="479"/>
        <v>0</v>
      </c>
      <c r="BY233" s="157">
        <f t="shared" si="479"/>
        <v>0</v>
      </c>
      <c r="BZ233" s="157">
        <f t="shared" si="479"/>
        <v>0</v>
      </c>
      <c r="CA233" s="157">
        <f t="shared" si="479"/>
        <v>0</v>
      </c>
      <c r="CB233" s="157">
        <f t="shared" si="479"/>
        <v>0</v>
      </c>
      <c r="CC233" s="157">
        <f t="shared" si="479"/>
        <v>0</v>
      </c>
      <c r="CD233" s="157">
        <f t="shared" si="479"/>
        <v>0</v>
      </c>
      <c r="CE233" s="157">
        <f t="shared" si="479"/>
        <v>0</v>
      </c>
      <c r="CF233" s="157">
        <f t="shared" si="479"/>
        <v>0</v>
      </c>
      <c r="CG233" s="157">
        <f t="shared" si="479"/>
        <v>0</v>
      </c>
      <c r="CH233" s="157">
        <f t="shared" si="479"/>
        <v>0</v>
      </c>
      <c r="CI233" s="157">
        <f t="shared" si="479"/>
        <v>0</v>
      </c>
      <c r="CJ233" s="157">
        <f t="shared" si="479"/>
        <v>0</v>
      </c>
      <c r="CK233" s="157">
        <f t="shared" si="479"/>
        <v>0</v>
      </c>
      <c r="CL233" s="157">
        <f t="shared" si="479"/>
        <v>0</v>
      </c>
      <c r="CM233" s="157">
        <f t="shared" si="479"/>
        <v>0</v>
      </c>
      <c r="CN233" s="157">
        <f t="shared" si="479"/>
        <v>0</v>
      </c>
      <c r="CO233" s="157">
        <f t="shared" si="479"/>
        <v>0</v>
      </c>
      <c r="CP233" s="157">
        <f t="shared" si="479"/>
        <v>0</v>
      </c>
      <c r="CQ233" s="157">
        <f t="shared" si="479"/>
        <v>0</v>
      </c>
      <c r="CR233" s="158">
        <f t="shared" si="455"/>
        <v>1.5631609314560997</v>
      </c>
      <c r="CS233" s="26"/>
      <c r="CT233" s="25"/>
    </row>
    <row r="234" spans="1:98" x14ac:dyDescent="0.3">
      <c r="A234" s="104" t="str">
        <f t="shared" ref="A234:I234" si="480">A22</f>
        <v>Gulf Harbour</v>
      </c>
      <c r="B234" s="104" t="str">
        <f t="shared" si="480"/>
        <v>Hibiscus</v>
      </c>
      <c r="C234" s="104">
        <f t="shared" si="480"/>
        <v>0</v>
      </c>
      <c r="D234" s="104" t="str">
        <f t="shared" si="480"/>
        <v xml:space="preserve">Gulf Harbour </v>
      </c>
      <c r="E234" s="104" t="str">
        <f t="shared" si="480"/>
        <v>outside LTP to delivere 71% constraint for Hibiscus</v>
      </c>
      <c r="F234" s="104">
        <f t="shared" si="480"/>
        <v>1</v>
      </c>
      <c r="G234" s="104">
        <f t="shared" si="480"/>
        <v>0</v>
      </c>
      <c r="H234" s="104">
        <f t="shared" si="480"/>
        <v>0</v>
      </c>
      <c r="I234" s="104">
        <f t="shared" si="480"/>
        <v>0</v>
      </c>
      <c r="J234" s="104"/>
      <c r="K234" s="104"/>
      <c r="L234" s="104"/>
      <c r="M234" s="104"/>
      <c r="N234" s="104"/>
      <c r="O234" s="104"/>
      <c r="P234" s="104"/>
      <c r="Q234" s="104"/>
      <c r="R234" s="104"/>
      <c r="S234" s="104"/>
      <c r="T234" s="104"/>
      <c r="U234" s="104"/>
      <c r="V234" s="104"/>
      <c r="W234" s="104"/>
      <c r="X234" s="104"/>
      <c r="Y234" s="104"/>
      <c r="Z234" s="104"/>
      <c r="AA234" s="104"/>
      <c r="AB234" s="104"/>
      <c r="AC234" s="104"/>
      <c r="AD234" s="104"/>
      <c r="AE234" s="104"/>
      <c r="AF234" s="104"/>
      <c r="AG234" s="104"/>
      <c r="AH234" s="104"/>
      <c r="AI234" s="104"/>
      <c r="AJ234" s="104"/>
      <c r="AK234" s="104"/>
      <c r="AL234" s="104"/>
      <c r="AM234" s="104"/>
      <c r="AN234" s="104"/>
      <c r="AO234" s="104"/>
      <c r="AP234" s="104"/>
      <c r="AQ234" s="104"/>
      <c r="AR234" s="104"/>
      <c r="AS234" s="104"/>
      <c r="AT234" s="104"/>
      <c r="AU234" s="104"/>
      <c r="AV234" s="104"/>
      <c r="AW234" s="104"/>
      <c r="AX234" s="104"/>
      <c r="AY234" s="104"/>
      <c r="AZ234" s="104"/>
      <c r="BA234" s="104"/>
      <c r="BB234" s="104"/>
      <c r="BC234" s="104"/>
      <c r="BD234" s="104"/>
      <c r="BE234" s="104"/>
      <c r="BF234" s="104"/>
      <c r="BG234" s="104"/>
      <c r="BH234" s="104"/>
      <c r="BI234" s="104"/>
      <c r="BJ234" s="104"/>
      <c r="BK234" s="104"/>
      <c r="BL234" s="136">
        <f t="shared" ref="BL234:CQ234" si="481">BL22+BL137</f>
        <v>0</v>
      </c>
      <c r="BM234" s="136">
        <f t="shared" si="481"/>
        <v>0</v>
      </c>
      <c r="BN234" s="136">
        <f t="shared" si="481"/>
        <v>0</v>
      </c>
      <c r="BO234" s="136">
        <f t="shared" si="481"/>
        <v>0</v>
      </c>
      <c r="BP234" s="136">
        <f t="shared" si="481"/>
        <v>0</v>
      </c>
      <c r="BQ234" s="136">
        <f t="shared" si="481"/>
        <v>0</v>
      </c>
      <c r="BR234" s="136">
        <f t="shared" si="481"/>
        <v>0</v>
      </c>
      <c r="BS234" s="136">
        <f t="shared" si="481"/>
        <v>0</v>
      </c>
      <c r="BT234" s="136">
        <f t="shared" si="481"/>
        <v>0</v>
      </c>
      <c r="BU234" s="136">
        <f t="shared" si="481"/>
        <v>0</v>
      </c>
      <c r="BV234" s="136">
        <f t="shared" si="481"/>
        <v>1.0028063869566644</v>
      </c>
      <c r="BW234" s="136">
        <f t="shared" si="481"/>
        <v>1.0869863838371769</v>
      </c>
      <c r="BX234" s="136">
        <f t="shared" si="481"/>
        <v>1.1802952680244354</v>
      </c>
      <c r="BY234" s="136">
        <f t="shared" si="481"/>
        <v>1.2126463761194093</v>
      </c>
      <c r="BZ234" s="136">
        <f t="shared" si="481"/>
        <v>0.61542700299775677</v>
      </c>
      <c r="CA234" s="136">
        <f t="shared" si="481"/>
        <v>0.70845134652828134</v>
      </c>
      <c r="CB234" s="136">
        <f t="shared" si="481"/>
        <v>3.4439499343349858</v>
      </c>
      <c r="CC234" s="136">
        <f t="shared" si="481"/>
        <v>3.6879022217588866</v>
      </c>
      <c r="CD234" s="136">
        <f t="shared" si="481"/>
        <v>0</v>
      </c>
      <c r="CE234" s="136">
        <f t="shared" si="481"/>
        <v>0</v>
      </c>
      <c r="CF234" s="136">
        <f t="shared" si="481"/>
        <v>0</v>
      </c>
      <c r="CG234" s="136">
        <f t="shared" si="481"/>
        <v>0</v>
      </c>
      <c r="CH234" s="136">
        <f t="shared" si="481"/>
        <v>0</v>
      </c>
      <c r="CI234" s="136">
        <f t="shared" si="481"/>
        <v>0</v>
      </c>
      <c r="CJ234" s="136">
        <f t="shared" si="481"/>
        <v>0</v>
      </c>
      <c r="CK234" s="136">
        <f t="shared" si="481"/>
        <v>0</v>
      </c>
      <c r="CL234" s="136">
        <f t="shared" si="481"/>
        <v>0</v>
      </c>
      <c r="CM234" s="136">
        <f t="shared" si="481"/>
        <v>0</v>
      </c>
      <c r="CN234" s="136">
        <f t="shared" si="481"/>
        <v>0</v>
      </c>
      <c r="CO234" s="136">
        <f t="shared" si="481"/>
        <v>0</v>
      </c>
      <c r="CP234" s="136">
        <f t="shared" si="481"/>
        <v>0</v>
      </c>
      <c r="CQ234" s="136">
        <f t="shared" si="481"/>
        <v>0</v>
      </c>
      <c r="CR234" s="137">
        <f t="shared" ref="CR234" si="482">SUM(BL234:CQ234)</f>
        <v>12.938464920557598</v>
      </c>
      <c r="CS234" s="26"/>
      <c r="CT234" s="25"/>
    </row>
    <row r="235" spans="1:98" x14ac:dyDescent="0.3">
      <c r="A235" s="104" t="str">
        <f t="shared" ref="A235:I235" si="483">A23</f>
        <v>Orewa-Hibiscus</v>
      </c>
      <c r="B235" s="104" t="str">
        <f t="shared" si="483"/>
        <v>Dairy Flat (incl W.East new)</v>
      </c>
      <c r="C235" s="104">
        <f t="shared" si="483"/>
        <v>0</v>
      </c>
      <c r="D235" s="104" t="str">
        <f t="shared" si="483"/>
        <v>Upper Orewa</v>
      </c>
      <c r="E235" s="104">
        <f t="shared" si="483"/>
        <v>0</v>
      </c>
      <c r="F235" s="104">
        <f t="shared" si="483"/>
        <v>11</v>
      </c>
      <c r="G235" s="104">
        <f t="shared" si="483"/>
        <v>0</v>
      </c>
      <c r="H235" s="104">
        <f t="shared" si="483"/>
        <v>0</v>
      </c>
      <c r="I235" s="104">
        <f t="shared" si="483"/>
        <v>0</v>
      </c>
      <c r="J235" s="104"/>
      <c r="K235" s="104"/>
      <c r="L235" s="104"/>
      <c r="M235" s="104"/>
      <c r="N235" s="104"/>
      <c r="O235" s="104"/>
      <c r="P235" s="104"/>
      <c r="Q235" s="104"/>
      <c r="R235" s="104"/>
      <c r="S235" s="104"/>
      <c r="T235" s="104"/>
      <c r="U235" s="104"/>
      <c r="V235" s="104"/>
      <c r="W235" s="104"/>
      <c r="X235" s="104"/>
      <c r="Y235" s="104"/>
      <c r="Z235" s="104"/>
      <c r="AA235" s="104"/>
      <c r="AB235" s="104"/>
      <c r="AC235" s="104"/>
      <c r="AD235" s="104"/>
      <c r="AE235" s="104"/>
      <c r="AF235" s="104"/>
      <c r="AG235" s="104"/>
      <c r="AH235" s="104"/>
      <c r="AI235" s="104"/>
      <c r="AJ235" s="104"/>
      <c r="AK235" s="104"/>
      <c r="AL235" s="104"/>
      <c r="AM235" s="104"/>
      <c r="AN235" s="104"/>
      <c r="AO235" s="104"/>
      <c r="AP235" s="104"/>
      <c r="AQ235" s="104"/>
      <c r="AR235" s="104"/>
      <c r="AS235" s="104"/>
      <c r="AT235" s="104"/>
      <c r="AU235" s="104"/>
      <c r="AV235" s="104"/>
      <c r="AW235" s="104"/>
      <c r="AX235" s="104"/>
      <c r="AY235" s="104"/>
      <c r="AZ235" s="104"/>
      <c r="BA235" s="104"/>
      <c r="BB235" s="104"/>
      <c r="BC235" s="104"/>
      <c r="BD235" s="104"/>
      <c r="BE235" s="104"/>
      <c r="BF235" s="104"/>
      <c r="BG235" s="104"/>
      <c r="BH235" s="104"/>
      <c r="BI235" s="104"/>
      <c r="BJ235" s="104"/>
      <c r="BK235" s="104"/>
      <c r="BL235" s="136">
        <f t="shared" ref="BL235:CQ235" si="484">BL23+BL138</f>
        <v>0</v>
      </c>
      <c r="BM235" s="136">
        <f t="shared" si="484"/>
        <v>0</v>
      </c>
      <c r="BN235" s="136">
        <f t="shared" si="484"/>
        <v>0</v>
      </c>
      <c r="BO235" s="136">
        <f t="shared" si="484"/>
        <v>0</v>
      </c>
      <c r="BP235" s="136">
        <f t="shared" si="484"/>
        <v>0</v>
      </c>
      <c r="BQ235" s="136">
        <f t="shared" si="484"/>
        <v>0</v>
      </c>
      <c r="BR235" s="136">
        <f t="shared" si="484"/>
        <v>0</v>
      </c>
      <c r="BS235" s="136">
        <f t="shared" si="484"/>
        <v>0</v>
      </c>
      <c r="BT235" s="136">
        <f t="shared" si="484"/>
        <v>0</v>
      </c>
      <c r="BU235" s="136">
        <f t="shared" si="484"/>
        <v>0</v>
      </c>
      <c r="BV235" s="136">
        <f t="shared" si="484"/>
        <v>0</v>
      </c>
      <c r="BW235" s="136">
        <f t="shared" si="484"/>
        <v>0</v>
      </c>
      <c r="BX235" s="136">
        <f t="shared" si="484"/>
        <v>0</v>
      </c>
      <c r="BY235" s="136">
        <f t="shared" si="484"/>
        <v>0</v>
      </c>
      <c r="BZ235" s="136">
        <f t="shared" si="484"/>
        <v>0</v>
      </c>
      <c r="CA235" s="136">
        <f t="shared" si="484"/>
        <v>0</v>
      </c>
      <c r="CB235" s="136">
        <f t="shared" si="484"/>
        <v>0</v>
      </c>
      <c r="CC235" s="136">
        <f t="shared" si="484"/>
        <v>0</v>
      </c>
      <c r="CD235" s="136">
        <f t="shared" si="484"/>
        <v>0</v>
      </c>
      <c r="CE235" s="136">
        <f t="shared" si="484"/>
        <v>0</v>
      </c>
      <c r="CF235" s="136">
        <f t="shared" si="484"/>
        <v>0</v>
      </c>
      <c r="CG235" s="136">
        <f t="shared" si="484"/>
        <v>2.1203803745304657</v>
      </c>
      <c r="CH235" s="136">
        <f t="shared" si="484"/>
        <v>2.2694670576191474</v>
      </c>
      <c r="CI235" s="136">
        <f t="shared" si="484"/>
        <v>2.4291067680900591</v>
      </c>
      <c r="CJ235" s="136">
        <f t="shared" si="484"/>
        <v>2.6000480640907648</v>
      </c>
      <c r="CK235" s="136">
        <f t="shared" si="484"/>
        <v>7.3836485696206307</v>
      </c>
      <c r="CL235" s="136">
        <f t="shared" si="484"/>
        <v>7.9054979151273672</v>
      </c>
      <c r="CM235" s="136">
        <f t="shared" si="484"/>
        <v>8.4643459907004832</v>
      </c>
      <c r="CN235" s="136">
        <f t="shared" si="484"/>
        <v>9.0628185495584717</v>
      </c>
      <c r="CO235" s="136">
        <f t="shared" si="484"/>
        <v>64.455052212285537</v>
      </c>
      <c r="CP235" s="136">
        <f t="shared" si="484"/>
        <v>69.02556749972652</v>
      </c>
      <c r="CQ235" s="136">
        <f t="shared" si="484"/>
        <v>73.920461917343914</v>
      </c>
      <c r="CR235" s="137">
        <f t="shared" si="455"/>
        <v>249.63639491869336</v>
      </c>
      <c r="CS235" s="26"/>
      <c r="CT235" s="25"/>
    </row>
    <row r="236" spans="1:98" x14ac:dyDescent="0.3">
      <c r="A236" s="104" t="str">
        <f t="shared" ref="A236:I236" si="485">A24</f>
        <v>Orewa-Hibiscus</v>
      </c>
      <c r="B236" s="104" t="str">
        <f t="shared" si="485"/>
        <v>Dairy Flat (incl W.East new)</v>
      </c>
      <c r="C236" s="104">
        <f t="shared" si="485"/>
        <v>0</v>
      </c>
      <c r="D236" s="104" t="str">
        <f t="shared" si="485"/>
        <v>Wainui East</v>
      </c>
      <c r="E236" s="104">
        <f t="shared" si="485"/>
        <v>0</v>
      </c>
      <c r="F236" s="104">
        <f t="shared" si="485"/>
        <v>8</v>
      </c>
      <c r="G236" s="104">
        <f t="shared" si="485"/>
        <v>0</v>
      </c>
      <c r="H236" s="104">
        <f t="shared" si="485"/>
        <v>0</v>
      </c>
      <c r="I236" s="104">
        <f t="shared" si="485"/>
        <v>0</v>
      </c>
      <c r="J236" s="104"/>
      <c r="K236" s="104"/>
      <c r="L236" s="104"/>
      <c r="M236" s="104"/>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4"/>
      <c r="AL236" s="104"/>
      <c r="AM236" s="104"/>
      <c r="AN236" s="104"/>
      <c r="AO236" s="104"/>
      <c r="AP236" s="104"/>
      <c r="AQ236" s="104"/>
      <c r="AR236" s="104"/>
      <c r="AS236" s="104"/>
      <c r="AT236" s="104"/>
      <c r="AU236" s="104"/>
      <c r="AV236" s="104"/>
      <c r="AW236" s="104"/>
      <c r="AX236" s="104"/>
      <c r="AY236" s="104"/>
      <c r="AZ236" s="104"/>
      <c r="BA236" s="104"/>
      <c r="BB236" s="104"/>
      <c r="BC236" s="104"/>
      <c r="BD236" s="104"/>
      <c r="BE236" s="104"/>
      <c r="BF236" s="104"/>
      <c r="BG236" s="104"/>
      <c r="BH236" s="104"/>
      <c r="BI236" s="104"/>
      <c r="BJ236" s="104"/>
      <c r="BK236" s="104"/>
      <c r="BL236" s="136">
        <f t="shared" ref="BL236:CQ236" si="486">BL24+BL139</f>
        <v>0</v>
      </c>
      <c r="BM236" s="136">
        <f t="shared" si="486"/>
        <v>0</v>
      </c>
      <c r="BN236" s="136">
        <f t="shared" si="486"/>
        <v>0</v>
      </c>
      <c r="BO236" s="136">
        <f t="shared" si="486"/>
        <v>0</v>
      </c>
      <c r="BP236" s="136">
        <f t="shared" si="486"/>
        <v>0</v>
      </c>
      <c r="BQ236" s="136">
        <f t="shared" si="486"/>
        <v>0</v>
      </c>
      <c r="BR236" s="136">
        <f t="shared" si="486"/>
        <v>0</v>
      </c>
      <c r="BS236" s="136">
        <f t="shared" si="486"/>
        <v>0</v>
      </c>
      <c r="BT236" s="136">
        <f t="shared" si="486"/>
        <v>0</v>
      </c>
      <c r="BU236" s="136">
        <f t="shared" si="486"/>
        <v>0</v>
      </c>
      <c r="BV236" s="136">
        <f t="shared" si="486"/>
        <v>0</v>
      </c>
      <c r="BW236" s="136">
        <f t="shared" si="486"/>
        <v>0</v>
      </c>
      <c r="BX236" s="136">
        <f t="shared" si="486"/>
        <v>0</v>
      </c>
      <c r="BY236" s="136">
        <f t="shared" si="486"/>
        <v>0</v>
      </c>
      <c r="BZ236" s="136">
        <f t="shared" si="486"/>
        <v>0</v>
      </c>
      <c r="CA236" s="136">
        <f t="shared" si="486"/>
        <v>0</v>
      </c>
      <c r="CB236" s="136">
        <f t="shared" si="486"/>
        <v>0</v>
      </c>
      <c r="CC236" s="136">
        <f t="shared" si="486"/>
        <v>0</v>
      </c>
      <c r="CD236" s="136">
        <f t="shared" si="486"/>
        <v>0</v>
      </c>
      <c r="CE236" s="136">
        <f t="shared" si="486"/>
        <v>0</v>
      </c>
      <c r="CF236" s="136">
        <f t="shared" si="486"/>
        <v>0</v>
      </c>
      <c r="CG236" s="136">
        <f t="shared" si="486"/>
        <v>1.5420948178403391</v>
      </c>
      <c r="CH236" s="136">
        <f t="shared" si="486"/>
        <v>1.650521496450289</v>
      </c>
      <c r="CI236" s="136">
        <f t="shared" si="486"/>
        <v>1.7666231040654976</v>
      </c>
      <c r="CJ236" s="136">
        <f t="shared" si="486"/>
        <v>1.8909440466114653</v>
      </c>
      <c r="CK236" s="136">
        <f t="shared" si="486"/>
        <v>5.3699262324513679</v>
      </c>
      <c r="CL236" s="136">
        <f t="shared" si="486"/>
        <v>5.7494530291835391</v>
      </c>
      <c r="CM236" s="136">
        <f t="shared" si="486"/>
        <v>6.155887993236715</v>
      </c>
      <c r="CN236" s="136">
        <f t="shared" si="486"/>
        <v>6.5911407633152512</v>
      </c>
      <c r="CO236" s="136">
        <f t="shared" si="486"/>
        <v>46.876401608934927</v>
      </c>
      <c r="CP236" s="136">
        <f t="shared" si="486"/>
        <v>50.200412727073825</v>
      </c>
      <c r="CQ236" s="136">
        <f t="shared" si="486"/>
        <v>53.760335939886481</v>
      </c>
      <c r="CR236" s="137">
        <f t="shared" si="455"/>
        <v>181.5537417590497</v>
      </c>
      <c r="CS236" s="26"/>
      <c r="CT236" s="25"/>
    </row>
    <row r="237" spans="1:98" x14ac:dyDescent="0.3">
      <c r="A237" s="104" t="str">
        <f t="shared" ref="A237:I237" si="487">A25</f>
        <v>Orewa-Hibiscus</v>
      </c>
      <c r="B237" s="104" t="str">
        <f t="shared" si="487"/>
        <v>Dairy Flat (incl W.East new)</v>
      </c>
      <c r="C237" s="104">
        <f t="shared" si="487"/>
        <v>0</v>
      </c>
      <c r="D237" s="104" t="str">
        <f t="shared" si="487"/>
        <v>Wainui East</v>
      </c>
      <c r="E237" s="104">
        <f t="shared" si="487"/>
        <v>0</v>
      </c>
      <c r="F237" s="104">
        <f t="shared" si="487"/>
        <v>0</v>
      </c>
      <c r="G237" s="104">
        <f t="shared" si="487"/>
        <v>2</v>
      </c>
      <c r="H237" s="104">
        <f t="shared" si="487"/>
        <v>0</v>
      </c>
      <c r="I237" s="104">
        <f t="shared" si="487"/>
        <v>0</v>
      </c>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4"/>
      <c r="AL237" s="104"/>
      <c r="AM237" s="104"/>
      <c r="AN237" s="104"/>
      <c r="AO237" s="104"/>
      <c r="AP237" s="104"/>
      <c r="AQ237" s="104"/>
      <c r="AR237" s="104"/>
      <c r="AS237" s="104"/>
      <c r="AT237" s="104"/>
      <c r="AU237" s="104"/>
      <c r="AV237" s="104"/>
      <c r="AW237" s="104"/>
      <c r="AX237" s="104"/>
      <c r="AY237" s="104"/>
      <c r="AZ237" s="104"/>
      <c r="BA237" s="104"/>
      <c r="BB237" s="104"/>
      <c r="BC237" s="104"/>
      <c r="BD237" s="104"/>
      <c r="BE237" s="104"/>
      <c r="BF237" s="104"/>
      <c r="BG237" s="104"/>
      <c r="BH237" s="104"/>
      <c r="BI237" s="104"/>
      <c r="BJ237" s="104"/>
      <c r="BK237" s="104"/>
      <c r="BL237" s="136">
        <f t="shared" ref="BL237:CQ237" si="488">BL25+BL140</f>
        <v>0</v>
      </c>
      <c r="BM237" s="136">
        <f t="shared" si="488"/>
        <v>0</v>
      </c>
      <c r="BN237" s="136">
        <f t="shared" si="488"/>
        <v>0</v>
      </c>
      <c r="BO237" s="136">
        <f t="shared" si="488"/>
        <v>0</v>
      </c>
      <c r="BP237" s="136">
        <f t="shared" si="488"/>
        <v>0</v>
      </c>
      <c r="BQ237" s="136">
        <f t="shared" si="488"/>
        <v>0</v>
      </c>
      <c r="BR237" s="136">
        <f t="shared" si="488"/>
        <v>0</v>
      </c>
      <c r="BS237" s="136">
        <f t="shared" si="488"/>
        <v>0</v>
      </c>
      <c r="BT237" s="136">
        <f t="shared" si="488"/>
        <v>0</v>
      </c>
      <c r="BU237" s="136">
        <f t="shared" si="488"/>
        <v>0</v>
      </c>
      <c r="BV237" s="136">
        <f t="shared" si="488"/>
        <v>0</v>
      </c>
      <c r="BW237" s="136">
        <f t="shared" si="488"/>
        <v>0</v>
      </c>
      <c r="BX237" s="136">
        <f t="shared" si="488"/>
        <v>0</v>
      </c>
      <c r="BY237" s="136">
        <f t="shared" si="488"/>
        <v>0</v>
      </c>
      <c r="BZ237" s="136">
        <f t="shared" si="488"/>
        <v>0</v>
      </c>
      <c r="CA237" s="136">
        <f t="shared" si="488"/>
        <v>0</v>
      </c>
      <c r="CB237" s="136">
        <f t="shared" si="488"/>
        <v>0</v>
      </c>
      <c r="CC237" s="136">
        <f t="shared" si="488"/>
        <v>0</v>
      </c>
      <c r="CD237" s="136">
        <f t="shared" si="488"/>
        <v>0.88173966585222208</v>
      </c>
      <c r="CE237" s="136">
        <f t="shared" si="488"/>
        <v>0.9440944489615849</v>
      </c>
      <c r="CF237" s="136">
        <f t="shared" si="488"/>
        <v>1.0108709495420571</v>
      </c>
      <c r="CG237" s="136">
        <f t="shared" si="488"/>
        <v>7.1405165572408666</v>
      </c>
      <c r="CH237" s="136">
        <f t="shared" si="488"/>
        <v>7.6468294493945219</v>
      </c>
      <c r="CI237" s="136">
        <f t="shared" si="488"/>
        <v>8.1890759536560562</v>
      </c>
      <c r="CJ237" s="136">
        <f t="shared" si="488"/>
        <v>8.7698070352139599</v>
      </c>
      <c r="CK237" s="136">
        <f t="shared" si="488"/>
        <v>8.342479221550569</v>
      </c>
      <c r="CL237" s="136">
        <f t="shared" si="488"/>
        <v>8.9344331700781847</v>
      </c>
      <c r="CM237" s="136">
        <f t="shared" si="488"/>
        <v>9.5684078832748067</v>
      </c>
      <c r="CN237" s="136">
        <f t="shared" si="488"/>
        <v>10.247386660187054</v>
      </c>
      <c r="CO237" s="136">
        <f t="shared" si="488"/>
        <v>17.550704608839737</v>
      </c>
      <c r="CP237" s="136">
        <f t="shared" si="488"/>
        <v>18.796593966262581</v>
      </c>
      <c r="CQ237" s="136">
        <f t="shared" si="488"/>
        <v>20.130936833326746</v>
      </c>
      <c r="CR237" s="137">
        <f t="shared" si="455"/>
        <v>128.15387640338096</v>
      </c>
      <c r="CS237" s="26"/>
      <c r="CT237" s="25"/>
    </row>
    <row r="238" spans="1:98" x14ac:dyDescent="0.3">
      <c r="A238" s="104" t="str">
        <f t="shared" ref="A238:I238" si="489">A26</f>
        <v>Orewa-Hibiscus</v>
      </c>
      <c r="B238" s="104" t="str">
        <f t="shared" si="489"/>
        <v>Wainui east MD</v>
      </c>
      <c r="C238" s="104">
        <f t="shared" si="489"/>
        <v>0</v>
      </c>
      <c r="D238" s="104" t="str">
        <f t="shared" si="489"/>
        <v>Milldale LZ</v>
      </c>
      <c r="E238" s="104" t="str">
        <f t="shared" si="489"/>
        <v>to be acq, assume SULs</v>
      </c>
      <c r="F238" s="104">
        <f t="shared" si="489"/>
        <v>7</v>
      </c>
      <c r="G238" s="104">
        <f t="shared" si="489"/>
        <v>0</v>
      </c>
      <c r="H238" s="104">
        <f t="shared" si="489"/>
        <v>0</v>
      </c>
      <c r="I238" s="104">
        <f t="shared" si="489"/>
        <v>0</v>
      </c>
      <c r="J238" s="104"/>
      <c r="K238" s="104"/>
      <c r="L238" s="104"/>
      <c r="M238" s="104"/>
      <c r="N238" s="104"/>
      <c r="O238" s="104"/>
      <c r="P238" s="104"/>
      <c r="Q238" s="104"/>
      <c r="R238" s="104"/>
      <c r="S238" s="104"/>
      <c r="T238" s="104"/>
      <c r="U238" s="104"/>
      <c r="V238" s="104"/>
      <c r="W238" s="104"/>
      <c r="X238" s="104"/>
      <c r="Y238" s="104"/>
      <c r="Z238" s="104"/>
      <c r="AA238" s="104"/>
      <c r="AB238" s="104"/>
      <c r="AC238" s="104"/>
      <c r="AD238" s="104"/>
      <c r="AE238" s="104"/>
      <c r="AF238" s="104"/>
      <c r="AG238" s="104"/>
      <c r="AH238" s="104"/>
      <c r="AI238" s="104"/>
      <c r="AJ238" s="104"/>
      <c r="AK238" s="104"/>
      <c r="AL238" s="104"/>
      <c r="AM238" s="104"/>
      <c r="AN238" s="104"/>
      <c r="AO238" s="104"/>
      <c r="AP238" s="104"/>
      <c r="AQ238" s="104"/>
      <c r="AR238" s="104"/>
      <c r="AS238" s="104"/>
      <c r="AT238" s="104"/>
      <c r="AU238" s="104"/>
      <c r="AV238" s="104"/>
      <c r="AW238" s="104"/>
      <c r="AX238" s="104"/>
      <c r="AY238" s="104"/>
      <c r="AZ238" s="104"/>
      <c r="BA238" s="104"/>
      <c r="BB238" s="104"/>
      <c r="BC238" s="104"/>
      <c r="BD238" s="104"/>
      <c r="BE238" s="104"/>
      <c r="BF238" s="104"/>
      <c r="BG238" s="104"/>
      <c r="BH238" s="104"/>
      <c r="BI238" s="104"/>
      <c r="BJ238" s="104"/>
      <c r="BK238" s="104"/>
      <c r="BL238" s="136">
        <f t="shared" ref="BL238:CQ238" si="490">BL26+BL141</f>
        <v>2.513539980179607</v>
      </c>
      <c r="BM238" s="136">
        <f t="shared" si="490"/>
        <v>1.3818225803717887</v>
      </c>
      <c r="BN238" s="136">
        <f t="shared" si="490"/>
        <v>1.8211686261702271</v>
      </c>
      <c r="BO238" s="136">
        <f t="shared" si="490"/>
        <v>0.79789133097770171</v>
      </c>
      <c r="BP238" s="136">
        <f t="shared" si="490"/>
        <v>1.3642059610937418</v>
      </c>
      <c r="BQ238" s="136">
        <f t="shared" si="490"/>
        <v>3.3609779979907795</v>
      </c>
      <c r="BR238" s="136">
        <f t="shared" si="490"/>
        <v>2.9497394815137428</v>
      </c>
      <c r="BS238" s="136">
        <f t="shared" si="490"/>
        <v>3.3996786334574898</v>
      </c>
      <c r="BT238" s="136">
        <f t="shared" si="490"/>
        <v>2.8202522613228171</v>
      </c>
      <c r="BU238" s="136">
        <f t="shared" si="490"/>
        <v>0.88449300250511431</v>
      </c>
      <c r="BV238" s="136">
        <f t="shared" si="490"/>
        <v>7.0196447086966511</v>
      </c>
      <c r="BW238" s="136">
        <f t="shared" si="490"/>
        <v>7.6089046868602397</v>
      </c>
      <c r="BX238" s="136">
        <f t="shared" si="490"/>
        <v>8.2620668761710458</v>
      </c>
      <c r="BY238" s="136">
        <f t="shared" si="490"/>
        <v>8.4885246328358654</v>
      </c>
      <c r="BZ238" s="136">
        <f t="shared" si="490"/>
        <v>4.3079890209842961</v>
      </c>
      <c r="CA238" s="136">
        <f t="shared" si="490"/>
        <v>4.9591594256979699</v>
      </c>
      <c r="CB238" s="136">
        <f t="shared" si="490"/>
        <v>1.8049645886327583</v>
      </c>
      <c r="CC238" s="136">
        <f t="shared" si="490"/>
        <v>0</v>
      </c>
      <c r="CD238" s="136">
        <f t="shared" si="490"/>
        <v>0</v>
      </c>
      <c r="CE238" s="136">
        <f t="shared" si="490"/>
        <v>0</v>
      </c>
      <c r="CF238" s="136">
        <f t="shared" si="490"/>
        <v>0</v>
      </c>
      <c r="CG238" s="136">
        <f t="shared" si="490"/>
        <v>0</v>
      </c>
      <c r="CH238" s="136">
        <f t="shared" si="490"/>
        <v>0</v>
      </c>
      <c r="CI238" s="136">
        <f t="shared" si="490"/>
        <v>0</v>
      </c>
      <c r="CJ238" s="136">
        <f t="shared" si="490"/>
        <v>0</v>
      </c>
      <c r="CK238" s="136">
        <f t="shared" si="490"/>
        <v>0</v>
      </c>
      <c r="CL238" s="136">
        <f t="shared" si="490"/>
        <v>0</v>
      </c>
      <c r="CM238" s="136">
        <f t="shared" si="490"/>
        <v>0</v>
      </c>
      <c r="CN238" s="136">
        <f t="shared" si="490"/>
        <v>0</v>
      </c>
      <c r="CO238" s="136">
        <f t="shared" si="490"/>
        <v>0</v>
      </c>
      <c r="CP238" s="136">
        <f t="shared" si="490"/>
        <v>0</v>
      </c>
      <c r="CQ238" s="136">
        <f t="shared" si="490"/>
        <v>0</v>
      </c>
      <c r="CR238" s="137">
        <f t="shared" si="455"/>
        <v>63.74502379546184</v>
      </c>
      <c r="CS238" s="26"/>
      <c r="CT238" s="25"/>
    </row>
    <row r="239" spans="1:98" x14ac:dyDescent="0.3">
      <c r="A239" s="104" t="str">
        <f t="shared" ref="A239:I239" si="491">A27</f>
        <v>Orewa-Hibiscus</v>
      </c>
      <c r="B239" s="104" t="str">
        <f t="shared" si="491"/>
        <v>Wainui east MD</v>
      </c>
      <c r="C239" s="104" t="str">
        <f t="shared" si="491"/>
        <v>N.009960.16.05 - Waterloo res Milldale-dvp new subrb prk</v>
      </c>
      <c r="D239" s="104" t="str">
        <f t="shared" si="491"/>
        <v>Milldale LZ</v>
      </c>
      <c r="E239" s="104" t="str">
        <f t="shared" si="491"/>
        <v>CCS budgeted development; to be acq, assume SULs</v>
      </c>
      <c r="F239" s="104">
        <f t="shared" si="491"/>
        <v>0</v>
      </c>
      <c r="G239" s="104">
        <f t="shared" si="491"/>
        <v>1</v>
      </c>
      <c r="H239" s="104">
        <f t="shared" si="491"/>
        <v>0</v>
      </c>
      <c r="I239" s="104">
        <f t="shared" si="491"/>
        <v>0</v>
      </c>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4"/>
      <c r="AL239" s="104"/>
      <c r="AM239" s="104"/>
      <c r="AN239" s="104"/>
      <c r="AO239" s="104"/>
      <c r="AP239" s="104"/>
      <c r="AQ239" s="104"/>
      <c r="AR239" s="104"/>
      <c r="AS239" s="104"/>
      <c r="AT239" s="104"/>
      <c r="AU239" s="104"/>
      <c r="AV239" s="104"/>
      <c r="AW239" s="104"/>
      <c r="AX239" s="104"/>
      <c r="AY239" s="104"/>
      <c r="AZ239" s="104"/>
      <c r="BA239" s="104"/>
      <c r="BB239" s="104"/>
      <c r="BC239" s="104"/>
      <c r="BD239" s="104"/>
      <c r="BE239" s="104"/>
      <c r="BF239" s="104"/>
      <c r="BG239" s="104"/>
      <c r="BH239" s="104"/>
      <c r="BI239" s="104"/>
      <c r="BJ239" s="104"/>
      <c r="BK239" s="104"/>
      <c r="BL239" s="136">
        <f t="shared" ref="BL239:CQ239" si="492">BL27+BL142</f>
        <v>2.6772856673570993</v>
      </c>
      <c r="BM239" s="136">
        <f t="shared" si="492"/>
        <v>1.472140293575344</v>
      </c>
      <c r="BN239" s="136">
        <f t="shared" si="492"/>
        <v>1.9403183463041327</v>
      </c>
      <c r="BO239" s="136">
        <f t="shared" si="492"/>
        <v>0.85031107891202273</v>
      </c>
      <c r="BP239" s="136">
        <f t="shared" si="492"/>
        <v>1.4541869384566175</v>
      </c>
      <c r="BQ239" s="136">
        <f t="shared" si="492"/>
        <v>3.5834994662937616</v>
      </c>
      <c r="BR239" s="136">
        <f t="shared" si="492"/>
        <v>3.1457347842005392</v>
      </c>
      <c r="BS239" s="136">
        <f t="shared" si="492"/>
        <v>3.6263413074747008</v>
      </c>
      <c r="BT239" s="136">
        <f t="shared" si="492"/>
        <v>3.0088943109580257</v>
      </c>
      <c r="BU239" s="136">
        <f t="shared" si="492"/>
        <v>0.94383816051104019</v>
      </c>
      <c r="BV239" s="136">
        <f t="shared" si="492"/>
        <v>7.4920140993893938</v>
      </c>
      <c r="BW239" s="136">
        <f t="shared" si="492"/>
        <v>8.1223605800749432</v>
      </c>
      <c r="BX239" s="136">
        <f t="shared" si="492"/>
        <v>8.8210849244705063</v>
      </c>
      <c r="BY239" s="136">
        <f t="shared" si="492"/>
        <v>9.0643225937798881</v>
      </c>
      <c r="BZ239" s="136">
        <f t="shared" si="492"/>
        <v>4.6009168984404187</v>
      </c>
      <c r="CA239" s="136">
        <f t="shared" si="492"/>
        <v>5.29714053666667</v>
      </c>
      <c r="CB239" s="136">
        <f t="shared" si="492"/>
        <v>1.9282477592694856</v>
      </c>
      <c r="CC239" s="136">
        <f t="shared" si="492"/>
        <v>0</v>
      </c>
      <c r="CD239" s="136">
        <f t="shared" si="492"/>
        <v>0</v>
      </c>
      <c r="CE239" s="136">
        <f t="shared" si="492"/>
        <v>0</v>
      </c>
      <c r="CF239" s="136">
        <f t="shared" si="492"/>
        <v>0</v>
      </c>
      <c r="CG239" s="136">
        <f t="shared" si="492"/>
        <v>0</v>
      </c>
      <c r="CH239" s="136">
        <f t="shared" si="492"/>
        <v>0</v>
      </c>
      <c r="CI239" s="136">
        <f t="shared" si="492"/>
        <v>0</v>
      </c>
      <c r="CJ239" s="136">
        <f t="shared" si="492"/>
        <v>0</v>
      </c>
      <c r="CK239" s="136">
        <f t="shared" si="492"/>
        <v>0</v>
      </c>
      <c r="CL239" s="136">
        <f t="shared" si="492"/>
        <v>0</v>
      </c>
      <c r="CM239" s="136">
        <f t="shared" si="492"/>
        <v>0</v>
      </c>
      <c r="CN239" s="136">
        <f t="shared" si="492"/>
        <v>0</v>
      </c>
      <c r="CO239" s="136">
        <f t="shared" si="492"/>
        <v>0</v>
      </c>
      <c r="CP239" s="136">
        <f t="shared" si="492"/>
        <v>0</v>
      </c>
      <c r="CQ239" s="136">
        <f t="shared" si="492"/>
        <v>0</v>
      </c>
      <c r="CR239" s="137">
        <f t="shared" si="455"/>
        <v>68.028637746134578</v>
      </c>
      <c r="CS239" s="26"/>
      <c r="CT239" s="25"/>
    </row>
    <row r="240" spans="1:98" x14ac:dyDescent="0.3">
      <c r="A240" s="104" t="str">
        <f t="shared" ref="A240:I240" si="493">A28</f>
        <v>Dairy Flat</v>
      </c>
      <c r="B240" s="104" t="str">
        <f t="shared" si="493"/>
        <v>Dairy Flat (incl W.East new)</v>
      </c>
      <c r="C240" s="104">
        <f t="shared" si="493"/>
        <v>0</v>
      </c>
      <c r="D240" s="104" t="str">
        <f t="shared" si="493"/>
        <v>Weiti</v>
      </c>
      <c r="E240" s="104">
        <f t="shared" si="493"/>
        <v>0</v>
      </c>
      <c r="F240" s="104">
        <f t="shared" si="493"/>
        <v>6</v>
      </c>
      <c r="G240" s="104">
        <f t="shared" si="493"/>
        <v>0</v>
      </c>
      <c r="H240" s="104">
        <f t="shared" si="493"/>
        <v>0</v>
      </c>
      <c r="I240" s="104">
        <f t="shared" si="493"/>
        <v>0</v>
      </c>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4"/>
      <c r="AL240" s="104"/>
      <c r="AM240" s="104"/>
      <c r="AN240" s="104"/>
      <c r="AO240" s="104"/>
      <c r="AP240" s="104"/>
      <c r="AQ240" s="104"/>
      <c r="AR240" s="104"/>
      <c r="AS240" s="104"/>
      <c r="AT240" s="104"/>
      <c r="AU240" s="104"/>
      <c r="AV240" s="104"/>
      <c r="AW240" s="104"/>
      <c r="AX240" s="104"/>
      <c r="AY240" s="104"/>
      <c r="AZ240" s="104"/>
      <c r="BA240" s="104"/>
      <c r="BB240" s="104"/>
      <c r="BC240" s="104"/>
      <c r="BD240" s="104"/>
      <c r="BE240" s="104"/>
      <c r="BF240" s="104"/>
      <c r="BG240" s="104"/>
      <c r="BH240" s="104"/>
      <c r="BI240" s="104"/>
      <c r="BJ240" s="104"/>
      <c r="BK240" s="104"/>
      <c r="BL240" s="136">
        <f t="shared" ref="BL240:CQ240" si="494">BL28+BL143</f>
        <v>0</v>
      </c>
      <c r="BM240" s="136">
        <f t="shared" si="494"/>
        <v>0</v>
      </c>
      <c r="BN240" s="136">
        <f t="shared" si="494"/>
        <v>0</v>
      </c>
      <c r="BO240" s="136">
        <f t="shared" si="494"/>
        <v>0</v>
      </c>
      <c r="BP240" s="136">
        <f t="shared" si="494"/>
        <v>0</v>
      </c>
      <c r="BQ240" s="136">
        <f t="shared" si="494"/>
        <v>0</v>
      </c>
      <c r="BR240" s="136">
        <f t="shared" si="494"/>
        <v>0</v>
      </c>
      <c r="BS240" s="136">
        <f t="shared" si="494"/>
        <v>0</v>
      </c>
      <c r="BT240" s="136">
        <f t="shared" si="494"/>
        <v>0</v>
      </c>
      <c r="BU240" s="136">
        <f t="shared" si="494"/>
        <v>0.5131895427773564</v>
      </c>
      <c r="BV240" s="136">
        <f t="shared" si="494"/>
        <v>0.96607033890623362</v>
      </c>
      <c r="BW240" s="136">
        <f t="shared" si="494"/>
        <v>1.0340343614878109</v>
      </c>
      <c r="BX240" s="136">
        <f t="shared" si="494"/>
        <v>1.1068100363001034</v>
      </c>
      <c r="BY240" s="136">
        <f t="shared" si="494"/>
        <v>1.7771080307959424</v>
      </c>
      <c r="BZ240" s="136">
        <f t="shared" si="494"/>
        <v>5.6649592993604809</v>
      </c>
      <c r="CA240" s="136">
        <f t="shared" si="494"/>
        <v>6.0661454207944336</v>
      </c>
      <c r="CB240" s="136">
        <f t="shared" si="494"/>
        <v>6.4957931850961437</v>
      </c>
      <c r="CC240" s="136">
        <f t="shared" si="494"/>
        <v>15.457606382956957</v>
      </c>
      <c r="CD240" s="136">
        <f t="shared" si="494"/>
        <v>16.552662647828456</v>
      </c>
      <c r="CE240" s="136">
        <f t="shared" si="494"/>
        <v>17.725414364162827</v>
      </c>
      <c r="CF240" s="136">
        <f t="shared" si="494"/>
        <v>0</v>
      </c>
      <c r="CG240" s="136">
        <f t="shared" si="494"/>
        <v>0</v>
      </c>
      <c r="CH240" s="136">
        <f t="shared" si="494"/>
        <v>0</v>
      </c>
      <c r="CI240" s="136">
        <f t="shared" si="494"/>
        <v>0</v>
      </c>
      <c r="CJ240" s="136">
        <f t="shared" si="494"/>
        <v>0</v>
      </c>
      <c r="CK240" s="136">
        <f t="shared" si="494"/>
        <v>0</v>
      </c>
      <c r="CL240" s="136">
        <f t="shared" si="494"/>
        <v>0</v>
      </c>
      <c r="CM240" s="136">
        <f t="shared" si="494"/>
        <v>0</v>
      </c>
      <c r="CN240" s="136">
        <f t="shared" si="494"/>
        <v>0</v>
      </c>
      <c r="CO240" s="136">
        <f t="shared" si="494"/>
        <v>0</v>
      </c>
      <c r="CP240" s="136">
        <f t="shared" si="494"/>
        <v>0</v>
      </c>
      <c r="CQ240" s="136">
        <f t="shared" si="494"/>
        <v>0</v>
      </c>
      <c r="CR240" s="137">
        <f t="shared" si="455"/>
        <v>73.359793610466753</v>
      </c>
      <c r="CS240" s="26"/>
      <c r="CT240" s="25"/>
    </row>
    <row r="241" spans="1:98" x14ac:dyDescent="0.3">
      <c r="A241" s="104" t="str">
        <f t="shared" ref="A241:I241" si="495">A29</f>
        <v>Dairy Flat</v>
      </c>
      <c r="B241" s="104" t="str">
        <f t="shared" si="495"/>
        <v>Dairy Flat (incl W.East new)</v>
      </c>
      <c r="C241" s="104">
        <f t="shared" si="495"/>
        <v>0</v>
      </c>
      <c r="D241" s="104" t="str">
        <f t="shared" si="495"/>
        <v>Weiti</v>
      </c>
      <c r="E241" s="104">
        <f t="shared" si="495"/>
        <v>0</v>
      </c>
      <c r="F241" s="104">
        <f t="shared" si="495"/>
        <v>0</v>
      </c>
      <c r="G241" s="104">
        <f t="shared" si="495"/>
        <v>1</v>
      </c>
      <c r="H241" s="104">
        <f t="shared" si="495"/>
        <v>0</v>
      </c>
      <c r="I241" s="104">
        <f t="shared" si="495"/>
        <v>0</v>
      </c>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4"/>
      <c r="AL241" s="104"/>
      <c r="AM241" s="104"/>
      <c r="AN241" s="104"/>
      <c r="AO241" s="104"/>
      <c r="AP241" s="104"/>
      <c r="AQ241" s="104"/>
      <c r="AR241" s="104"/>
      <c r="AS241" s="104"/>
      <c r="AT241" s="104"/>
      <c r="AU241" s="104"/>
      <c r="AV241" s="104"/>
      <c r="AW241" s="104"/>
      <c r="AX241" s="104"/>
      <c r="AY241" s="104"/>
      <c r="AZ241" s="104"/>
      <c r="BA241" s="104"/>
      <c r="BB241" s="104"/>
      <c r="BC241" s="104"/>
      <c r="BD241" s="104"/>
      <c r="BE241" s="104"/>
      <c r="BF241" s="104"/>
      <c r="BG241" s="104"/>
      <c r="BH241" s="104"/>
      <c r="BI241" s="104"/>
      <c r="BJ241" s="104"/>
      <c r="BK241" s="104"/>
      <c r="BL241" s="136">
        <f t="shared" ref="BL241:CQ241" si="496">BL29+BL144</f>
        <v>0</v>
      </c>
      <c r="BM241" s="136">
        <f t="shared" si="496"/>
        <v>0</v>
      </c>
      <c r="BN241" s="136">
        <f t="shared" si="496"/>
        <v>0</v>
      </c>
      <c r="BO241" s="136">
        <f t="shared" si="496"/>
        <v>0</v>
      </c>
      <c r="BP241" s="136">
        <f t="shared" si="496"/>
        <v>0</v>
      </c>
      <c r="BQ241" s="136">
        <f t="shared" si="496"/>
        <v>0</v>
      </c>
      <c r="BR241" s="136">
        <f t="shared" si="496"/>
        <v>0</v>
      </c>
      <c r="BS241" s="136">
        <f t="shared" si="496"/>
        <v>0</v>
      </c>
      <c r="BT241" s="136">
        <f t="shared" si="496"/>
        <v>0.58639005589976989</v>
      </c>
      <c r="BU241" s="136">
        <f t="shared" si="496"/>
        <v>0.62792370501703854</v>
      </c>
      <c r="BV241" s="136">
        <f t="shared" si="496"/>
        <v>1.1937263092621322</v>
      </c>
      <c r="BW241" s="136">
        <f t="shared" si="496"/>
        <v>3.1959409549323743</v>
      </c>
      <c r="BX241" s="136">
        <f t="shared" si="496"/>
        <v>3.4225857773770132</v>
      </c>
      <c r="BY241" s="136">
        <f t="shared" si="496"/>
        <v>3.6653165085373995</v>
      </c>
      <c r="BZ241" s="136">
        <f t="shared" si="496"/>
        <v>11.764192829823196</v>
      </c>
      <c r="CA241" s="136">
        <f t="shared" si="496"/>
        <v>6.29958276192301</v>
      </c>
      <c r="CB241" s="136">
        <f t="shared" si="496"/>
        <v>6.7467075046063911</v>
      </c>
      <c r="CC241" s="136">
        <f t="shared" si="496"/>
        <v>7.2255749000852045</v>
      </c>
      <c r="CD241" s="136">
        <f t="shared" si="496"/>
        <v>7.7384386062213482</v>
      </c>
      <c r="CE241" s="136">
        <f t="shared" si="496"/>
        <v>4.4201132208182532</v>
      </c>
      <c r="CF241" s="136">
        <f t="shared" si="496"/>
        <v>4.7338565243977486</v>
      </c>
      <c r="CG241" s="136">
        <f t="shared" si="496"/>
        <v>5.0698737383592185</v>
      </c>
      <c r="CH241" s="136">
        <f t="shared" si="496"/>
        <v>0</v>
      </c>
      <c r="CI241" s="136">
        <f t="shared" si="496"/>
        <v>0</v>
      </c>
      <c r="CJ241" s="136">
        <f t="shared" si="496"/>
        <v>0</v>
      </c>
      <c r="CK241" s="136">
        <f t="shared" si="496"/>
        <v>0</v>
      </c>
      <c r="CL241" s="136">
        <f t="shared" si="496"/>
        <v>0</v>
      </c>
      <c r="CM241" s="136">
        <f t="shared" si="496"/>
        <v>0</v>
      </c>
      <c r="CN241" s="136">
        <f t="shared" si="496"/>
        <v>0</v>
      </c>
      <c r="CO241" s="136">
        <f t="shared" si="496"/>
        <v>0</v>
      </c>
      <c r="CP241" s="136">
        <f t="shared" si="496"/>
        <v>0</v>
      </c>
      <c r="CQ241" s="136">
        <f t="shared" si="496"/>
        <v>0</v>
      </c>
      <c r="CR241" s="137">
        <f t="shared" si="455"/>
        <v>66.690223397260098</v>
      </c>
      <c r="CS241" s="26"/>
      <c r="CT241" s="25"/>
    </row>
    <row r="242" spans="1:98" x14ac:dyDescent="0.3">
      <c r="A242" s="104" t="str">
        <f t="shared" ref="A242:I242" si="497">A30</f>
        <v>Dairy Flat</v>
      </c>
      <c r="B242" s="104" t="str">
        <f t="shared" si="497"/>
        <v>Dairy Flat (incl W.East new)</v>
      </c>
      <c r="C242" s="104">
        <f t="shared" si="497"/>
        <v>0</v>
      </c>
      <c r="D242" s="104" t="str">
        <f t="shared" si="497"/>
        <v>Dairy Flat</v>
      </c>
      <c r="E242" s="104">
        <f t="shared" si="497"/>
        <v>0</v>
      </c>
      <c r="F242" s="104">
        <f t="shared" si="497"/>
        <v>24</v>
      </c>
      <c r="G242" s="104">
        <f t="shared" si="497"/>
        <v>0</v>
      </c>
      <c r="H242" s="104">
        <f t="shared" si="497"/>
        <v>0</v>
      </c>
      <c r="I242" s="104">
        <f t="shared" si="497"/>
        <v>0</v>
      </c>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4"/>
      <c r="AL242" s="104"/>
      <c r="AM242" s="104"/>
      <c r="AN242" s="104"/>
      <c r="AO242" s="104"/>
      <c r="AP242" s="104"/>
      <c r="AQ242" s="104"/>
      <c r="AR242" s="104"/>
      <c r="AS242" s="104"/>
      <c r="AT242" s="104"/>
      <c r="AU242" s="104"/>
      <c r="AV242" s="104"/>
      <c r="AW242" s="104"/>
      <c r="AX242" s="104"/>
      <c r="AY242" s="104"/>
      <c r="AZ242" s="104"/>
      <c r="BA242" s="104"/>
      <c r="BB242" s="104"/>
      <c r="BC242" s="104"/>
      <c r="BD242" s="104"/>
      <c r="BE242" s="104"/>
      <c r="BF242" s="104"/>
      <c r="BG242" s="104"/>
      <c r="BH242" s="104"/>
      <c r="BI242" s="104"/>
      <c r="BJ242" s="104"/>
      <c r="BK242" s="104"/>
      <c r="BL242" s="136">
        <f t="shared" ref="BL242:CQ242" si="498">BL30+BL145</f>
        <v>0</v>
      </c>
      <c r="BM242" s="136">
        <f t="shared" si="498"/>
        <v>0</v>
      </c>
      <c r="BN242" s="136">
        <f t="shared" si="498"/>
        <v>0</v>
      </c>
      <c r="BO242" s="136">
        <f t="shared" si="498"/>
        <v>0</v>
      </c>
      <c r="BP242" s="136">
        <f t="shared" si="498"/>
        <v>0</v>
      </c>
      <c r="BQ242" s="136">
        <f t="shared" si="498"/>
        <v>0</v>
      </c>
      <c r="BR242" s="136">
        <f t="shared" si="498"/>
        <v>0</v>
      </c>
      <c r="BS242" s="136">
        <f t="shared" si="498"/>
        <v>0</v>
      </c>
      <c r="BT242" s="136">
        <f t="shared" si="498"/>
        <v>0</v>
      </c>
      <c r="BU242" s="136">
        <f t="shared" si="498"/>
        <v>0</v>
      </c>
      <c r="BV242" s="136">
        <f t="shared" si="498"/>
        <v>0</v>
      </c>
      <c r="BW242" s="136">
        <f t="shared" si="498"/>
        <v>0</v>
      </c>
      <c r="BX242" s="136">
        <f t="shared" si="498"/>
        <v>0</v>
      </c>
      <c r="BY242" s="136">
        <f t="shared" si="498"/>
        <v>0</v>
      </c>
      <c r="BZ242" s="136">
        <f t="shared" si="498"/>
        <v>0</v>
      </c>
      <c r="CA242" s="136">
        <f t="shared" si="498"/>
        <v>0</v>
      </c>
      <c r="CB242" s="136">
        <f t="shared" si="498"/>
        <v>0</v>
      </c>
      <c r="CC242" s="136">
        <f t="shared" si="498"/>
        <v>0</v>
      </c>
      <c r="CD242" s="136">
        <f t="shared" si="498"/>
        <v>0</v>
      </c>
      <c r="CE242" s="136">
        <f t="shared" si="498"/>
        <v>0</v>
      </c>
      <c r="CF242" s="136">
        <f t="shared" si="498"/>
        <v>0</v>
      </c>
      <c r="CG242" s="136">
        <f t="shared" si="498"/>
        <v>4.6262844535210172</v>
      </c>
      <c r="CH242" s="136">
        <f t="shared" si="498"/>
        <v>4.9515644893508668</v>
      </c>
      <c r="CI242" s="136">
        <f t="shared" si="498"/>
        <v>5.2998693121964919</v>
      </c>
      <c r="CJ242" s="136">
        <f t="shared" si="498"/>
        <v>5.6728321398343962</v>
      </c>
      <c r="CK242" s="136">
        <f t="shared" si="498"/>
        <v>16.109778697354102</v>
      </c>
      <c r="CL242" s="136">
        <f t="shared" si="498"/>
        <v>17.248359087550618</v>
      </c>
      <c r="CM242" s="136">
        <f t="shared" si="498"/>
        <v>18.467663979710146</v>
      </c>
      <c r="CN242" s="136">
        <f t="shared" si="498"/>
        <v>19.773422289945753</v>
      </c>
      <c r="CO242" s="136">
        <f t="shared" si="498"/>
        <v>140.62920482680482</v>
      </c>
      <c r="CP242" s="136">
        <f t="shared" si="498"/>
        <v>150.60123818122148</v>
      </c>
      <c r="CQ242" s="136">
        <f t="shared" si="498"/>
        <v>161.28100781965946</v>
      </c>
      <c r="CR242" s="137">
        <f t="shared" si="455"/>
        <v>544.66122527714924</v>
      </c>
      <c r="CS242" s="26"/>
      <c r="CT242" s="25"/>
    </row>
    <row r="243" spans="1:98" x14ac:dyDescent="0.3">
      <c r="A243" s="104" t="str">
        <f t="shared" ref="A243:I243" si="499">A31</f>
        <v>Dairy Flat</v>
      </c>
      <c r="B243" s="104" t="str">
        <f t="shared" si="499"/>
        <v>Dairy Flat (incl W.East new)</v>
      </c>
      <c r="C243" s="104">
        <f t="shared" si="499"/>
        <v>0</v>
      </c>
      <c r="D243" s="104" t="str">
        <f t="shared" si="499"/>
        <v>Dairy Flat</v>
      </c>
      <c r="E243" s="104">
        <f t="shared" si="499"/>
        <v>0</v>
      </c>
      <c r="F243" s="104">
        <f t="shared" si="499"/>
        <v>0</v>
      </c>
      <c r="G243" s="104">
        <f t="shared" si="499"/>
        <v>5</v>
      </c>
      <c r="H243" s="104">
        <f t="shared" si="499"/>
        <v>0</v>
      </c>
      <c r="I243" s="104">
        <f t="shared" si="499"/>
        <v>0</v>
      </c>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4"/>
      <c r="AL243" s="104"/>
      <c r="AM243" s="104"/>
      <c r="AN243" s="104"/>
      <c r="AO243" s="104"/>
      <c r="AP243" s="104"/>
      <c r="AQ243" s="104"/>
      <c r="AR243" s="104"/>
      <c r="AS243" s="104"/>
      <c r="AT243" s="104"/>
      <c r="AU243" s="104"/>
      <c r="AV243" s="104"/>
      <c r="AW243" s="104"/>
      <c r="AX243" s="104"/>
      <c r="AY243" s="104"/>
      <c r="AZ243" s="104"/>
      <c r="BA243" s="104"/>
      <c r="BB243" s="104"/>
      <c r="BC243" s="104"/>
      <c r="BD243" s="104"/>
      <c r="BE243" s="104"/>
      <c r="BF243" s="104"/>
      <c r="BG243" s="104"/>
      <c r="BH243" s="104"/>
      <c r="BI243" s="104"/>
      <c r="BJ243" s="104"/>
      <c r="BK243" s="104"/>
      <c r="BL243" s="136">
        <f t="shared" ref="BL243:CQ243" si="500">BL31+BL146</f>
        <v>0</v>
      </c>
      <c r="BM243" s="136">
        <f t="shared" si="500"/>
        <v>0</v>
      </c>
      <c r="BN243" s="136">
        <f t="shared" si="500"/>
        <v>0</v>
      </c>
      <c r="BO243" s="136">
        <f t="shared" si="500"/>
        <v>0</v>
      </c>
      <c r="BP243" s="136">
        <f t="shared" si="500"/>
        <v>0</v>
      </c>
      <c r="BQ243" s="136">
        <f t="shared" si="500"/>
        <v>0</v>
      </c>
      <c r="BR243" s="136">
        <f t="shared" si="500"/>
        <v>0</v>
      </c>
      <c r="BS243" s="136">
        <f t="shared" si="500"/>
        <v>0</v>
      </c>
      <c r="BT243" s="136">
        <f t="shared" si="500"/>
        <v>0</v>
      </c>
      <c r="BU243" s="136">
        <f t="shared" si="500"/>
        <v>0</v>
      </c>
      <c r="BV243" s="136">
        <f t="shared" si="500"/>
        <v>0</v>
      </c>
      <c r="BW243" s="136">
        <f t="shared" si="500"/>
        <v>0</v>
      </c>
      <c r="BX243" s="136">
        <f t="shared" si="500"/>
        <v>0</v>
      </c>
      <c r="BY243" s="136">
        <f t="shared" si="500"/>
        <v>0</v>
      </c>
      <c r="BZ243" s="136">
        <f t="shared" si="500"/>
        <v>0</v>
      </c>
      <c r="CA243" s="136">
        <f t="shared" si="500"/>
        <v>0</v>
      </c>
      <c r="CB243" s="136">
        <f t="shared" si="500"/>
        <v>0</v>
      </c>
      <c r="CC243" s="136">
        <f t="shared" si="500"/>
        <v>0</v>
      </c>
      <c r="CD243" s="136">
        <f t="shared" si="500"/>
        <v>2.2043491646305555</v>
      </c>
      <c r="CE243" s="136">
        <f t="shared" si="500"/>
        <v>2.3602361224039621</v>
      </c>
      <c r="CF243" s="136">
        <f t="shared" si="500"/>
        <v>2.5271773738551424</v>
      </c>
      <c r="CG243" s="136">
        <f t="shared" si="500"/>
        <v>17.851291393102166</v>
      </c>
      <c r="CH243" s="136">
        <f t="shared" si="500"/>
        <v>19.117073623486302</v>
      </c>
      <c r="CI243" s="136">
        <f t="shared" si="500"/>
        <v>20.472689884140138</v>
      </c>
      <c r="CJ243" s="136">
        <f t="shared" si="500"/>
        <v>21.924517588034895</v>
      </c>
      <c r="CK243" s="136">
        <f t="shared" si="500"/>
        <v>20.856198053876419</v>
      </c>
      <c r="CL243" s="136">
        <f t="shared" si="500"/>
        <v>22.336082925195463</v>
      </c>
      <c r="CM243" s="136">
        <f t="shared" si="500"/>
        <v>23.921019708187018</v>
      </c>
      <c r="CN243" s="136">
        <f t="shared" si="500"/>
        <v>25.618466650467631</v>
      </c>
      <c r="CO243" s="136">
        <f t="shared" si="500"/>
        <v>43.876761522099336</v>
      </c>
      <c r="CP243" s="136">
        <f t="shared" si="500"/>
        <v>46.991484915656457</v>
      </c>
      <c r="CQ243" s="136">
        <f t="shared" si="500"/>
        <v>50.327342083316864</v>
      </c>
      <c r="CR243" s="137">
        <f t="shared" si="455"/>
        <v>320.38469100845236</v>
      </c>
      <c r="CS243" s="26"/>
      <c r="CT243" s="25"/>
    </row>
    <row r="244" spans="1:98" x14ac:dyDescent="0.3">
      <c r="A244" s="104" t="str">
        <f t="shared" ref="A244:I244" si="501">A32</f>
        <v>North Shore</v>
      </c>
      <c r="B244" s="104" t="str">
        <f t="shared" si="501"/>
        <v>North Shore</v>
      </c>
      <c r="C244" s="104">
        <f t="shared" si="501"/>
        <v>0</v>
      </c>
      <c r="D244" s="104" t="str">
        <f t="shared" si="501"/>
        <v>Albany Villlage</v>
      </c>
      <c r="E244" s="104">
        <f t="shared" si="501"/>
        <v>0</v>
      </c>
      <c r="F244" s="104">
        <f t="shared" si="501"/>
        <v>1</v>
      </c>
      <c r="G244" s="104">
        <f t="shared" si="501"/>
        <v>0</v>
      </c>
      <c r="H244" s="104">
        <f t="shared" si="501"/>
        <v>0</v>
      </c>
      <c r="I244" s="104">
        <f t="shared" si="501"/>
        <v>0</v>
      </c>
      <c r="J244" s="104"/>
      <c r="K244" s="104"/>
      <c r="L244" s="104"/>
      <c r="M244" s="104"/>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4"/>
      <c r="AL244" s="104"/>
      <c r="AM244" s="104"/>
      <c r="AN244" s="104"/>
      <c r="AO244" s="104"/>
      <c r="AP244" s="104"/>
      <c r="AQ244" s="104"/>
      <c r="AR244" s="104"/>
      <c r="AS244" s="104"/>
      <c r="AT244" s="104"/>
      <c r="AU244" s="104"/>
      <c r="AV244" s="104"/>
      <c r="AW244" s="104"/>
      <c r="AX244" s="104"/>
      <c r="AY244" s="104"/>
      <c r="AZ244" s="104"/>
      <c r="BA244" s="104"/>
      <c r="BB244" s="104"/>
      <c r="BC244" s="104"/>
      <c r="BD244" s="104"/>
      <c r="BE244" s="104"/>
      <c r="BF244" s="104"/>
      <c r="BG244" s="104"/>
      <c r="BH244" s="104"/>
      <c r="BI244" s="104"/>
      <c r="BJ244" s="104"/>
      <c r="BK244" s="104"/>
      <c r="BL244" s="136">
        <f t="shared" ref="BL244:CQ244" si="502">BL32+BL147</f>
        <v>0</v>
      </c>
      <c r="BM244" s="136">
        <f t="shared" si="502"/>
        <v>0</v>
      </c>
      <c r="BN244" s="136">
        <f t="shared" si="502"/>
        <v>0</v>
      </c>
      <c r="BO244" s="136">
        <f t="shared" si="502"/>
        <v>0</v>
      </c>
      <c r="BP244" s="136">
        <f t="shared" si="502"/>
        <v>0</v>
      </c>
      <c r="BQ244" s="136">
        <f t="shared" si="502"/>
        <v>0</v>
      </c>
      <c r="BR244" s="136">
        <f t="shared" si="502"/>
        <v>0</v>
      </c>
      <c r="BS244" s="136">
        <f t="shared" si="502"/>
        <v>0</v>
      </c>
      <c r="BT244" s="136">
        <f t="shared" si="502"/>
        <v>0</v>
      </c>
      <c r="BU244" s="136">
        <f t="shared" si="502"/>
        <v>1.8595486399753667</v>
      </c>
      <c r="BV244" s="136">
        <f t="shared" si="502"/>
        <v>1.9913209788177415</v>
      </c>
      <c r="BW244" s="136">
        <f t="shared" si="502"/>
        <v>2.1324435301968148</v>
      </c>
      <c r="BX244" s="136">
        <f t="shared" si="502"/>
        <v>2.2835800354852296</v>
      </c>
      <c r="BY244" s="136">
        <f t="shared" si="502"/>
        <v>2.4454413589712996</v>
      </c>
      <c r="BZ244" s="136">
        <f t="shared" si="502"/>
        <v>2.6187888335261453</v>
      </c>
      <c r="CA244" s="136">
        <f t="shared" si="502"/>
        <v>2.8044378438118791</v>
      </c>
      <c r="CB244" s="136">
        <f t="shared" si="502"/>
        <v>3.0032616638962191</v>
      </c>
      <c r="CC244" s="136">
        <f t="shared" si="502"/>
        <v>0</v>
      </c>
      <c r="CD244" s="136">
        <f t="shared" si="502"/>
        <v>0</v>
      </c>
      <c r="CE244" s="136">
        <f t="shared" si="502"/>
        <v>0</v>
      </c>
      <c r="CF244" s="136">
        <f t="shared" si="502"/>
        <v>0</v>
      </c>
      <c r="CG244" s="136">
        <f t="shared" si="502"/>
        <v>0</v>
      </c>
      <c r="CH244" s="136">
        <f t="shared" si="502"/>
        <v>0</v>
      </c>
      <c r="CI244" s="136">
        <f t="shared" si="502"/>
        <v>0</v>
      </c>
      <c r="CJ244" s="136">
        <f t="shared" si="502"/>
        <v>0</v>
      </c>
      <c r="CK244" s="136">
        <f t="shared" si="502"/>
        <v>0</v>
      </c>
      <c r="CL244" s="136">
        <f t="shared" si="502"/>
        <v>0</v>
      </c>
      <c r="CM244" s="136">
        <f t="shared" si="502"/>
        <v>0</v>
      </c>
      <c r="CN244" s="136">
        <f t="shared" si="502"/>
        <v>0</v>
      </c>
      <c r="CO244" s="136">
        <f t="shared" si="502"/>
        <v>0</v>
      </c>
      <c r="CP244" s="136">
        <f t="shared" si="502"/>
        <v>0</v>
      </c>
      <c r="CQ244" s="136">
        <f t="shared" si="502"/>
        <v>0</v>
      </c>
      <c r="CR244" s="137">
        <f t="shared" si="455"/>
        <v>19.138822884680696</v>
      </c>
      <c r="CS244" s="26"/>
      <c r="CT244" s="25"/>
    </row>
    <row r="245" spans="1:98" x14ac:dyDescent="0.3">
      <c r="A245" s="104" t="str">
        <f t="shared" ref="A245:I245" si="503">A33</f>
        <v>North of Huapai</v>
      </c>
      <c r="B245" s="104" t="str">
        <f t="shared" si="503"/>
        <v>Rural NW</v>
      </c>
      <c r="C245" s="104">
        <f t="shared" si="503"/>
        <v>0</v>
      </c>
      <c r="D245" s="104" t="str">
        <f t="shared" si="503"/>
        <v xml:space="preserve">Helensville </v>
      </c>
      <c r="E245" s="104">
        <f t="shared" si="503"/>
        <v>0</v>
      </c>
      <c r="F245" s="104">
        <f t="shared" si="503"/>
        <v>3</v>
      </c>
      <c r="G245" s="104">
        <f t="shared" si="503"/>
        <v>0</v>
      </c>
      <c r="H245" s="104">
        <f t="shared" si="503"/>
        <v>0</v>
      </c>
      <c r="I245" s="104">
        <f t="shared" si="503"/>
        <v>0</v>
      </c>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4"/>
      <c r="AL245" s="104"/>
      <c r="AM245" s="104"/>
      <c r="AN245" s="104"/>
      <c r="AO245" s="104"/>
      <c r="AP245" s="104"/>
      <c r="AQ245" s="104"/>
      <c r="AR245" s="104"/>
      <c r="AS245" s="104"/>
      <c r="AT245" s="104"/>
      <c r="AU245" s="104"/>
      <c r="AV245" s="104"/>
      <c r="AW245" s="104"/>
      <c r="AX245" s="104"/>
      <c r="AY245" s="104"/>
      <c r="AZ245" s="104"/>
      <c r="BA245" s="104"/>
      <c r="BB245" s="104"/>
      <c r="BC245" s="104"/>
      <c r="BD245" s="104"/>
      <c r="BE245" s="104"/>
      <c r="BF245" s="104"/>
      <c r="BG245" s="104"/>
      <c r="BH245" s="104"/>
      <c r="BI245" s="104"/>
      <c r="BJ245" s="104"/>
      <c r="BK245" s="104"/>
      <c r="BL245" s="136">
        <f t="shared" ref="BL245:CQ245" si="504">BL33+BL148</f>
        <v>0</v>
      </c>
      <c r="BM245" s="136">
        <f t="shared" si="504"/>
        <v>0</v>
      </c>
      <c r="BN245" s="136">
        <f t="shared" si="504"/>
        <v>0</v>
      </c>
      <c r="BO245" s="136">
        <f t="shared" si="504"/>
        <v>0</v>
      </c>
      <c r="BP245" s="136">
        <f t="shared" si="504"/>
        <v>0</v>
      </c>
      <c r="BQ245" s="136">
        <f t="shared" si="504"/>
        <v>0</v>
      </c>
      <c r="BR245" s="136">
        <f t="shared" si="504"/>
        <v>0</v>
      </c>
      <c r="BS245" s="136">
        <f t="shared" si="504"/>
        <v>0</v>
      </c>
      <c r="BT245" s="136">
        <f t="shared" si="504"/>
        <v>0</v>
      </c>
      <c r="BU245" s="136">
        <f t="shared" si="504"/>
        <v>0.15089784650120361</v>
      </c>
      <c r="BV245" s="136">
        <f t="shared" si="504"/>
        <v>0.26259032511017177</v>
      </c>
      <c r="BW245" s="136">
        <f t="shared" si="504"/>
        <v>0.28092075245261133</v>
      </c>
      <c r="BX245" s="136">
        <f t="shared" si="504"/>
        <v>0.30054574345007573</v>
      </c>
      <c r="BY245" s="136">
        <f t="shared" si="504"/>
        <v>0.4823355905924599</v>
      </c>
      <c r="BZ245" s="136">
        <f t="shared" si="504"/>
        <v>2.1269770556801824</v>
      </c>
      <c r="CA245" s="136">
        <f t="shared" si="504"/>
        <v>2.2774794322231542</v>
      </c>
      <c r="CB245" s="136">
        <f t="shared" si="504"/>
        <v>2.4386561916236507</v>
      </c>
      <c r="CC245" s="136">
        <f t="shared" si="504"/>
        <v>5.8028110372783575</v>
      </c>
      <c r="CD245" s="136">
        <f t="shared" si="504"/>
        <v>6.2135937267658985</v>
      </c>
      <c r="CE245" s="136">
        <f t="shared" si="504"/>
        <v>6.6535152155355535</v>
      </c>
      <c r="CF245" s="136">
        <f t="shared" si="504"/>
        <v>0</v>
      </c>
      <c r="CG245" s="136">
        <f t="shared" si="504"/>
        <v>0</v>
      </c>
      <c r="CH245" s="136">
        <f t="shared" si="504"/>
        <v>0</v>
      </c>
      <c r="CI245" s="136">
        <f t="shared" si="504"/>
        <v>0</v>
      </c>
      <c r="CJ245" s="136">
        <f t="shared" si="504"/>
        <v>0</v>
      </c>
      <c r="CK245" s="136">
        <f t="shared" si="504"/>
        <v>0</v>
      </c>
      <c r="CL245" s="136">
        <f t="shared" si="504"/>
        <v>0</v>
      </c>
      <c r="CM245" s="136">
        <f t="shared" si="504"/>
        <v>0</v>
      </c>
      <c r="CN245" s="136">
        <f t="shared" si="504"/>
        <v>0</v>
      </c>
      <c r="CO245" s="136">
        <f t="shared" si="504"/>
        <v>0</v>
      </c>
      <c r="CP245" s="136">
        <f t="shared" si="504"/>
        <v>0</v>
      </c>
      <c r="CQ245" s="136">
        <f t="shared" si="504"/>
        <v>0</v>
      </c>
      <c r="CR245" s="137">
        <f t="shared" si="455"/>
        <v>26.990322917213316</v>
      </c>
      <c r="CS245" s="26"/>
      <c r="CT245" s="25"/>
    </row>
    <row r="246" spans="1:98" x14ac:dyDescent="0.3">
      <c r="A246" s="104" t="str">
        <f t="shared" ref="A246:I246" si="505">A34</f>
        <v>Riverhead-Huapai-Kumeu</v>
      </c>
      <c r="B246" s="104" t="str">
        <f t="shared" si="505"/>
        <v>Kumeu-Huapai-RH RedFlag</v>
      </c>
      <c r="C246" s="104">
        <f t="shared" si="505"/>
        <v>0</v>
      </c>
      <c r="D246" s="104" t="str">
        <f t="shared" si="505"/>
        <v>Kumeu-Huapai and Riverhead</v>
      </c>
      <c r="E246" s="104" t="str">
        <f t="shared" si="505"/>
        <v>3NHP In Huapai acq and full developed, 1 NHP in removal area, 20 others in Red flagged</v>
      </c>
      <c r="F246" s="104">
        <f t="shared" si="505"/>
        <v>21</v>
      </c>
      <c r="G246" s="104">
        <f t="shared" si="505"/>
        <v>0</v>
      </c>
      <c r="H246" s="104">
        <f t="shared" si="505"/>
        <v>0</v>
      </c>
      <c r="I246" s="104">
        <f t="shared" si="505"/>
        <v>0</v>
      </c>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4"/>
      <c r="AL246" s="104"/>
      <c r="AM246" s="104"/>
      <c r="AN246" s="104"/>
      <c r="AO246" s="104"/>
      <c r="AP246" s="104"/>
      <c r="AQ246" s="104"/>
      <c r="AR246" s="104"/>
      <c r="AS246" s="104"/>
      <c r="AT246" s="104"/>
      <c r="AU246" s="104"/>
      <c r="AV246" s="104"/>
      <c r="AW246" s="104"/>
      <c r="AX246" s="104"/>
      <c r="AY246" s="104"/>
      <c r="AZ246" s="104"/>
      <c r="BA246" s="104"/>
      <c r="BB246" s="104"/>
      <c r="BC246" s="104"/>
      <c r="BD246" s="104"/>
      <c r="BE246" s="104"/>
      <c r="BF246" s="104"/>
      <c r="BG246" s="104"/>
      <c r="BH246" s="104"/>
      <c r="BI246" s="104"/>
      <c r="BJ246" s="104"/>
      <c r="BK246" s="104"/>
      <c r="BL246" s="136">
        <f t="shared" ref="BL246:CQ246" si="506">BL34+BL149</f>
        <v>0</v>
      </c>
      <c r="BM246" s="136">
        <f t="shared" si="506"/>
        <v>0</v>
      </c>
      <c r="BN246" s="136">
        <f t="shared" si="506"/>
        <v>0</v>
      </c>
      <c r="BO246" s="136">
        <f t="shared" si="506"/>
        <v>0</v>
      </c>
      <c r="BP246" s="136">
        <f t="shared" si="506"/>
        <v>0</v>
      </c>
      <c r="BQ246" s="136">
        <f t="shared" si="506"/>
        <v>0</v>
      </c>
      <c r="BR246" s="136">
        <f t="shared" si="506"/>
        <v>0</v>
      </c>
      <c r="BS246" s="136">
        <f t="shared" si="506"/>
        <v>0</v>
      </c>
      <c r="BT246" s="136">
        <f t="shared" si="506"/>
        <v>0</v>
      </c>
      <c r="BU246" s="136">
        <f t="shared" si="506"/>
        <v>0</v>
      </c>
      <c r="BV246" s="136">
        <f t="shared" si="506"/>
        <v>0</v>
      </c>
      <c r="BW246" s="136">
        <f t="shared" si="506"/>
        <v>0</v>
      </c>
      <c r="BX246" s="136">
        <f t="shared" si="506"/>
        <v>0</v>
      </c>
      <c r="BY246" s="136">
        <f t="shared" si="506"/>
        <v>0</v>
      </c>
      <c r="BZ246" s="136">
        <f t="shared" si="506"/>
        <v>0</v>
      </c>
      <c r="CA246" s="136">
        <f t="shared" si="506"/>
        <v>0</v>
      </c>
      <c r="CB246" s="136">
        <f t="shared" si="506"/>
        <v>0</v>
      </c>
      <c r="CC246" s="136">
        <f t="shared" si="506"/>
        <v>0</v>
      </c>
      <c r="CD246" s="136">
        <f t="shared" si="506"/>
        <v>0</v>
      </c>
      <c r="CE246" s="136">
        <f t="shared" si="506"/>
        <v>0</v>
      </c>
      <c r="CF246" s="136">
        <f t="shared" si="506"/>
        <v>0</v>
      </c>
      <c r="CG246" s="136">
        <f t="shared" si="506"/>
        <v>4.9349107137054453</v>
      </c>
      <c r="CH246" s="136">
        <f t="shared" si="506"/>
        <v>5.2825014840546585</v>
      </c>
      <c r="CI246" s="136">
        <f t="shared" si="506"/>
        <v>5.6547098655115384</v>
      </c>
      <c r="CJ246" s="136">
        <f t="shared" si="506"/>
        <v>6.0532823591258156</v>
      </c>
      <c r="CK246" s="136">
        <f t="shared" si="506"/>
        <v>14.446130136459271</v>
      </c>
      <c r="CL246" s="136">
        <f t="shared" si="506"/>
        <v>15.467243215996708</v>
      </c>
      <c r="CM246" s="136">
        <f t="shared" si="506"/>
        <v>16.560754956657977</v>
      </c>
      <c r="CN246" s="136">
        <f t="shared" si="506"/>
        <v>17.731803455297356</v>
      </c>
      <c r="CO246" s="136">
        <f t="shared" si="506"/>
        <v>135.84480803340023</v>
      </c>
      <c r="CP246" s="136">
        <f t="shared" si="506"/>
        <v>145.47872923902099</v>
      </c>
      <c r="CQ246" s="136">
        <f t="shared" si="506"/>
        <v>155.7964155266163</v>
      </c>
      <c r="CR246" s="137">
        <f t="shared" si="455"/>
        <v>523.25128898584626</v>
      </c>
      <c r="CS246" s="26"/>
      <c r="CT246" s="25"/>
    </row>
    <row r="247" spans="1:98" x14ac:dyDescent="0.3">
      <c r="A247" s="104" t="str">
        <f t="shared" ref="A247:I247" si="507">A35</f>
        <v>Riverhead-Huapai-Kumeu</v>
      </c>
      <c r="B247" s="104" t="str">
        <f t="shared" si="507"/>
        <v>Kumeu-Huapai-RH RedFlag</v>
      </c>
      <c r="C247" s="104">
        <f t="shared" si="507"/>
        <v>0</v>
      </c>
      <c r="D247" s="104" t="str">
        <f t="shared" si="507"/>
        <v>Kumeu-Huapai and Riverhead</v>
      </c>
      <c r="E247" s="104" t="str">
        <f t="shared" si="507"/>
        <v>3NHP In Huapai settled, 1 NHP in removal area, 20 others in Red flagged</v>
      </c>
      <c r="F247" s="104">
        <f t="shared" si="507"/>
        <v>0</v>
      </c>
      <c r="G247" s="104">
        <f t="shared" si="507"/>
        <v>5</v>
      </c>
      <c r="H247" s="104">
        <f t="shared" si="507"/>
        <v>0</v>
      </c>
      <c r="I247" s="104">
        <f t="shared" si="507"/>
        <v>0</v>
      </c>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4"/>
      <c r="AY247" s="104"/>
      <c r="AZ247" s="104"/>
      <c r="BA247" s="104"/>
      <c r="BB247" s="104"/>
      <c r="BC247" s="104"/>
      <c r="BD247" s="104"/>
      <c r="BE247" s="104"/>
      <c r="BF247" s="104"/>
      <c r="BG247" s="104"/>
      <c r="BH247" s="104"/>
      <c r="BI247" s="104"/>
      <c r="BJ247" s="104"/>
      <c r="BK247" s="104"/>
      <c r="BL247" s="136">
        <f t="shared" ref="BL247:CQ247" si="508">BL35+BL150</f>
        <v>0</v>
      </c>
      <c r="BM247" s="136">
        <f t="shared" si="508"/>
        <v>0</v>
      </c>
      <c r="BN247" s="136">
        <f t="shared" si="508"/>
        <v>0</v>
      </c>
      <c r="BO247" s="136">
        <f t="shared" si="508"/>
        <v>0</v>
      </c>
      <c r="BP247" s="136">
        <f t="shared" si="508"/>
        <v>0</v>
      </c>
      <c r="BQ247" s="136">
        <f t="shared" si="508"/>
        <v>0</v>
      </c>
      <c r="BR247" s="136">
        <f t="shared" si="508"/>
        <v>0</v>
      </c>
      <c r="BS247" s="136">
        <f t="shared" si="508"/>
        <v>0</v>
      </c>
      <c r="BT247" s="136">
        <f t="shared" si="508"/>
        <v>0</v>
      </c>
      <c r="BU247" s="136">
        <f t="shared" si="508"/>
        <v>0</v>
      </c>
      <c r="BV247" s="136">
        <f t="shared" si="508"/>
        <v>0</v>
      </c>
      <c r="BW247" s="136">
        <f t="shared" si="508"/>
        <v>0</v>
      </c>
      <c r="BX247" s="136">
        <f t="shared" si="508"/>
        <v>0</v>
      </c>
      <c r="BY247" s="136">
        <f t="shared" si="508"/>
        <v>0</v>
      </c>
      <c r="BZ247" s="136">
        <f t="shared" si="508"/>
        <v>0</v>
      </c>
      <c r="CA247" s="136">
        <f t="shared" si="508"/>
        <v>0</v>
      </c>
      <c r="CB247" s="136">
        <f t="shared" si="508"/>
        <v>0</v>
      </c>
      <c r="CC247" s="136">
        <f t="shared" si="508"/>
        <v>0</v>
      </c>
      <c r="CD247" s="136">
        <f t="shared" si="508"/>
        <v>3.6224812626700316</v>
      </c>
      <c r="CE247" s="136">
        <f t="shared" si="508"/>
        <v>3.8790555994042419</v>
      </c>
      <c r="CF247" s="136">
        <f t="shared" si="508"/>
        <v>4.1538330337224414</v>
      </c>
      <c r="CG247" s="136">
        <f t="shared" si="508"/>
        <v>21.810719147006434</v>
      </c>
      <c r="CH247" s="136">
        <f t="shared" si="508"/>
        <v>23.357620747917775</v>
      </c>
      <c r="CI247" s="136">
        <f t="shared" si="508"/>
        <v>25.014315854406242</v>
      </c>
      <c r="CJ247" s="136">
        <f t="shared" si="508"/>
        <v>26.788599002189891</v>
      </c>
      <c r="CK247" s="136">
        <f t="shared" si="508"/>
        <v>21.377141173332419</v>
      </c>
      <c r="CL247" s="136">
        <f t="shared" si="508"/>
        <v>22.894013006132841</v>
      </c>
      <c r="CM247" s="136">
        <f t="shared" si="508"/>
        <v>24.518562824870948</v>
      </c>
      <c r="CN247" s="136">
        <f t="shared" si="508"/>
        <v>26.258435328436121</v>
      </c>
      <c r="CO247" s="136">
        <f t="shared" si="508"/>
        <v>48.446137882794353</v>
      </c>
      <c r="CP247" s="136">
        <f t="shared" si="508"/>
        <v>51.885286997960812</v>
      </c>
      <c r="CQ247" s="136">
        <f t="shared" si="508"/>
        <v>55.568604113464822</v>
      </c>
      <c r="CR247" s="137">
        <f t="shared" si="455"/>
        <v>359.57480597430936</v>
      </c>
      <c r="CS247" s="26"/>
      <c r="CT247" s="25"/>
    </row>
    <row r="248" spans="1:98" x14ac:dyDescent="0.3">
      <c r="A248" s="104" t="str">
        <f t="shared" ref="A248:I248" si="509">A36</f>
        <v>acquired</v>
      </c>
      <c r="B248" s="104" t="str">
        <f t="shared" si="509"/>
        <v>Reg Sportsfield</v>
      </c>
      <c r="C248" s="104" t="str">
        <f t="shared" si="509"/>
        <v>Redhills</v>
      </c>
      <c r="D248" s="104" t="str">
        <f t="shared" si="509"/>
        <v>Redhills</v>
      </c>
      <c r="E248" s="104" t="str">
        <f t="shared" si="509"/>
        <v>490E Don Buck, 51977m2</v>
      </c>
      <c r="F248" s="104">
        <f t="shared" si="509"/>
        <v>0</v>
      </c>
      <c r="G248" s="104">
        <f t="shared" si="509"/>
        <v>0</v>
      </c>
      <c r="H248" s="104">
        <f t="shared" si="509"/>
        <v>0</v>
      </c>
      <c r="I248" s="104">
        <f t="shared" si="509"/>
        <v>0</v>
      </c>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4"/>
      <c r="AY248" s="104"/>
      <c r="AZ248" s="104"/>
      <c r="BA248" s="104"/>
      <c r="BB248" s="104"/>
      <c r="BC248" s="104"/>
      <c r="BD248" s="104"/>
      <c r="BE248" s="104"/>
      <c r="BF248" s="104"/>
      <c r="BG248" s="104"/>
      <c r="BH248" s="104"/>
      <c r="BI248" s="104"/>
      <c r="BJ248" s="104"/>
      <c r="BK248" s="104"/>
      <c r="BL248" s="136">
        <f t="shared" ref="BL248:CQ248" si="510">BL36+BL151</f>
        <v>0</v>
      </c>
      <c r="BM248" s="136">
        <f t="shared" si="510"/>
        <v>0</v>
      </c>
      <c r="BN248" s="136">
        <f t="shared" si="510"/>
        <v>0</v>
      </c>
      <c r="BO248" s="136">
        <f t="shared" si="510"/>
        <v>0</v>
      </c>
      <c r="BP248" s="136">
        <f t="shared" si="510"/>
        <v>0</v>
      </c>
      <c r="BQ248" s="136">
        <f t="shared" si="510"/>
        <v>0</v>
      </c>
      <c r="BR248" s="136">
        <f t="shared" si="510"/>
        <v>0</v>
      </c>
      <c r="BS248" s="136">
        <f t="shared" si="510"/>
        <v>0</v>
      </c>
      <c r="BT248" s="136">
        <f t="shared" si="510"/>
        <v>0</v>
      </c>
      <c r="BU248" s="136">
        <f t="shared" si="510"/>
        <v>0</v>
      </c>
      <c r="BV248" s="136">
        <f t="shared" si="510"/>
        <v>0</v>
      </c>
      <c r="BW248" s="136">
        <f t="shared" si="510"/>
        <v>0</v>
      </c>
      <c r="BX248" s="136">
        <f t="shared" si="510"/>
        <v>0</v>
      </c>
      <c r="BY248" s="136">
        <f t="shared" si="510"/>
        <v>0</v>
      </c>
      <c r="BZ248" s="136">
        <f t="shared" si="510"/>
        <v>0</v>
      </c>
      <c r="CA248" s="136">
        <f t="shared" si="510"/>
        <v>0</v>
      </c>
      <c r="CB248" s="136">
        <f t="shared" si="510"/>
        <v>0</v>
      </c>
      <c r="CC248" s="136">
        <f t="shared" si="510"/>
        <v>0</v>
      </c>
      <c r="CD248" s="136">
        <f t="shared" si="510"/>
        <v>0</v>
      </c>
      <c r="CE248" s="136">
        <f t="shared" si="510"/>
        <v>0</v>
      </c>
      <c r="CF248" s="136">
        <f t="shared" si="510"/>
        <v>0</v>
      </c>
      <c r="CG248" s="136">
        <f t="shared" si="510"/>
        <v>0</v>
      </c>
      <c r="CH248" s="136">
        <f t="shared" si="510"/>
        <v>0</v>
      </c>
      <c r="CI248" s="136">
        <f t="shared" si="510"/>
        <v>0</v>
      </c>
      <c r="CJ248" s="136">
        <f t="shared" si="510"/>
        <v>0</v>
      </c>
      <c r="CK248" s="136">
        <f t="shared" si="510"/>
        <v>0</v>
      </c>
      <c r="CL248" s="136">
        <f t="shared" si="510"/>
        <v>0</v>
      </c>
      <c r="CM248" s="136">
        <f t="shared" si="510"/>
        <v>0</v>
      </c>
      <c r="CN248" s="136">
        <f t="shared" si="510"/>
        <v>0</v>
      </c>
      <c r="CO248" s="136">
        <f t="shared" si="510"/>
        <v>0</v>
      </c>
      <c r="CP248" s="136">
        <f t="shared" si="510"/>
        <v>0</v>
      </c>
      <c r="CQ248" s="136">
        <f t="shared" si="510"/>
        <v>0</v>
      </c>
      <c r="CR248" s="137">
        <f t="shared" ref="CR248:CR267" si="511">SUM(BL248:CQ248)</f>
        <v>0</v>
      </c>
      <c r="CS248" s="26"/>
      <c r="CT248" s="25"/>
    </row>
    <row r="249" spans="1:98" x14ac:dyDescent="0.3">
      <c r="A249" s="104" t="str">
        <f t="shared" ref="A249:I249" si="512">A37</f>
        <v>Redhills</v>
      </c>
      <c r="B249" s="104" t="str">
        <f t="shared" si="512"/>
        <v>Reg Sportsfield</v>
      </c>
      <c r="C249" s="104" t="str">
        <f t="shared" si="512"/>
        <v>Redhills</v>
      </c>
      <c r="D249" s="104" t="str">
        <f t="shared" si="512"/>
        <v>Redhills Precinct area</v>
      </c>
      <c r="E249" s="104" t="str">
        <f t="shared" si="512"/>
        <v>Remainder 1 less 490E Don Buck, 51977m2</v>
      </c>
      <c r="F249" s="104">
        <f t="shared" si="512"/>
        <v>0</v>
      </c>
      <c r="G249" s="104">
        <f t="shared" si="512"/>
        <v>0</v>
      </c>
      <c r="H249" s="104">
        <f t="shared" si="512"/>
        <v>0.48023000000000005</v>
      </c>
      <c r="I249" s="104">
        <f t="shared" si="512"/>
        <v>0</v>
      </c>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4"/>
      <c r="AY249" s="104"/>
      <c r="AZ249" s="104"/>
      <c r="BA249" s="104"/>
      <c r="BB249" s="104"/>
      <c r="BC249" s="104"/>
      <c r="BD249" s="104"/>
      <c r="BE249" s="104"/>
      <c r="BF249" s="104"/>
      <c r="BG249" s="104"/>
      <c r="BH249" s="104"/>
      <c r="BI249" s="104"/>
      <c r="BJ249" s="104"/>
      <c r="BK249" s="104"/>
      <c r="BL249" s="136">
        <f t="shared" ref="BL249:CQ249" si="513">BL37+BL152</f>
        <v>0</v>
      </c>
      <c r="BM249" s="136">
        <f t="shared" si="513"/>
        <v>2.6446414646628109</v>
      </c>
      <c r="BN249" s="136">
        <f t="shared" si="513"/>
        <v>5.5166457000520417</v>
      </c>
      <c r="BO249" s="136">
        <f t="shared" si="513"/>
        <v>16.824181452135825</v>
      </c>
      <c r="BP249" s="136">
        <f t="shared" si="513"/>
        <v>18.018339413090629</v>
      </c>
      <c r="BQ249" s="136">
        <f t="shared" si="513"/>
        <v>19.297274692985997</v>
      </c>
      <c r="BR249" s="136">
        <f t="shared" si="513"/>
        <v>10.33350315387419</v>
      </c>
      <c r="BS249" s="136">
        <f t="shared" si="513"/>
        <v>0</v>
      </c>
      <c r="BT249" s="136">
        <f t="shared" si="513"/>
        <v>0</v>
      </c>
      <c r="BU249" s="136">
        <f t="shared" si="513"/>
        <v>0</v>
      </c>
      <c r="BV249" s="136">
        <f t="shared" si="513"/>
        <v>0</v>
      </c>
      <c r="BW249" s="136">
        <f t="shared" si="513"/>
        <v>0</v>
      </c>
      <c r="BX249" s="136">
        <f t="shared" si="513"/>
        <v>0</v>
      </c>
      <c r="BY249" s="136">
        <f t="shared" si="513"/>
        <v>0</v>
      </c>
      <c r="BZ249" s="136">
        <f t="shared" si="513"/>
        <v>0</v>
      </c>
      <c r="CA249" s="136">
        <f t="shared" si="513"/>
        <v>0</v>
      </c>
      <c r="CB249" s="136">
        <f t="shared" si="513"/>
        <v>0</v>
      </c>
      <c r="CC249" s="136">
        <f t="shared" si="513"/>
        <v>0</v>
      </c>
      <c r="CD249" s="136">
        <f t="shared" si="513"/>
        <v>0</v>
      </c>
      <c r="CE249" s="136">
        <f t="shared" si="513"/>
        <v>0</v>
      </c>
      <c r="CF249" s="136">
        <f t="shared" si="513"/>
        <v>0</v>
      </c>
      <c r="CG249" s="136">
        <f t="shared" si="513"/>
        <v>0</v>
      </c>
      <c r="CH249" s="136">
        <f t="shared" si="513"/>
        <v>0</v>
      </c>
      <c r="CI249" s="136">
        <f t="shared" si="513"/>
        <v>0</v>
      </c>
      <c r="CJ249" s="136">
        <f t="shared" si="513"/>
        <v>0</v>
      </c>
      <c r="CK249" s="136">
        <f t="shared" si="513"/>
        <v>0</v>
      </c>
      <c r="CL249" s="136">
        <f t="shared" si="513"/>
        <v>0</v>
      </c>
      <c r="CM249" s="136">
        <f t="shared" si="513"/>
        <v>0</v>
      </c>
      <c r="CN249" s="136">
        <f t="shared" si="513"/>
        <v>0</v>
      </c>
      <c r="CO249" s="136">
        <f t="shared" si="513"/>
        <v>0</v>
      </c>
      <c r="CP249" s="136">
        <f t="shared" si="513"/>
        <v>0</v>
      </c>
      <c r="CQ249" s="136">
        <f t="shared" si="513"/>
        <v>0</v>
      </c>
      <c r="CR249" s="137">
        <f t="shared" si="511"/>
        <v>72.634585876801495</v>
      </c>
      <c r="CS249" s="26"/>
      <c r="CT249" s="25"/>
    </row>
    <row r="250" spans="1:98" x14ac:dyDescent="0.3">
      <c r="A250" s="104" t="str">
        <f t="shared" ref="A250:I250" si="514">A38</f>
        <v>Warkworth</v>
      </c>
      <c r="B250" s="104" t="str">
        <f t="shared" si="514"/>
        <v>Reg Sportsfield</v>
      </c>
      <c r="C250" s="104" t="str">
        <f t="shared" si="514"/>
        <v>Warkworth</v>
      </c>
      <c r="D250" s="104" t="str">
        <f t="shared" si="514"/>
        <v>Warkworth South-East, South-west</v>
      </c>
      <c r="E250" s="104">
        <f t="shared" si="514"/>
        <v>0</v>
      </c>
      <c r="F250" s="104">
        <f t="shared" si="514"/>
        <v>0</v>
      </c>
      <c r="G250" s="104">
        <f t="shared" si="514"/>
        <v>0</v>
      </c>
      <c r="H250" s="104">
        <f t="shared" si="514"/>
        <v>1</v>
      </c>
      <c r="I250" s="104">
        <f t="shared" si="514"/>
        <v>0</v>
      </c>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4"/>
      <c r="AY250" s="104"/>
      <c r="AZ250" s="104"/>
      <c r="BA250" s="104"/>
      <c r="BB250" s="104"/>
      <c r="BC250" s="104"/>
      <c r="BD250" s="104"/>
      <c r="BE250" s="104"/>
      <c r="BF250" s="104"/>
      <c r="BG250" s="104"/>
      <c r="BH250" s="104"/>
      <c r="BI250" s="104"/>
      <c r="BJ250" s="104"/>
      <c r="BK250" s="104"/>
      <c r="BL250" s="136">
        <f t="shared" ref="BL250:CQ250" si="515">BL38+BL153</f>
        <v>0</v>
      </c>
      <c r="BM250" s="136">
        <f t="shared" si="515"/>
        <v>0</v>
      </c>
      <c r="BN250" s="136">
        <f t="shared" si="515"/>
        <v>0</v>
      </c>
      <c r="BO250" s="136">
        <f t="shared" si="515"/>
        <v>0</v>
      </c>
      <c r="BP250" s="136">
        <f t="shared" si="515"/>
        <v>0</v>
      </c>
      <c r="BQ250" s="136">
        <f t="shared" si="515"/>
        <v>0</v>
      </c>
      <c r="BR250" s="136">
        <f t="shared" si="515"/>
        <v>0</v>
      </c>
      <c r="BS250" s="136">
        <f t="shared" si="515"/>
        <v>0</v>
      </c>
      <c r="BT250" s="136">
        <f t="shared" si="515"/>
        <v>0</v>
      </c>
      <c r="BU250" s="136">
        <f t="shared" si="515"/>
        <v>0</v>
      </c>
      <c r="BV250" s="136">
        <f t="shared" si="515"/>
        <v>0</v>
      </c>
      <c r="BW250" s="136">
        <f t="shared" si="515"/>
        <v>0</v>
      </c>
      <c r="BX250" s="136">
        <f t="shared" si="515"/>
        <v>0</v>
      </c>
      <c r="BY250" s="136">
        <f t="shared" si="515"/>
        <v>2.4458207629605733</v>
      </c>
      <c r="BZ250" s="136">
        <f t="shared" si="515"/>
        <v>2.6191765844031831</v>
      </c>
      <c r="CA250" s="136">
        <f t="shared" si="515"/>
        <v>2.8048341252082114</v>
      </c>
      <c r="CB250" s="136">
        <f t="shared" si="515"/>
        <v>3.9012026661621984</v>
      </c>
      <c r="CC250" s="136">
        <f t="shared" si="515"/>
        <v>4.1779499157025279</v>
      </c>
      <c r="CD250" s="136">
        <f t="shared" si="515"/>
        <v>4.4743409808855619</v>
      </c>
      <c r="CE250" s="136">
        <f t="shared" si="515"/>
        <v>4.7917704573622917</v>
      </c>
      <c r="CF250" s="136">
        <f t="shared" si="515"/>
        <v>4.5375698074117876</v>
      </c>
      <c r="CG250" s="136">
        <f t="shared" si="515"/>
        <v>4.8596073648318709</v>
      </c>
      <c r="CH250" s="136">
        <f t="shared" si="515"/>
        <v>5.2045067310528434</v>
      </c>
      <c r="CI250" s="136">
        <f t="shared" si="515"/>
        <v>5.5738910316284995</v>
      </c>
      <c r="CJ250" s="136">
        <f t="shared" si="515"/>
        <v>0</v>
      </c>
      <c r="CK250" s="136">
        <f t="shared" si="515"/>
        <v>0</v>
      </c>
      <c r="CL250" s="136">
        <f t="shared" si="515"/>
        <v>0</v>
      </c>
      <c r="CM250" s="136">
        <f t="shared" si="515"/>
        <v>0</v>
      </c>
      <c r="CN250" s="136">
        <f t="shared" si="515"/>
        <v>0</v>
      </c>
      <c r="CO250" s="136">
        <f t="shared" si="515"/>
        <v>0</v>
      </c>
      <c r="CP250" s="136">
        <f t="shared" si="515"/>
        <v>0</v>
      </c>
      <c r="CQ250" s="136">
        <f t="shared" si="515"/>
        <v>0</v>
      </c>
      <c r="CR250" s="137">
        <f t="shared" si="511"/>
        <v>45.39067042760955</v>
      </c>
      <c r="CS250" s="26"/>
      <c r="CT250" s="25"/>
    </row>
    <row r="251" spans="1:98" x14ac:dyDescent="0.3">
      <c r="A251" s="104" t="str">
        <f t="shared" ref="A251:I251" si="516">A39</f>
        <v>acquired</v>
      </c>
      <c r="B251" s="104" t="str">
        <f t="shared" si="516"/>
        <v>Whenuapai</v>
      </c>
      <c r="C251" s="104">
        <f t="shared" si="516"/>
        <v>0</v>
      </c>
      <c r="D251" s="104" t="str">
        <f t="shared" si="516"/>
        <v>Whenuapai East/South</v>
      </c>
      <c r="E251" s="104" t="str">
        <f t="shared" si="516"/>
        <v>2555m2 already acq in trig Rd</v>
      </c>
      <c r="F251" s="104">
        <f t="shared" si="516"/>
        <v>0</v>
      </c>
      <c r="G251" s="104">
        <f t="shared" si="516"/>
        <v>0</v>
      </c>
      <c r="H251" s="104">
        <f t="shared" si="516"/>
        <v>0</v>
      </c>
      <c r="I251" s="104">
        <f t="shared" si="516"/>
        <v>0</v>
      </c>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c r="AU251" s="104"/>
      <c r="AV251" s="104"/>
      <c r="AW251" s="104"/>
      <c r="AX251" s="104"/>
      <c r="AY251" s="104"/>
      <c r="AZ251" s="104"/>
      <c r="BA251" s="104"/>
      <c r="BB251" s="104"/>
      <c r="BC251" s="104"/>
      <c r="BD251" s="104"/>
      <c r="BE251" s="104"/>
      <c r="BF251" s="104"/>
      <c r="BG251" s="104"/>
      <c r="BH251" s="104"/>
      <c r="BI251" s="104"/>
      <c r="BJ251" s="104"/>
      <c r="BK251" s="104"/>
      <c r="BL251" s="136">
        <f t="shared" ref="BL251:CQ251" si="517">BL39+BL154</f>
        <v>0</v>
      </c>
      <c r="BM251" s="136">
        <f t="shared" si="517"/>
        <v>0</v>
      </c>
      <c r="BN251" s="136">
        <f t="shared" si="517"/>
        <v>0</v>
      </c>
      <c r="BO251" s="136">
        <f t="shared" si="517"/>
        <v>0</v>
      </c>
      <c r="BP251" s="136">
        <f t="shared" si="517"/>
        <v>0</v>
      </c>
      <c r="BQ251" s="136">
        <f t="shared" si="517"/>
        <v>0</v>
      </c>
      <c r="BR251" s="136">
        <f t="shared" si="517"/>
        <v>0</v>
      </c>
      <c r="BS251" s="136">
        <f t="shared" si="517"/>
        <v>0</v>
      </c>
      <c r="BT251" s="136">
        <f t="shared" si="517"/>
        <v>0</v>
      </c>
      <c r="BU251" s="136">
        <f t="shared" si="517"/>
        <v>0</v>
      </c>
      <c r="BV251" s="136">
        <f t="shared" si="517"/>
        <v>0</v>
      </c>
      <c r="BW251" s="136">
        <f t="shared" si="517"/>
        <v>0</v>
      </c>
      <c r="BX251" s="136">
        <f t="shared" si="517"/>
        <v>0</v>
      </c>
      <c r="BY251" s="136">
        <f t="shared" si="517"/>
        <v>0</v>
      </c>
      <c r="BZ251" s="136">
        <f t="shared" si="517"/>
        <v>0</v>
      </c>
      <c r="CA251" s="136">
        <f t="shared" si="517"/>
        <v>0</v>
      </c>
      <c r="CB251" s="136">
        <f t="shared" si="517"/>
        <v>0</v>
      </c>
      <c r="CC251" s="136">
        <f t="shared" si="517"/>
        <v>0</v>
      </c>
      <c r="CD251" s="136">
        <f t="shared" si="517"/>
        <v>0</v>
      </c>
      <c r="CE251" s="136">
        <f t="shared" si="517"/>
        <v>0</v>
      </c>
      <c r="CF251" s="136">
        <f t="shared" si="517"/>
        <v>0</v>
      </c>
      <c r="CG251" s="136">
        <f t="shared" si="517"/>
        <v>0</v>
      </c>
      <c r="CH251" s="136">
        <f t="shared" si="517"/>
        <v>0</v>
      </c>
      <c r="CI251" s="136">
        <f t="shared" si="517"/>
        <v>0</v>
      </c>
      <c r="CJ251" s="136">
        <f t="shared" si="517"/>
        <v>0</v>
      </c>
      <c r="CK251" s="136">
        <f t="shared" si="517"/>
        <v>0</v>
      </c>
      <c r="CL251" s="136">
        <f t="shared" si="517"/>
        <v>0</v>
      </c>
      <c r="CM251" s="136">
        <f t="shared" si="517"/>
        <v>0</v>
      </c>
      <c r="CN251" s="136">
        <f t="shared" si="517"/>
        <v>0</v>
      </c>
      <c r="CO251" s="136">
        <f t="shared" si="517"/>
        <v>0</v>
      </c>
      <c r="CP251" s="136">
        <f t="shared" si="517"/>
        <v>0</v>
      </c>
      <c r="CQ251" s="136">
        <f t="shared" si="517"/>
        <v>0</v>
      </c>
      <c r="CR251" s="137">
        <f t="shared" si="511"/>
        <v>0</v>
      </c>
      <c r="CS251" s="26"/>
      <c r="CT251" s="25"/>
    </row>
    <row r="252" spans="1:98" x14ac:dyDescent="0.3">
      <c r="A252" s="104" t="str">
        <f t="shared" ref="A252:I252" si="518">A40</f>
        <v>Whenuapai</v>
      </c>
      <c r="B252" s="104" t="str">
        <f t="shared" si="518"/>
        <v>ScottPt-BombPt</v>
      </c>
      <c r="C252" s="104">
        <f t="shared" si="518"/>
        <v>0</v>
      </c>
      <c r="D252" s="104" t="str">
        <f t="shared" si="518"/>
        <v>Scott Pt LZ</v>
      </c>
      <c r="E252" s="104" t="str">
        <f t="shared" si="518"/>
        <v>BombPt SBP, SULs</v>
      </c>
      <c r="F252" s="104">
        <f t="shared" si="518"/>
        <v>0</v>
      </c>
      <c r="G252" s="104">
        <f t="shared" si="518"/>
        <v>1</v>
      </c>
      <c r="H252" s="104">
        <f t="shared" si="518"/>
        <v>0</v>
      </c>
      <c r="I252" s="104">
        <f t="shared" si="518"/>
        <v>0</v>
      </c>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4"/>
      <c r="AL252" s="104"/>
      <c r="AM252" s="104"/>
      <c r="AN252" s="104"/>
      <c r="AO252" s="104"/>
      <c r="AP252" s="104"/>
      <c r="AQ252" s="104"/>
      <c r="AR252" s="104"/>
      <c r="AS252" s="104"/>
      <c r="AT252" s="104"/>
      <c r="AU252" s="104"/>
      <c r="AV252" s="104"/>
      <c r="AW252" s="104"/>
      <c r="AX252" s="104"/>
      <c r="AY252" s="104"/>
      <c r="AZ252" s="104"/>
      <c r="BA252" s="104"/>
      <c r="BB252" s="104"/>
      <c r="BC252" s="104"/>
      <c r="BD252" s="104"/>
      <c r="BE252" s="104"/>
      <c r="BF252" s="104"/>
      <c r="BG252" s="104"/>
      <c r="BH252" s="104"/>
      <c r="BI252" s="104"/>
      <c r="BJ252" s="104"/>
      <c r="BK252" s="104"/>
      <c r="BL252" s="136">
        <f t="shared" ref="BL252:CQ252" si="519">BL40+BL155</f>
        <v>0</v>
      </c>
      <c r="BM252" s="136">
        <f t="shared" si="519"/>
        <v>0</v>
      </c>
      <c r="BN252" s="136">
        <f t="shared" si="519"/>
        <v>0</v>
      </c>
      <c r="BO252" s="136">
        <f t="shared" si="519"/>
        <v>0</v>
      </c>
      <c r="BP252" s="136">
        <f t="shared" si="519"/>
        <v>0</v>
      </c>
      <c r="BQ252" s="136">
        <f t="shared" si="519"/>
        <v>0</v>
      </c>
      <c r="BR252" s="136">
        <f t="shared" si="519"/>
        <v>0</v>
      </c>
      <c r="BS252" s="136">
        <f t="shared" si="519"/>
        <v>0</v>
      </c>
      <c r="BT252" s="136">
        <f t="shared" si="519"/>
        <v>0</v>
      </c>
      <c r="BU252" s="136">
        <f t="shared" si="519"/>
        <v>5.1760903031542504</v>
      </c>
      <c r="BV252" s="136">
        <f t="shared" si="519"/>
        <v>9.6758820795350253</v>
      </c>
      <c r="BW252" s="136">
        <f t="shared" si="519"/>
        <v>10.490034588424193</v>
      </c>
      <c r="BX252" s="136">
        <f t="shared" si="519"/>
        <v>11.392504520389858</v>
      </c>
      <c r="BY252" s="136">
        <f t="shared" si="519"/>
        <v>11.706713628569471</v>
      </c>
      <c r="BZ252" s="136">
        <f t="shared" si="519"/>
        <v>5.9421875363297767</v>
      </c>
      <c r="CA252" s="136">
        <f t="shared" si="519"/>
        <v>6.8414109371940111</v>
      </c>
      <c r="CB252" s="136">
        <f t="shared" si="519"/>
        <v>29.079999506461085</v>
      </c>
      <c r="CC252" s="136">
        <f t="shared" si="519"/>
        <v>31.144182755433096</v>
      </c>
      <c r="CD252" s="136">
        <f t="shared" si="519"/>
        <v>0</v>
      </c>
      <c r="CE252" s="136">
        <f t="shared" si="519"/>
        <v>0</v>
      </c>
      <c r="CF252" s="136">
        <f t="shared" si="519"/>
        <v>0</v>
      </c>
      <c r="CG252" s="136">
        <f t="shared" si="519"/>
        <v>0</v>
      </c>
      <c r="CH252" s="136">
        <f t="shared" si="519"/>
        <v>0</v>
      </c>
      <c r="CI252" s="136">
        <f t="shared" si="519"/>
        <v>0</v>
      </c>
      <c r="CJ252" s="136">
        <f t="shared" si="519"/>
        <v>0</v>
      </c>
      <c r="CK252" s="136">
        <f t="shared" si="519"/>
        <v>0</v>
      </c>
      <c r="CL252" s="136">
        <f t="shared" si="519"/>
        <v>0</v>
      </c>
      <c r="CM252" s="136">
        <f t="shared" si="519"/>
        <v>0</v>
      </c>
      <c r="CN252" s="136">
        <f t="shared" si="519"/>
        <v>0</v>
      </c>
      <c r="CO252" s="136">
        <f t="shared" si="519"/>
        <v>0</v>
      </c>
      <c r="CP252" s="136">
        <f t="shared" si="519"/>
        <v>0</v>
      </c>
      <c r="CQ252" s="136">
        <f t="shared" si="519"/>
        <v>0</v>
      </c>
      <c r="CR252" s="137">
        <f t="shared" si="511"/>
        <v>121.44900585549077</v>
      </c>
      <c r="CS252" s="26"/>
      <c r="CT252" s="25"/>
    </row>
    <row r="253" spans="1:98" x14ac:dyDescent="0.3">
      <c r="A253" s="104" t="str">
        <f t="shared" ref="A253:I253" si="520">A41</f>
        <v>Whenuapai</v>
      </c>
      <c r="B253" s="104" t="str">
        <f t="shared" si="520"/>
        <v>ScottPt-BombPt</v>
      </c>
      <c r="C253" s="104">
        <f t="shared" si="520"/>
        <v>0</v>
      </c>
      <c r="D253" s="104" t="str">
        <f t="shared" si="520"/>
        <v>Scott Pt LZ</v>
      </c>
      <c r="E253" s="142" t="str">
        <f t="shared" si="520"/>
        <v>Tahingamanu</v>
      </c>
      <c r="F253" s="104">
        <f t="shared" si="520"/>
        <v>1</v>
      </c>
      <c r="G253" s="104">
        <f t="shared" si="520"/>
        <v>0</v>
      </c>
      <c r="H253" s="104">
        <f t="shared" si="520"/>
        <v>0</v>
      </c>
      <c r="I253" s="104">
        <f t="shared" si="520"/>
        <v>0</v>
      </c>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4"/>
      <c r="AL253" s="104"/>
      <c r="AM253" s="104"/>
      <c r="AN253" s="104"/>
      <c r="AO253" s="104"/>
      <c r="AP253" s="104"/>
      <c r="AQ253" s="104"/>
      <c r="AR253" s="104"/>
      <c r="AS253" s="104"/>
      <c r="AT253" s="104"/>
      <c r="AU253" s="104"/>
      <c r="AV253" s="104"/>
      <c r="AW253" s="104"/>
      <c r="AX253" s="104"/>
      <c r="AY253" s="104"/>
      <c r="AZ253" s="104"/>
      <c r="BA253" s="104"/>
      <c r="BB253" s="104"/>
      <c r="BC253" s="104"/>
      <c r="BD253" s="104"/>
      <c r="BE253" s="104"/>
      <c r="BF253" s="104"/>
      <c r="BG253" s="104"/>
      <c r="BH253" s="104"/>
      <c r="BI253" s="104"/>
      <c r="BJ253" s="104"/>
      <c r="BK253" s="104"/>
      <c r="BL253" s="136">
        <f t="shared" ref="BL253:CQ253" si="521">BL41+BL156</f>
        <v>1.28144315714</v>
      </c>
      <c r="BM253" s="136">
        <f t="shared" si="521"/>
        <v>1.3708954213256201</v>
      </c>
      <c r="BN253" s="136">
        <f t="shared" si="521"/>
        <v>1.4297675292080398</v>
      </c>
      <c r="BO253" s="136">
        <f t="shared" si="521"/>
        <v>1.5309298279434169</v>
      </c>
      <c r="BP253" s="136">
        <f t="shared" si="521"/>
        <v>1.6392669235805606</v>
      </c>
      <c r="BQ253" s="136">
        <f t="shared" si="521"/>
        <v>0</v>
      </c>
      <c r="BR253" s="136">
        <f t="shared" si="521"/>
        <v>0</v>
      </c>
      <c r="BS253" s="136">
        <f t="shared" si="521"/>
        <v>0</v>
      </c>
      <c r="BT253" s="136">
        <f t="shared" si="521"/>
        <v>0</v>
      </c>
      <c r="BU253" s="136">
        <f t="shared" si="521"/>
        <v>0</v>
      </c>
      <c r="BV253" s="136">
        <f t="shared" si="521"/>
        <v>0</v>
      </c>
      <c r="BW253" s="136">
        <f t="shared" si="521"/>
        <v>0</v>
      </c>
      <c r="BX253" s="136">
        <f t="shared" si="521"/>
        <v>0</v>
      </c>
      <c r="BY253" s="136">
        <f t="shared" si="521"/>
        <v>0</v>
      </c>
      <c r="BZ253" s="136">
        <f t="shared" si="521"/>
        <v>0</v>
      </c>
      <c r="CA253" s="136">
        <f t="shared" si="521"/>
        <v>0</v>
      </c>
      <c r="CB253" s="136">
        <f t="shared" si="521"/>
        <v>0</v>
      </c>
      <c r="CC253" s="136">
        <f t="shared" si="521"/>
        <v>0</v>
      </c>
      <c r="CD253" s="136">
        <f t="shared" si="521"/>
        <v>0</v>
      </c>
      <c r="CE253" s="136">
        <f t="shared" si="521"/>
        <v>0</v>
      </c>
      <c r="CF253" s="136">
        <f t="shared" si="521"/>
        <v>0</v>
      </c>
      <c r="CG253" s="136">
        <f t="shared" si="521"/>
        <v>0</v>
      </c>
      <c r="CH253" s="136">
        <f t="shared" si="521"/>
        <v>0</v>
      </c>
      <c r="CI253" s="136">
        <f t="shared" si="521"/>
        <v>0</v>
      </c>
      <c r="CJ253" s="136">
        <f t="shared" si="521"/>
        <v>0</v>
      </c>
      <c r="CK253" s="136">
        <f t="shared" si="521"/>
        <v>0</v>
      </c>
      <c r="CL253" s="136">
        <f t="shared" si="521"/>
        <v>0</v>
      </c>
      <c r="CM253" s="136">
        <f t="shared" si="521"/>
        <v>0</v>
      </c>
      <c r="CN253" s="136">
        <f t="shared" si="521"/>
        <v>0</v>
      </c>
      <c r="CO253" s="136">
        <f t="shared" si="521"/>
        <v>0</v>
      </c>
      <c r="CP253" s="136">
        <f t="shared" si="521"/>
        <v>0</v>
      </c>
      <c r="CQ253" s="136">
        <f t="shared" si="521"/>
        <v>0</v>
      </c>
      <c r="CR253" s="137">
        <f t="shared" si="511"/>
        <v>7.2523028591976377</v>
      </c>
      <c r="CS253" s="26"/>
      <c r="CT253" s="25"/>
    </row>
    <row r="254" spans="1:98" x14ac:dyDescent="0.3">
      <c r="A254" s="104" t="str">
        <f t="shared" ref="A254:I254" si="522">A42</f>
        <v>Whenuapai</v>
      </c>
      <c r="B254" s="104" t="str">
        <f t="shared" si="522"/>
        <v>Whenuapai</v>
      </c>
      <c r="C254" s="104">
        <f t="shared" si="522"/>
        <v>0</v>
      </c>
      <c r="D254" s="104" t="str">
        <f t="shared" si="522"/>
        <v>Whenuapai East/South</v>
      </c>
      <c r="E254" s="104" t="str">
        <f t="shared" si="522"/>
        <v>2555m2 already acq in trig Rd</v>
      </c>
      <c r="F254" s="104">
        <f t="shared" si="522"/>
        <v>0</v>
      </c>
      <c r="G254" s="104">
        <f t="shared" si="522"/>
        <v>0.91483333333333339</v>
      </c>
      <c r="H254" s="104">
        <f t="shared" si="522"/>
        <v>0</v>
      </c>
      <c r="I254" s="104">
        <f t="shared" si="522"/>
        <v>0</v>
      </c>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4"/>
      <c r="AL254" s="104"/>
      <c r="AM254" s="104"/>
      <c r="AN254" s="104"/>
      <c r="AO254" s="104"/>
      <c r="AP254" s="104"/>
      <c r="AQ254" s="104"/>
      <c r="AR254" s="104"/>
      <c r="AS254" s="104"/>
      <c r="AT254" s="104"/>
      <c r="AU254" s="104"/>
      <c r="AV254" s="104"/>
      <c r="AW254" s="104"/>
      <c r="AX254" s="104"/>
      <c r="AY254" s="104"/>
      <c r="AZ254" s="104"/>
      <c r="BA254" s="104"/>
      <c r="BB254" s="104"/>
      <c r="BC254" s="104"/>
      <c r="BD254" s="104"/>
      <c r="BE254" s="104"/>
      <c r="BF254" s="104"/>
      <c r="BG254" s="104"/>
      <c r="BH254" s="104"/>
      <c r="BI254" s="104"/>
      <c r="BJ254" s="104"/>
      <c r="BK254" s="104"/>
      <c r="BL254" s="136">
        <f t="shared" ref="BL254:CQ254" si="523">BL42+BL157</f>
        <v>0</v>
      </c>
      <c r="BM254" s="136">
        <f t="shared" si="523"/>
        <v>0</v>
      </c>
      <c r="BN254" s="136">
        <f t="shared" si="523"/>
        <v>0</v>
      </c>
      <c r="BO254" s="136">
        <f t="shared" si="523"/>
        <v>0</v>
      </c>
      <c r="BP254" s="136">
        <f t="shared" si="523"/>
        <v>0</v>
      </c>
      <c r="BQ254" s="136">
        <f t="shared" si="523"/>
        <v>1.1749848284699</v>
      </c>
      <c r="BR254" s="136">
        <f t="shared" si="523"/>
        <v>1.8849070180818186</v>
      </c>
      <c r="BS254" s="136">
        <f t="shared" si="523"/>
        <v>2.0185035660333019</v>
      </c>
      <c r="BT254" s="136">
        <f t="shared" si="523"/>
        <v>2.2325265178593732</v>
      </c>
      <c r="BU254" s="136">
        <f t="shared" si="523"/>
        <v>0.27025066416814458</v>
      </c>
      <c r="BV254" s="136">
        <f t="shared" si="523"/>
        <v>2.5760709468194221</v>
      </c>
      <c r="BW254" s="136">
        <f t="shared" si="523"/>
        <v>2.7588047916487302</v>
      </c>
      <c r="BX254" s="136">
        <f t="shared" si="523"/>
        <v>2.9545090612282321</v>
      </c>
      <c r="BY254" s="136">
        <f t="shared" si="523"/>
        <v>3.1641045747940715</v>
      </c>
      <c r="BZ254" s="136">
        <f t="shared" si="523"/>
        <v>9.8851166312788052</v>
      </c>
      <c r="CA254" s="136">
        <f t="shared" si="523"/>
        <v>10.586757237012243</v>
      </c>
      <c r="CB254" s="136">
        <f t="shared" si="523"/>
        <v>0</v>
      </c>
      <c r="CC254" s="136">
        <f t="shared" si="523"/>
        <v>0</v>
      </c>
      <c r="CD254" s="136">
        <f t="shared" si="523"/>
        <v>0</v>
      </c>
      <c r="CE254" s="136">
        <f t="shared" si="523"/>
        <v>0</v>
      </c>
      <c r="CF254" s="136">
        <f t="shared" si="523"/>
        <v>0</v>
      </c>
      <c r="CG254" s="136">
        <f t="shared" si="523"/>
        <v>0</v>
      </c>
      <c r="CH254" s="136">
        <f t="shared" si="523"/>
        <v>0</v>
      </c>
      <c r="CI254" s="136">
        <f t="shared" si="523"/>
        <v>0</v>
      </c>
      <c r="CJ254" s="136">
        <f t="shared" si="523"/>
        <v>0</v>
      </c>
      <c r="CK254" s="136">
        <f t="shared" si="523"/>
        <v>0</v>
      </c>
      <c r="CL254" s="136">
        <f t="shared" si="523"/>
        <v>0</v>
      </c>
      <c r="CM254" s="136">
        <f t="shared" si="523"/>
        <v>0</v>
      </c>
      <c r="CN254" s="136">
        <f t="shared" si="523"/>
        <v>0</v>
      </c>
      <c r="CO254" s="136">
        <f t="shared" si="523"/>
        <v>0</v>
      </c>
      <c r="CP254" s="136">
        <f t="shared" si="523"/>
        <v>0</v>
      </c>
      <c r="CQ254" s="136">
        <f t="shared" si="523"/>
        <v>0</v>
      </c>
      <c r="CR254" s="137">
        <f t="shared" si="511"/>
        <v>39.50653583739404</v>
      </c>
      <c r="CS254" s="26"/>
      <c r="CT254" s="25"/>
    </row>
    <row r="255" spans="1:98" x14ac:dyDescent="0.3">
      <c r="A255" s="104" t="str">
        <f t="shared" ref="A255:I255" si="524">A43</f>
        <v>Redhills</v>
      </c>
      <c r="B255" s="104" t="str">
        <f t="shared" si="524"/>
        <v>Redhills</v>
      </c>
      <c r="C255" s="104">
        <f t="shared" si="524"/>
        <v>0</v>
      </c>
      <c r="D255" s="104" t="str">
        <f t="shared" si="524"/>
        <v>Redhills Precinct area</v>
      </c>
      <c r="E255" s="142" t="str">
        <f t="shared" si="524"/>
        <v>assume 5000m2 for 126/132-136 Fred Taylor, $500 psm from neg, split 50/50 between FY25 and FY26</v>
      </c>
      <c r="F255" s="142">
        <f t="shared" si="524"/>
        <v>1.25</v>
      </c>
      <c r="G255" s="104">
        <f t="shared" si="524"/>
        <v>0</v>
      </c>
      <c r="H255" s="104">
        <f t="shared" si="524"/>
        <v>0</v>
      </c>
      <c r="I255" s="104">
        <f t="shared" si="524"/>
        <v>0</v>
      </c>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4"/>
      <c r="AL255" s="104"/>
      <c r="AM255" s="104"/>
      <c r="AN255" s="104"/>
      <c r="AO255" s="104"/>
      <c r="AP255" s="104"/>
      <c r="AQ255" s="104"/>
      <c r="AR255" s="104"/>
      <c r="AS255" s="104"/>
      <c r="AT255" s="104"/>
      <c r="AU255" s="104"/>
      <c r="AV255" s="104"/>
      <c r="AW255" s="104"/>
      <c r="AX255" s="104"/>
      <c r="AY255" s="104"/>
      <c r="AZ255" s="104"/>
      <c r="BA255" s="104"/>
      <c r="BB255" s="104"/>
      <c r="BC255" s="104"/>
      <c r="BD255" s="104"/>
      <c r="BE255" s="104"/>
      <c r="BF255" s="104"/>
      <c r="BG255" s="104"/>
      <c r="BH255" s="104"/>
      <c r="BI255" s="104"/>
      <c r="BJ255" s="104"/>
      <c r="BK255" s="104"/>
      <c r="BL255" s="157">
        <f t="shared" ref="BL255:CQ255" si="525">BL43+BL158</f>
        <v>1.3018078928499999</v>
      </c>
      <c r="BM255" s="157">
        <f t="shared" si="525"/>
        <v>1.3923125533140499</v>
      </c>
      <c r="BN255" s="157">
        <f t="shared" si="525"/>
        <v>0</v>
      </c>
      <c r="BO255" s="157">
        <f t="shared" si="525"/>
        <v>0</v>
      </c>
      <c r="BP255" s="157">
        <f t="shared" si="525"/>
        <v>0</v>
      </c>
      <c r="BQ255" s="157">
        <f t="shared" si="525"/>
        <v>0</v>
      </c>
      <c r="BR255" s="157">
        <f t="shared" si="525"/>
        <v>0</v>
      </c>
      <c r="BS255" s="157">
        <f t="shared" si="525"/>
        <v>0</v>
      </c>
      <c r="BT255" s="157">
        <f t="shared" si="525"/>
        <v>0</v>
      </c>
      <c r="BU255" s="157">
        <f t="shared" si="525"/>
        <v>0</v>
      </c>
      <c r="BV255" s="157">
        <f t="shared" si="525"/>
        <v>0</v>
      </c>
      <c r="BW255" s="157">
        <f t="shared" si="525"/>
        <v>0</v>
      </c>
      <c r="BX255" s="157">
        <f t="shared" si="525"/>
        <v>0</v>
      </c>
      <c r="BY255" s="157">
        <f t="shared" si="525"/>
        <v>0</v>
      </c>
      <c r="BZ255" s="157">
        <f t="shared" si="525"/>
        <v>0</v>
      </c>
      <c r="CA255" s="157">
        <f t="shared" si="525"/>
        <v>0</v>
      </c>
      <c r="CB255" s="157">
        <f t="shared" si="525"/>
        <v>0</v>
      </c>
      <c r="CC255" s="157">
        <f t="shared" si="525"/>
        <v>0</v>
      </c>
      <c r="CD255" s="157">
        <f t="shared" si="525"/>
        <v>0</v>
      </c>
      <c r="CE255" s="157">
        <f t="shared" si="525"/>
        <v>0</v>
      </c>
      <c r="CF255" s="157">
        <f t="shared" si="525"/>
        <v>0</v>
      </c>
      <c r="CG255" s="157">
        <f t="shared" si="525"/>
        <v>0</v>
      </c>
      <c r="CH255" s="157">
        <f t="shared" si="525"/>
        <v>0</v>
      </c>
      <c r="CI255" s="157">
        <f t="shared" si="525"/>
        <v>0</v>
      </c>
      <c r="CJ255" s="157">
        <f t="shared" si="525"/>
        <v>0</v>
      </c>
      <c r="CK255" s="157">
        <f t="shared" si="525"/>
        <v>0</v>
      </c>
      <c r="CL255" s="157">
        <f t="shared" si="525"/>
        <v>0</v>
      </c>
      <c r="CM255" s="157">
        <f t="shared" si="525"/>
        <v>0</v>
      </c>
      <c r="CN255" s="157">
        <f t="shared" si="525"/>
        <v>0</v>
      </c>
      <c r="CO255" s="157">
        <f t="shared" si="525"/>
        <v>0</v>
      </c>
      <c r="CP255" s="157">
        <f t="shared" si="525"/>
        <v>0</v>
      </c>
      <c r="CQ255" s="157">
        <f t="shared" si="525"/>
        <v>0</v>
      </c>
      <c r="CR255" s="158">
        <f t="shared" si="511"/>
        <v>2.6941204461640496</v>
      </c>
      <c r="CS255" s="26"/>
      <c r="CT255" s="25"/>
    </row>
    <row r="256" spans="1:98" x14ac:dyDescent="0.3">
      <c r="A256" s="104" t="str">
        <f t="shared" ref="A256:I256" si="526">A44</f>
        <v>Redhills</v>
      </c>
      <c r="B256" s="104" t="str">
        <f t="shared" si="526"/>
        <v>Redhills</v>
      </c>
      <c r="C256" s="104">
        <f t="shared" si="526"/>
        <v>0</v>
      </c>
      <c r="D256" s="104" t="str">
        <f t="shared" si="526"/>
        <v>Redhills Precinct area</v>
      </c>
      <c r="E256" s="104" t="str">
        <f t="shared" si="526"/>
        <v>remainder</v>
      </c>
      <c r="F256" s="104">
        <f t="shared" si="526"/>
        <v>12</v>
      </c>
      <c r="G256" s="104">
        <f t="shared" si="526"/>
        <v>0</v>
      </c>
      <c r="H256" s="104">
        <f t="shared" si="526"/>
        <v>0</v>
      </c>
      <c r="I256" s="104">
        <f t="shared" si="526"/>
        <v>0</v>
      </c>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4"/>
      <c r="AL256" s="104"/>
      <c r="AM256" s="104"/>
      <c r="AN256" s="104"/>
      <c r="AO256" s="104"/>
      <c r="AP256" s="104"/>
      <c r="AQ256" s="104"/>
      <c r="AR256" s="104"/>
      <c r="AS256" s="104"/>
      <c r="AT256" s="104"/>
      <c r="AU256" s="104"/>
      <c r="AV256" s="104"/>
      <c r="AW256" s="104"/>
      <c r="AX256" s="104"/>
      <c r="AY256" s="104"/>
      <c r="AZ256" s="104"/>
      <c r="BA256" s="104"/>
      <c r="BB256" s="104"/>
      <c r="BC256" s="104"/>
      <c r="BD256" s="104"/>
      <c r="BE256" s="104"/>
      <c r="BF256" s="104"/>
      <c r="BG256" s="104"/>
      <c r="BH256" s="104"/>
      <c r="BI256" s="104"/>
      <c r="BJ256" s="104"/>
      <c r="BK256" s="104"/>
      <c r="BL256" s="136">
        <f t="shared" ref="BL256:CQ256" si="527">BL44+BL159</f>
        <v>1.8123934201048075</v>
      </c>
      <c r="BM256" s="136">
        <f t="shared" si="527"/>
        <v>0.99604494387714726</v>
      </c>
      <c r="BN256" s="136">
        <f t="shared" si="527"/>
        <v>1.3126095440783916</v>
      </c>
      <c r="BO256" s="136">
        <f t="shared" si="527"/>
        <v>1.622695995921434</v>
      </c>
      <c r="BP256" s="136">
        <f t="shared" si="527"/>
        <v>2.7745504578800588</v>
      </c>
      <c r="BQ256" s="136">
        <f t="shared" si="527"/>
        <v>6.8359164822401821</v>
      </c>
      <c r="BR256" s="136">
        <f t="shared" si="527"/>
        <v>5.9997382104576804</v>
      </c>
      <c r="BS256" s="136">
        <f t="shared" si="527"/>
        <v>6.915176529167721</v>
      </c>
      <c r="BT256" s="136">
        <f t="shared" si="527"/>
        <v>5.7367954767646667</v>
      </c>
      <c r="BU256" s="136">
        <f t="shared" si="527"/>
        <v>1.7992482630288198</v>
      </c>
      <c r="BV256" s="136">
        <f t="shared" si="527"/>
        <v>14.279940851629766</v>
      </c>
      <c r="BW256" s="136">
        <f t="shared" si="527"/>
        <v>15.479158443205352</v>
      </c>
      <c r="BX256" s="136">
        <f t="shared" si="527"/>
        <v>16.808431943524557</v>
      </c>
      <c r="BY256" s="136">
        <f t="shared" si="527"/>
        <v>17.269644434930775</v>
      </c>
      <c r="BZ256" s="136">
        <f t="shared" si="527"/>
        <v>8.7647166920878483</v>
      </c>
      <c r="CA256" s="136">
        <f t="shared" si="527"/>
        <v>10.089808570310357</v>
      </c>
      <c r="CB256" s="136">
        <f t="shared" si="527"/>
        <v>3.6724388966467219</v>
      </c>
      <c r="CC256" s="136">
        <f t="shared" si="527"/>
        <v>0</v>
      </c>
      <c r="CD256" s="136">
        <f t="shared" si="527"/>
        <v>0</v>
      </c>
      <c r="CE256" s="136">
        <f t="shared" si="527"/>
        <v>0</v>
      </c>
      <c r="CF256" s="136">
        <f t="shared" si="527"/>
        <v>0</v>
      </c>
      <c r="CG256" s="136">
        <f t="shared" si="527"/>
        <v>0</v>
      </c>
      <c r="CH256" s="136">
        <f t="shared" si="527"/>
        <v>0</v>
      </c>
      <c r="CI256" s="136">
        <f t="shared" si="527"/>
        <v>0</v>
      </c>
      <c r="CJ256" s="136">
        <f t="shared" si="527"/>
        <v>0</v>
      </c>
      <c r="CK256" s="136">
        <f t="shared" si="527"/>
        <v>0</v>
      </c>
      <c r="CL256" s="136">
        <f t="shared" si="527"/>
        <v>0</v>
      </c>
      <c r="CM256" s="136">
        <f t="shared" si="527"/>
        <v>0</v>
      </c>
      <c r="CN256" s="136">
        <f t="shared" si="527"/>
        <v>0</v>
      </c>
      <c r="CO256" s="136">
        <f t="shared" si="527"/>
        <v>0</v>
      </c>
      <c r="CP256" s="136">
        <f t="shared" si="527"/>
        <v>0</v>
      </c>
      <c r="CQ256" s="136">
        <f t="shared" si="527"/>
        <v>0</v>
      </c>
      <c r="CR256" s="137">
        <f t="shared" si="511"/>
        <v>122.16930915585627</v>
      </c>
      <c r="CS256" s="26"/>
      <c r="CT256" s="25"/>
    </row>
    <row r="257" spans="1:102" x14ac:dyDescent="0.3">
      <c r="A257" s="104" t="str">
        <f t="shared" ref="A257:I257" si="528">A45</f>
        <v>Redhills</v>
      </c>
      <c r="B257" s="104" t="str">
        <f t="shared" si="528"/>
        <v>Redhills</v>
      </c>
      <c r="C257" s="104">
        <f t="shared" si="528"/>
        <v>0</v>
      </c>
      <c r="D257" s="104" t="str">
        <f t="shared" si="528"/>
        <v>Redhills Precinct area</v>
      </c>
      <c r="E257" s="104" t="str">
        <f t="shared" si="528"/>
        <v>remainder</v>
      </c>
      <c r="F257" s="104">
        <f t="shared" si="528"/>
        <v>0</v>
      </c>
      <c r="G257" s="104">
        <f t="shared" si="528"/>
        <v>2</v>
      </c>
      <c r="H257" s="104">
        <f t="shared" si="528"/>
        <v>0</v>
      </c>
      <c r="I257" s="104">
        <f t="shared" si="528"/>
        <v>0</v>
      </c>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4"/>
      <c r="AL257" s="104"/>
      <c r="AM257" s="104"/>
      <c r="AN257" s="104"/>
      <c r="AO257" s="104"/>
      <c r="AP257" s="104"/>
      <c r="AQ257" s="104"/>
      <c r="AR257" s="104"/>
      <c r="AS257" s="104"/>
      <c r="AT257" s="104"/>
      <c r="AU257" s="104"/>
      <c r="AV257" s="104"/>
      <c r="AW257" s="104"/>
      <c r="AX257" s="104"/>
      <c r="AY257" s="104"/>
      <c r="AZ257" s="104"/>
      <c r="BA257" s="104"/>
      <c r="BB257" s="104"/>
      <c r="BC257" s="104"/>
      <c r="BD257" s="104"/>
      <c r="BE257" s="104"/>
      <c r="BF257" s="104"/>
      <c r="BG257" s="104"/>
      <c r="BH257" s="104"/>
      <c r="BI257" s="104"/>
      <c r="BJ257" s="104"/>
      <c r="BK257" s="104"/>
      <c r="BL257" s="136">
        <f t="shared" ref="BL257:CQ257" si="529">BL45+BL160</f>
        <v>2.2339060094603358</v>
      </c>
      <c r="BM257" s="136">
        <f t="shared" si="529"/>
        <v>1.2282883804861457</v>
      </c>
      <c r="BN257" s="136">
        <f t="shared" si="529"/>
        <v>1.6188944237700533</v>
      </c>
      <c r="BO257" s="136">
        <f t="shared" si="529"/>
        <v>2.0192250149164779</v>
      </c>
      <c r="BP257" s="136">
        <f t="shared" si="529"/>
        <v>3.4532634612052893</v>
      </c>
      <c r="BQ257" s="136">
        <f t="shared" si="529"/>
        <v>8.5097988254075076</v>
      </c>
      <c r="BR257" s="136">
        <f t="shared" si="529"/>
        <v>7.4702720139437311</v>
      </c>
      <c r="BS257" s="136">
        <f t="shared" si="529"/>
        <v>8.6116276332858614</v>
      </c>
      <c r="BT257" s="136">
        <f t="shared" si="529"/>
        <v>7.1453852650372749</v>
      </c>
      <c r="BU257" s="136">
        <f t="shared" si="529"/>
        <v>2.2413945015828602</v>
      </c>
      <c r="BV257" s="136">
        <f t="shared" si="529"/>
        <v>17.791858458966029</v>
      </c>
      <c r="BW257" s="136">
        <f t="shared" si="529"/>
        <v>19.288873456598925</v>
      </c>
      <c r="BX257" s="136">
        <f t="shared" si="529"/>
        <v>20.948280757980179</v>
      </c>
      <c r="BY257" s="136">
        <f t="shared" si="529"/>
        <v>21.526005089432093</v>
      </c>
      <c r="BZ257" s="136">
        <f t="shared" si="529"/>
        <v>10.926324617024299</v>
      </c>
      <c r="CA257" s="136">
        <f t="shared" si="529"/>
        <v>12.579771588297064</v>
      </c>
      <c r="CB257" s="136">
        <f t="shared" si="529"/>
        <v>4.5792628779914617</v>
      </c>
      <c r="CC257" s="136">
        <f t="shared" si="529"/>
        <v>0</v>
      </c>
      <c r="CD257" s="136">
        <f t="shared" si="529"/>
        <v>0</v>
      </c>
      <c r="CE257" s="136">
        <f t="shared" si="529"/>
        <v>0</v>
      </c>
      <c r="CF257" s="136">
        <f t="shared" si="529"/>
        <v>0</v>
      </c>
      <c r="CG257" s="136">
        <f t="shared" si="529"/>
        <v>0</v>
      </c>
      <c r="CH257" s="136">
        <f t="shared" si="529"/>
        <v>0</v>
      </c>
      <c r="CI257" s="136">
        <f t="shared" si="529"/>
        <v>0</v>
      </c>
      <c r="CJ257" s="136">
        <f t="shared" si="529"/>
        <v>0</v>
      </c>
      <c r="CK257" s="136">
        <f t="shared" si="529"/>
        <v>0</v>
      </c>
      <c r="CL257" s="136">
        <f t="shared" si="529"/>
        <v>0</v>
      </c>
      <c r="CM257" s="136">
        <f t="shared" si="529"/>
        <v>0</v>
      </c>
      <c r="CN257" s="136">
        <f t="shared" si="529"/>
        <v>0</v>
      </c>
      <c r="CO257" s="136">
        <f t="shared" si="529"/>
        <v>0</v>
      </c>
      <c r="CP257" s="136">
        <f t="shared" si="529"/>
        <v>0</v>
      </c>
      <c r="CQ257" s="136">
        <f t="shared" si="529"/>
        <v>0</v>
      </c>
      <c r="CR257" s="137">
        <f t="shared" si="511"/>
        <v>152.17243237538557</v>
      </c>
      <c r="CS257" s="26"/>
      <c r="CT257" s="25"/>
    </row>
    <row r="258" spans="1:102" x14ac:dyDescent="0.3">
      <c r="A258" s="104" t="str">
        <f t="shared" ref="A258:I258" si="530">A46</f>
        <v>Redhills</v>
      </c>
      <c r="B258" s="104" t="str">
        <f t="shared" si="530"/>
        <v>Redhills</v>
      </c>
      <c r="C258" s="104">
        <f t="shared" si="530"/>
        <v>0</v>
      </c>
      <c r="D258" s="104" t="str">
        <f t="shared" si="530"/>
        <v>Redhills Precinct area</v>
      </c>
      <c r="E258" s="104" t="str">
        <f t="shared" si="530"/>
        <v>remainder</v>
      </c>
      <c r="F258" s="104">
        <f t="shared" si="530"/>
        <v>0</v>
      </c>
      <c r="G258" s="104">
        <f t="shared" si="530"/>
        <v>0</v>
      </c>
      <c r="H258" s="104">
        <f t="shared" si="530"/>
        <v>0</v>
      </c>
      <c r="I258" s="104">
        <f t="shared" si="530"/>
        <v>1</v>
      </c>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4"/>
      <c r="AL258" s="104"/>
      <c r="AM258" s="104"/>
      <c r="AN258" s="104"/>
      <c r="AO258" s="104"/>
      <c r="AP258" s="104"/>
      <c r="AQ258" s="104"/>
      <c r="AR258" s="104"/>
      <c r="AS258" s="104"/>
      <c r="AT258" s="104"/>
      <c r="AU258" s="104"/>
      <c r="AV258" s="104"/>
      <c r="AW258" s="104"/>
      <c r="AX258" s="104"/>
      <c r="AY258" s="104"/>
      <c r="AZ258" s="104"/>
      <c r="BA258" s="104"/>
      <c r="BB258" s="104"/>
      <c r="BC258" s="104"/>
      <c r="BD258" s="104"/>
      <c r="BE258" s="104"/>
      <c r="BF258" s="104"/>
      <c r="BG258" s="104"/>
      <c r="BH258" s="104"/>
      <c r="BI258" s="104"/>
      <c r="BJ258" s="104"/>
      <c r="BK258" s="104"/>
      <c r="BL258" s="136">
        <f t="shared" ref="BL258:CQ258" si="531">BL46+BL161</f>
        <v>0</v>
      </c>
      <c r="BM258" s="136">
        <f t="shared" si="531"/>
        <v>0</v>
      </c>
      <c r="BN258" s="136">
        <f t="shared" si="531"/>
        <v>0</v>
      </c>
      <c r="BO258" s="136">
        <f t="shared" si="531"/>
        <v>0.35384585198190832</v>
      </c>
      <c r="BP258" s="136">
        <f t="shared" si="531"/>
        <v>0.37878944639920459</v>
      </c>
      <c r="BQ258" s="136">
        <f t="shared" si="531"/>
        <v>0.40550008787651348</v>
      </c>
      <c r="BR258" s="136">
        <f t="shared" si="531"/>
        <v>0.43410314989593668</v>
      </c>
      <c r="BS258" s="136">
        <f t="shared" si="531"/>
        <v>0.46473290554590307</v>
      </c>
      <c r="BT258" s="136">
        <f t="shared" si="531"/>
        <v>0.49753315935117892</v>
      </c>
      <c r="BU258" s="136">
        <f t="shared" si="531"/>
        <v>0.53265792396188272</v>
      </c>
      <c r="BV258" s="136">
        <f t="shared" si="531"/>
        <v>0.57027214488647537</v>
      </c>
      <c r="BW258" s="136">
        <f t="shared" si="531"/>
        <v>0.61055247667982671</v>
      </c>
      <c r="BX258" s="136">
        <f t="shared" si="531"/>
        <v>0.65368811423964701</v>
      </c>
      <c r="BY258" s="136">
        <f t="shared" si="531"/>
        <v>0</v>
      </c>
      <c r="BZ258" s="136">
        <f t="shared" si="531"/>
        <v>0</v>
      </c>
      <c r="CA258" s="136">
        <f t="shared" si="531"/>
        <v>0</v>
      </c>
      <c r="CB258" s="136">
        <f t="shared" si="531"/>
        <v>0</v>
      </c>
      <c r="CC258" s="136">
        <f t="shared" si="531"/>
        <v>0</v>
      </c>
      <c r="CD258" s="136">
        <f t="shared" si="531"/>
        <v>0</v>
      </c>
      <c r="CE258" s="136">
        <f t="shared" si="531"/>
        <v>0</v>
      </c>
      <c r="CF258" s="136">
        <f t="shared" si="531"/>
        <v>0</v>
      </c>
      <c r="CG258" s="136">
        <f t="shared" si="531"/>
        <v>0</v>
      </c>
      <c r="CH258" s="136">
        <f t="shared" si="531"/>
        <v>0</v>
      </c>
      <c r="CI258" s="136">
        <f t="shared" si="531"/>
        <v>0</v>
      </c>
      <c r="CJ258" s="136">
        <f t="shared" si="531"/>
        <v>0</v>
      </c>
      <c r="CK258" s="136">
        <f t="shared" si="531"/>
        <v>0</v>
      </c>
      <c r="CL258" s="136">
        <f t="shared" si="531"/>
        <v>0</v>
      </c>
      <c r="CM258" s="136">
        <f t="shared" si="531"/>
        <v>0</v>
      </c>
      <c r="CN258" s="136">
        <f t="shared" si="531"/>
        <v>0</v>
      </c>
      <c r="CO258" s="136">
        <f t="shared" si="531"/>
        <v>0</v>
      </c>
      <c r="CP258" s="136">
        <f t="shared" si="531"/>
        <v>0</v>
      </c>
      <c r="CQ258" s="136">
        <f t="shared" si="531"/>
        <v>0</v>
      </c>
      <c r="CR258" s="137">
        <f t="shared" si="511"/>
        <v>4.9016752608184762</v>
      </c>
      <c r="CS258" s="26"/>
      <c r="CT258" s="25"/>
      <c r="CU258" s="78"/>
      <c r="CV258" s="78"/>
    </row>
    <row r="259" spans="1:102" x14ac:dyDescent="0.3">
      <c r="A259" s="104" t="str">
        <f t="shared" ref="A259:I259" si="532">A47</f>
        <v>Redhills</v>
      </c>
      <c r="B259" s="104" t="str">
        <f t="shared" si="532"/>
        <v>Whenuapai</v>
      </c>
      <c r="C259" s="104">
        <f t="shared" si="532"/>
        <v>0</v>
      </c>
      <c r="D259" s="104" t="str">
        <f t="shared" si="532"/>
        <v>Redhills North/Whenuapai west</v>
      </c>
      <c r="E259" s="104">
        <f t="shared" si="532"/>
        <v>0</v>
      </c>
      <c r="F259" s="104">
        <f t="shared" si="532"/>
        <v>2</v>
      </c>
      <c r="G259" s="104">
        <f t="shared" si="532"/>
        <v>0</v>
      </c>
      <c r="H259" s="104">
        <f t="shared" si="532"/>
        <v>0</v>
      </c>
      <c r="I259" s="104">
        <f t="shared" si="532"/>
        <v>0</v>
      </c>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4"/>
      <c r="AL259" s="104"/>
      <c r="AM259" s="104"/>
      <c r="AN259" s="104"/>
      <c r="AO259" s="104"/>
      <c r="AP259" s="104"/>
      <c r="AQ259" s="104"/>
      <c r="AR259" s="104"/>
      <c r="AS259" s="104"/>
      <c r="AT259" s="104"/>
      <c r="AU259" s="104"/>
      <c r="AV259" s="104"/>
      <c r="AW259" s="104"/>
      <c r="AX259" s="104"/>
      <c r="AY259" s="104"/>
      <c r="AZ259" s="104"/>
      <c r="BA259" s="104"/>
      <c r="BB259" s="104"/>
      <c r="BC259" s="104"/>
      <c r="BD259" s="104"/>
      <c r="BE259" s="104"/>
      <c r="BF259" s="104"/>
      <c r="BG259" s="104"/>
      <c r="BH259" s="104"/>
      <c r="BI259" s="104"/>
      <c r="BJ259" s="104"/>
      <c r="BK259" s="104"/>
      <c r="BL259" s="136">
        <f t="shared" ref="BL259:CQ259" si="533">BL47+BL162</f>
        <v>0</v>
      </c>
      <c r="BM259" s="136">
        <f t="shared" si="533"/>
        <v>0</v>
      </c>
      <c r="BN259" s="136">
        <f t="shared" si="533"/>
        <v>0</v>
      </c>
      <c r="BO259" s="136">
        <f t="shared" si="533"/>
        <v>0</v>
      </c>
      <c r="BP259" s="136">
        <f t="shared" si="533"/>
        <v>0</v>
      </c>
      <c r="BQ259" s="136">
        <f t="shared" si="533"/>
        <v>0</v>
      </c>
      <c r="BR259" s="136">
        <f t="shared" si="533"/>
        <v>0.35386232827826425</v>
      </c>
      <c r="BS259" s="136">
        <f t="shared" si="533"/>
        <v>0.37867340763124063</v>
      </c>
      <c r="BT259" s="136">
        <f t="shared" si="533"/>
        <v>0.18414931731745118</v>
      </c>
      <c r="BU259" s="136">
        <f t="shared" si="533"/>
        <v>0.19702382914376029</v>
      </c>
      <c r="BV259" s="136">
        <f t="shared" si="533"/>
        <v>0.60219454477362755</v>
      </c>
      <c r="BW259" s="136">
        <f t="shared" si="533"/>
        <v>0.64463687171217254</v>
      </c>
      <c r="BX259" s="136">
        <f t="shared" si="533"/>
        <v>0.69008570717706563</v>
      </c>
      <c r="BY259" s="136">
        <f t="shared" si="533"/>
        <v>0.73875436154657936</v>
      </c>
      <c r="BZ259" s="138">
        <f t="shared" si="533"/>
        <v>3.7852330302222734</v>
      </c>
      <c r="CA259" s="138">
        <f t="shared" si="533"/>
        <v>4.0534069338947631</v>
      </c>
      <c r="CB259" s="138">
        <f t="shared" si="533"/>
        <v>4.3406084766155884</v>
      </c>
      <c r="CC259" s="138">
        <f t="shared" si="533"/>
        <v>0</v>
      </c>
      <c r="CD259" s="138">
        <f t="shared" si="533"/>
        <v>0</v>
      </c>
      <c r="CE259" s="138">
        <f t="shared" si="533"/>
        <v>0</v>
      </c>
      <c r="CF259" s="138">
        <f t="shared" si="533"/>
        <v>0</v>
      </c>
      <c r="CG259" s="138">
        <f t="shared" si="533"/>
        <v>0</v>
      </c>
      <c r="CH259" s="138">
        <f t="shared" si="533"/>
        <v>0</v>
      </c>
      <c r="CI259" s="138">
        <f t="shared" si="533"/>
        <v>0</v>
      </c>
      <c r="CJ259" s="138">
        <f t="shared" si="533"/>
        <v>0</v>
      </c>
      <c r="CK259" s="138">
        <f t="shared" si="533"/>
        <v>0</v>
      </c>
      <c r="CL259" s="138">
        <f t="shared" si="533"/>
        <v>0</v>
      </c>
      <c r="CM259" s="138">
        <f t="shared" si="533"/>
        <v>0</v>
      </c>
      <c r="CN259" s="138">
        <f t="shared" si="533"/>
        <v>0</v>
      </c>
      <c r="CO259" s="138">
        <f t="shared" si="533"/>
        <v>0</v>
      </c>
      <c r="CP259" s="138">
        <f t="shared" si="533"/>
        <v>0</v>
      </c>
      <c r="CQ259" s="138">
        <f t="shared" si="533"/>
        <v>0</v>
      </c>
      <c r="CR259" s="137">
        <f t="shared" si="511"/>
        <v>15.968628808312786</v>
      </c>
      <c r="CS259" s="26"/>
      <c r="CT259" s="25"/>
      <c r="CU259" s="78"/>
      <c r="CV259" s="78"/>
      <c r="CW259" s="78"/>
      <c r="CX259" s="78"/>
    </row>
    <row r="260" spans="1:102" x14ac:dyDescent="0.3">
      <c r="A260" s="104" t="str">
        <f t="shared" ref="A260:I260" si="534">A48</f>
        <v>Whenuapai</v>
      </c>
      <c r="B260" s="104" t="str">
        <f t="shared" si="534"/>
        <v>Whenuapai</v>
      </c>
      <c r="C260" s="104">
        <f t="shared" si="534"/>
        <v>0</v>
      </c>
      <c r="D260" s="104" t="str">
        <f t="shared" si="534"/>
        <v>Whenuapai North (Stage 1a)</v>
      </c>
      <c r="E260" s="104">
        <f t="shared" si="534"/>
        <v>0</v>
      </c>
      <c r="F260" s="104">
        <f t="shared" si="534"/>
        <v>1</v>
      </c>
      <c r="G260" s="104">
        <f t="shared" si="534"/>
        <v>0</v>
      </c>
      <c r="H260" s="104">
        <f t="shared" si="534"/>
        <v>0</v>
      </c>
      <c r="I260" s="104">
        <f t="shared" si="534"/>
        <v>0</v>
      </c>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4"/>
      <c r="AL260" s="104"/>
      <c r="AM260" s="104"/>
      <c r="AN260" s="104"/>
      <c r="AO260" s="104"/>
      <c r="AP260" s="104"/>
      <c r="AQ260" s="104"/>
      <c r="AR260" s="104"/>
      <c r="AS260" s="104"/>
      <c r="AT260" s="104"/>
      <c r="AU260" s="104"/>
      <c r="AV260" s="104"/>
      <c r="AW260" s="104"/>
      <c r="AX260" s="104"/>
      <c r="AY260" s="104"/>
      <c r="AZ260" s="104"/>
      <c r="BA260" s="104"/>
      <c r="BB260" s="104"/>
      <c r="BC260" s="104"/>
      <c r="BD260" s="104"/>
      <c r="BE260" s="104"/>
      <c r="BF260" s="104"/>
      <c r="BG260" s="104"/>
      <c r="BH260" s="104"/>
      <c r="BI260" s="104"/>
      <c r="BJ260" s="104"/>
      <c r="BK260" s="104"/>
      <c r="BL260" s="136">
        <f t="shared" ref="BL260:CQ260" si="535">BL48+BL163</f>
        <v>0</v>
      </c>
      <c r="BM260" s="136">
        <f t="shared" si="535"/>
        <v>0</v>
      </c>
      <c r="BN260" s="136">
        <f t="shared" si="535"/>
        <v>0</v>
      </c>
      <c r="BO260" s="136">
        <f t="shared" si="535"/>
        <v>0</v>
      </c>
      <c r="BP260" s="136">
        <f t="shared" si="535"/>
        <v>0</v>
      </c>
      <c r="BQ260" s="136">
        <f t="shared" si="535"/>
        <v>0</v>
      </c>
      <c r="BR260" s="136">
        <f t="shared" si="535"/>
        <v>0.25328757560551396</v>
      </c>
      <c r="BS260" s="136">
        <f t="shared" si="535"/>
        <v>0.27113779025265988</v>
      </c>
      <c r="BT260" s="136">
        <f t="shared" si="535"/>
        <v>0.13189691482875687</v>
      </c>
      <c r="BU260" s="136">
        <f t="shared" si="535"/>
        <v>0.14116155092998361</v>
      </c>
      <c r="BV260" s="136">
        <f t="shared" si="535"/>
        <v>0.35471899128104367</v>
      </c>
      <c r="BW260" s="136">
        <f t="shared" si="535"/>
        <v>0.37974729679180647</v>
      </c>
      <c r="BX260" s="136">
        <f t="shared" si="535"/>
        <v>0.40654916365068916</v>
      </c>
      <c r="BY260" s="136">
        <f t="shared" si="535"/>
        <v>0.43525043884985914</v>
      </c>
      <c r="BZ260" s="138">
        <f t="shared" si="535"/>
        <v>2.0581184637394938</v>
      </c>
      <c r="CA260" s="138">
        <f t="shared" si="535"/>
        <v>2.2039560539283518</v>
      </c>
      <c r="CB260" s="138">
        <f t="shared" si="535"/>
        <v>2.3601417589644131</v>
      </c>
      <c r="CC260" s="138">
        <f t="shared" si="535"/>
        <v>0</v>
      </c>
      <c r="CD260" s="138">
        <f t="shared" si="535"/>
        <v>0</v>
      </c>
      <c r="CE260" s="138">
        <f t="shared" si="535"/>
        <v>0</v>
      </c>
      <c r="CF260" s="138">
        <f t="shared" si="535"/>
        <v>0</v>
      </c>
      <c r="CG260" s="138">
        <f t="shared" si="535"/>
        <v>0</v>
      </c>
      <c r="CH260" s="138">
        <f t="shared" si="535"/>
        <v>0</v>
      </c>
      <c r="CI260" s="138">
        <f t="shared" si="535"/>
        <v>0</v>
      </c>
      <c r="CJ260" s="138">
        <f t="shared" si="535"/>
        <v>0</v>
      </c>
      <c r="CK260" s="138">
        <f t="shared" si="535"/>
        <v>0</v>
      </c>
      <c r="CL260" s="138">
        <f t="shared" si="535"/>
        <v>0</v>
      </c>
      <c r="CM260" s="138">
        <f t="shared" si="535"/>
        <v>0</v>
      </c>
      <c r="CN260" s="138">
        <f t="shared" si="535"/>
        <v>0</v>
      </c>
      <c r="CO260" s="138">
        <f t="shared" si="535"/>
        <v>0</v>
      </c>
      <c r="CP260" s="138">
        <f t="shared" si="535"/>
        <v>0</v>
      </c>
      <c r="CQ260" s="138">
        <f t="shared" si="535"/>
        <v>0</v>
      </c>
      <c r="CR260" s="137">
        <f t="shared" si="511"/>
        <v>8.9959659988225713</v>
      </c>
      <c r="CS260" s="26"/>
      <c r="CT260" s="25"/>
      <c r="CU260" s="78"/>
      <c r="CV260" s="78"/>
      <c r="CW260" s="78"/>
      <c r="CX260" s="78"/>
    </row>
    <row r="261" spans="1:102" x14ac:dyDescent="0.3">
      <c r="A261" s="104" t="str">
        <f t="shared" ref="A261:I261" si="536">A49</f>
        <v>Whenuapai</v>
      </c>
      <c r="B261" s="104" t="str">
        <f t="shared" si="536"/>
        <v>Whenuapai</v>
      </c>
      <c r="C261" s="104">
        <f t="shared" si="536"/>
        <v>0</v>
      </c>
      <c r="D261" s="104" t="str">
        <f t="shared" si="536"/>
        <v>Whenuapai north (Stage 1b)</v>
      </c>
      <c r="E261" s="104" t="str">
        <f t="shared" si="536"/>
        <v>Park W and sub pk is in 1b on POS map</v>
      </c>
      <c r="F261" s="104">
        <f t="shared" si="536"/>
        <v>5</v>
      </c>
      <c r="G261" s="104">
        <f t="shared" si="536"/>
        <v>0</v>
      </c>
      <c r="H261" s="104">
        <f t="shared" si="536"/>
        <v>0</v>
      </c>
      <c r="I261" s="104">
        <f t="shared" si="536"/>
        <v>0</v>
      </c>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4"/>
      <c r="AL261" s="104"/>
      <c r="AM261" s="104"/>
      <c r="AN261" s="104"/>
      <c r="AO261" s="104"/>
      <c r="AP261" s="104"/>
      <c r="AQ261" s="104"/>
      <c r="AR261" s="104"/>
      <c r="AS261" s="104"/>
      <c r="AT261" s="104"/>
      <c r="AU261" s="104"/>
      <c r="AV261" s="104"/>
      <c r="AW261" s="104"/>
      <c r="AX261" s="104"/>
      <c r="AY261" s="104"/>
      <c r="AZ261" s="104"/>
      <c r="BA261" s="104"/>
      <c r="BB261" s="104"/>
      <c r="BC261" s="104"/>
      <c r="BD261" s="104"/>
      <c r="BE261" s="104"/>
      <c r="BF261" s="104"/>
      <c r="BG261" s="104"/>
      <c r="BH261" s="104"/>
      <c r="BI261" s="104"/>
      <c r="BJ261" s="104"/>
      <c r="BK261" s="104"/>
      <c r="BL261" s="136">
        <f t="shared" ref="BL261:CQ261" si="537">BL49+BL164</f>
        <v>0</v>
      </c>
      <c r="BM261" s="136">
        <f t="shared" si="537"/>
        <v>0</v>
      </c>
      <c r="BN261" s="136">
        <f t="shared" si="537"/>
        <v>0</v>
      </c>
      <c r="BO261" s="136">
        <f t="shared" si="537"/>
        <v>0</v>
      </c>
      <c r="BP261" s="136">
        <f t="shared" si="537"/>
        <v>0</v>
      </c>
      <c r="BQ261" s="136">
        <f t="shared" si="537"/>
        <v>0</v>
      </c>
      <c r="BR261" s="136">
        <f t="shared" si="537"/>
        <v>1.2664378780275696</v>
      </c>
      <c r="BS261" s="136">
        <f t="shared" si="537"/>
        <v>1.3556889512632995</v>
      </c>
      <c r="BT261" s="136">
        <f t="shared" si="537"/>
        <v>0.65948457414378425</v>
      </c>
      <c r="BU261" s="136">
        <f t="shared" si="537"/>
        <v>0.70580775464991807</v>
      </c>
      <c r="BV261" s="136">
        <f t="shared" si="537"/>
        <v>1.7735949564052182</v>
      </c>
      <c r="BW261" s="136">
        <f t="shared" si="537"/>
        <v>1.8987364839590322</v>
      </c>
      <c r="BX261" s="136">
        <f t="shared" si="537"/>
        <v>2.0327458182534457</v>
      </c>
      <c r="BY261" s="136">
        <f t="shared" si="537"/>
        <v>2.1762521942492952</v>
      </c>
      <c r="BZ261" s="138">
        <f t="shared" si="537"/>
        <v>10.290592318697469</v>
      </c>
      <c r="CA261" s="138">
        <f t="shared" si="537"/>
        <v>11.01978026964176</v>
      </c>
      <c r="CB261" s="138">
        <f t="shared" si="537"/>
        <v>11.800708794822066</v>
      </c>
      <c r="CC261" s="138">
        <f t="shared" si="537"/>
        <v>0</v>
      </c>
      <c r="CD261" s="138">
        <f t="shared" si="537"/>
        <v>0</v>
      </c>
      <c r="CE261" s="138">
        <f t="shared" si="537"/>
        <v>0</v>
      </c>
      <c r="CF261" s="138">
        <f t="shared" si="537"/>
        <v>0</v>
      </c>
      <c r="CG261" s="138">
        <f t="shared" si="537"/>
        <v>0</v>
      </c>
      <c r="CH261" s="138">
        <f t="shared" si="537"/>
        <v>0</v>
      </c>
      <c r="CI261" s="138">
        <f t="shared" si="537"/>
        <v>0</v>
      </c>
      <c r="CJ261" s="138">
        <f t="shared" si="537"/>
        <v>0</v>
      </c>
      <c r="CK261" s="138">
        <f t="shared" si="537"/>
        <v>0</v>
      </c>
      <c r="CL261" s="138">
        <f t="shared" si="537"/>
        <v>0</v>
      </c>
      <c r="CM261" s="138">
        <f t="shared" si="537"/>
        <v>0</v>
      </c>
      <c r="CN261" s="138">
        <f t="shared" si="537"/>
        <v>0</v>
      </c>
      <c r="CO261" s="138">
        <f t="shared" si="537"/>
        <v>0</v>
      </c>
      <c r="CP261" s="138">
        <f t="shared" si="537"/>
        <v>0</v>
      </c>
      <c r="CQ261" s="138">
        <f t="shared" si="537"/>
        <v>0</v>
      </c>
      <c r="CR261" s="137">
        <f t="shared" si="511"/>
        <v>44.979829994112855</v>
      </c>
      <c r="CS261" s="26"/>
      <c r="CT261" s="25"/>
      <c r="CU261" s="78"/>
      <c r="CV261" s="78"/>
      <c r="CW261" s="78"/>
      <c r="CX261" s="78"/>
    </row>
    <row r="262" spans="1:102" x14ac:dyDescent="0.3">
      <c r="A262" s="104" t="str">
        <f t="shared" ref="A262:I262" si="538">A50</f>
        <v>Whenuapai</v>
      </c>
      <c r="B262" s="104" t="str">
        <f t="shared" si="538"/>
        <v>Whenuapai</v>
      </c>
      <c r="C262" s="104">
        <f t="shared" si="538"/>
        <v>0</v>
      </c>
      <c r="D262" s="104" t="str">
        <f t="shared" si="538"/>
        <v>Whenuapai north (Stage 1b)</v>
      </c>
      <c r="E262" s="104" t="str">
        <f t="shared" si="538"/>
        <v>Park W and sub pk is in 1b on POS map</v>
      </c>
      <c r="F262" s="104">
        <f t="shared" si="538"/>
        <v>0</v>
      </c>
      <c r="G262" s="104">
        <f t="shared" si="538"/>
        <v>1</v>
      </c>
      <c r="H262" s="104">
        <f t="shared" si="538"/>
        <v>0</v>
      </c>
      <c r="I262" s="104">
        <f t="shared" si="538"/>
        <v>0</v>
      </c>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4"/>
      <c r="AL262" s="104"/>
      <c r="AM262" s="104"/>
      <c r="AN262" s="104"/>
      <c r="AO262" s="104"/>
      <c r="AP262" s="104"/>
      <c r="AQ262" s="104"/>
      <c r="AR262" s="104"/>
      <c r="AS262" s="104"/>
      <c r="AT262" s="104"/>
      <c r="AU262" s="104"/>
      <c r="AV262" s="104"/>
      <c r="AW262" s="104"/>
      <c r="AX262" s="104"/>
      <c r="AY262" s="104"/>
      <c r="AZ262" s="104"/>
      <c r="BA262" s="104"/>
      <c r="BB262" s="104"/>
      <c r="BC262" s="104"/>
      <c r="BD262" s="104"/>
      <c r="BE262" s="104"/>
      <c r="BF262" s="104"/>
      <c r="BG262" s="104"/>
      <c r="BH262" s="104"/>
      <c r="BI262" s="104"/>
      <c r="BJ262" s="104"/>
      <c r="BK262" s="104"/>
      <c r="BL262" s="136">
        <f t="shared" ref="BL262:CQ262" si="539">BL50+BL165</f>
        <v>0</v>
      </c>
      <c r="BM262" s="136">
        <f t="shared" si="539"/>
        <v>0</v>
      </c>
      <c r="BN262" s="136">
        <f t="shared" si="539"/>
        <v>0</v>
      </c>
      <c r="BO262" s="136">
        <f t="shared" si="539"/>
        <v>1.6190959475181896</v>
      </c>
      <c r="BP262" s="136">
        <f t="shared" si="539"/>
        <v>1.7337377029134973</v>
      </c>
      <c r="BQ262" s="136">
        <f t="shared" si="539"/>
        <v>1.1669504714626284</v>
      </c>
      <c r="BR262" s="136">
        <f t="shared" si="539"/>
        <v>2.1275527232538156</v>
      </c>
      <c r="BS262" s="136">
        <f t="shared" si="539"/>
        <v>2.2783695066140299</v>
      </c>
      <c r="BT262" s="136">
        <f t="shared" si="539"/>
        <v>1.5277129519738861</v>
      </c>
      <c r="BU262" s="136">
        <f t="shared" si="539"/>
        <v>0.22604209893076069</v>
      </c>
      <c r="BV262" s="136">
        <f t="shared" si="539"/>
        <v>3.5356312608157703</v>
      </c>
      <c r="BW262" s="136">
        <f t="shared" si="539"/>
        <v>3.7864511299665815</v>
      </c>
      <c r="BX262" s="136">
        <f t="shared" si="539"/>
        <v>0</v>
      </c>
      <c r="BY262" s="136">
        <f t="shared" si="539"/>
        <v>0</v>
      </c>
      <c r="BZ262" s="138">
        <f t="shared" si="539"/>
        <v>0</v>
      </c>
      <c r="CA262" s="138">
        <f t="shared" si="539"/>
        <v>0</v>
      </c>
      <c r="CB262" s="138">
        <f t="shared" si="539"/>
        <v>0</v>
      </c>
      <c r="CC262" s="138">
        <f t="shared" si="539"/>
        <v>0</v>
      </c>
      <c r="CD262" s="138">
        <f t="shared" si="539"/>
        <v>0</v>
      </c>
      <c r="CE262" s="138">
        <f t="shared" si="539"/>
        <v>0</v>
      </c>
      <c r="CF262" s="138">
        <f t="shared" si="539"/>
        <v>0</v>
      </c>
      <c r="CG262" s="138">
        <f t="shared" si="539"/>
        <v>0</v>
      </c>
      <c r="CH262" s="138">
        <f t="shared" si="539"/>
        <v>0</v>
      </c>
      <c r="CI262" s="138">
        <f t="shared" si="539"/>
        <v>0</v>
      </c>
      <c r="CJ262" s="138">
        <f t="shared" si="539"/>
        <v>0</v>
      </c>
      <c r="CK262" s="138">
        <f t="shared" si="539"/>
        <v>0</v>
      </c>
      <c r="CL262" s="138">
        <f t="shared" si="539"/>
        <v>0</v>
      </c>
      <c r="CM262" s="138">
        <f t="shared" si="539"/>
        <v>0</v>
      </c>
      <c r="CN262" s="138">
        <f t="shared" si="539"/>
        <v>0</v>
      </c>
      <c r="CO262" s="138">
        <f t="shared" si="539"/>
        <v>0</v>
      </c>
      <c r="CP262" s="138">
        <f t="shared" si="539"/>
        <v>0</v>
      </c>
      <c r="CQ262" s="138">
        <f t="shared" si="539"/>
        <v>0</v>
      </c>
      <c r="CR262" s="137">
        <f t="shared" si="511"/>
        <v>18.001543793449159</v>
      </c>
      <c r="CS262" s="26"/>
      <c r="CT262" s="25"/>
      <c r="CU262" s="78"/>
      <c r="CV262" s="78"/>
      <c r="CW262" s="78"/>
      <c r="CX262" s="78"/>
    </row>
    <row r="263" spans="1:102" x14ac:dyDescent="0.3">
      <c r="A263" s="104" t="str">
        <f t="shared" ref="A263:I263" si="540">A51</f>
        <v>Whenuapai</v>
      </c>
      <c r="B263" s="104" t="str">
        <f t="shared" si="540"/>
        <v>Whenuapai</v>
      </c>
      <c r="C263" s="104">
        <f t="shared" si="540"/>
        <v>0</v>
      </c>
      <c r="D263" s="104" t="str">
        <f t="shared" si="540"/>
        <v>Whenuapai North (Stage 2)</v>
      </c>
      <c r="E263" s="104">
        <f t="shared" si="540"/>
        <v>0</v>
      </c>
      <c r="F263" s="104">
        <f t="shared" si="540"/>
        <v>5</v>
      </c>
      <c r="G263" s="104">
        <f t="shared" si="540"/>
        <v>0</v>
      </c>
      <c r="H263" s="104">
        <f t="shared" si="540"/>
        <v>0</v>
      </c>
      <c r="I263" s="104">
        <f t="shared" si="540"/>
        <v>0</v>
      </c>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4"/>
      <c r="AL263" s="104"/>
      <c r="AM263" s="104"/>
      <c r="AN263" s="104"/>
      <c r="AO263" s="104"/>
      <c r="AP263" s="104"/>
      <c r="AQ263" s="104"/>
      <c r="AR263" s="104"/>
      <c r="AS263" s="104"/>
      <c r="AT263" s="104"/>
      <c r="AU263" s="104"/>
      <c r="AV263" s="104"/>
      <c r="AW263" s="104"/>
      <c r="AX263" s="104"/>
      <c r="AY263" s="104"/>
      <c r="AZ263" s="104"/>
      <c r="BA263" s="104"/>
      <c r="BB263" s="104"/>
      <c r="BC263" s="104"/>
      <c r="BD263" s="104"/>
      <c r="BE263" s="104"/>
      <c r="BF263" s="104"/>
      <c r="BG263" s="104"/>
      <c r="BH263" s="104"/>
      <c r="BI263" s="104"/>
      <c r="BJ263" s="104"/>
      <c r="BK263" s="104"/>
      <c r="BL263" s="136">
        <f t="shared" ref="BL263:CQ263" si="541">BL51+BL166</f>
        <v>0</v>
      </c>
      <c r="BM263" s="136">
        <f t="shared" si="541"/>
        <v>0</v>
      </c>
      <c r="BN263" s="136">
        <f t="shared" si="541"/>
        <v>0</v>
      </c>
      <c r="BO263" s="136">
        <f t="shared" si="541"/>
        <v>0</v>
      </c>
      <c r="BP263" s="136">
        <f t="shared" si="541"/>
        <v>0</v>
      </c>
      <c r="BQ263" s="136">
        <f t="shared" si="541"/>
        <v>0</v>
      </c>
      <c r="BR263" s="136">
        <f t="shared" si="541"/>
        <v>0</v>
      </c>
      <c r="BS263" s="136">
        <f t="shared" si="541"/>
        <v>0</v>
      </c>
      <c r="BT263" s="136">
        <f t="shared" si="541"/>
        <v>0</v>
      </c>
      <c r="BU263" s="136">
        <f t="shared" si="541"/>
        <v>0</v>
      </c>
      <c r="BV263" s="136">
        <f t="shared" si="541"/>
        <v>0</v>
      </c>
      <c r="BW263" s="136">
        <f t="shared" si="541"/>
        <v>0</v>
      </c>
      <c r="BX263" s="136">
        <f t="shared" si="541"/>
        <v>0</v>
      </c>
      <c r="BY263" s="136">
        <f t="shared" si="541"/>
        <v>0</v>
      </c>
      <c r="BZ263" s="138">
        <f t="shared" si="541"/>
        <v>0</v>
      </c>
      <c r="CA263" s="138">
        <f t="shared" si="541"/>
        <v>0</v>
      </c>
      <c r="CB263" s="138">
        <f t="shared" si="541"/>
        <v>0</v>
      </c>
      <c r="CC263" s="138">
        <f t="shared" si="541"/>
        <v>0</v>
      </c>
      <c r="CD263" s="138">
        <f t="shared" si="541"/>
        <v>0</v>
      </c>
      <c r="CE263" s="138">
        <f t="shared" si="541"/>
        <v>0</v>
      </c>
      <c r="CF263" s="138">
        <f t="shared" si="541"/>
        <v>0</v>
      </c>
      <c r="CG263" s="138">
        <f t="shared" si="541"/>
        <v>1.5973177017748943</v>
      </c>
      <c r="CH263" s="138">
        <f t="shared" si="541"/>
        <v>1.7100634751904655</v>
      </c>
      <c r="CI263" s="138">
        <f t="shared" si="541"/>
        <v>1.8307995952835125</v>
      </c>
      <c r="CJ263" s="138">
        <f t="shared" si="541"/>
        <v>1.9600930553969651</v>
      </c>
      <c r="CK263" s="138">
        <f t="shared" si="541"/>
        <v>4.9398709784283454</v>
      </c>
      <c r="CL263" s="138">
        <f t="shared" si="541"/>
        <v>5.2895155892893362</v>
      </c>
      <c r="CM263" s="138">
        <f t="shared" si="541"/>
        <v>5.6639610704920926</v>
      </c>
      <c r="CN263" s="138">
        <f t="shared" si="541"/>
        <v>6.0649677580962376</v>
      </c>
      <c r="CO263" s="138">
        <f t="shared" si="541"/>
        <v>37.827253545548352</v>
      </c>
      <c r="CP263" s="138">
        <f t="shared" si="541"/>
        <v>40.510355174722605</v>
      </c>
      <c r="CQ263" s="138">
        <f t="shared" si="541"/>
        <v>43.383899085371915</v>
      </c>
      <c r="CR263" s="137">
        <f t="shared" si="511"/>
        <v>150.77809702959473</v>
      </c>
      <c r="CS263" s="26"/>
      <c r="CT263" s="25"/>
      <c r="CU263" s="78"/>
      <c r="CV263" s="78"/>
      <c r="CW263" s="78"/>
      <c r="CX263" s="78"/>
    </row>
    <row r="264" spans="1:102" x14ac:dyDescent="0.3">
      <c r="A264" s="104" t="str">
        <f t="shared" ref="A264:I264" si="542">A52</f>
        <v>Whenuapai</v>
      </c>
      <c r="B264" s="104" t="str">
        <f t="shared" si="542"/>
        <v>Whenuapai</v>
      </c>
      <c r="C264" s="104">
        <f t="shared" si="542"/>
        <v>0</v>
      </c>
      <c r="D264" s="104" t="str">
        <f t="shared" si="542"/>
        <v>Whenuapai North (Stage 2)</v>
      </c>
      <c r="E264" s="104">
        <f t="shared" si="542"/>
        <v>0</v>
      </c>
      <c r="F264" s="104">
        <f t="shared" si="542"/>
        <v>0</v>
      </c>
      <c r="G264" s="104">
        <f t="shared" si="542"/>
        <v>1</v>
      </c>
      <c r="H264" s="104">
        <f t="shared" si="542"/>
        <v>0</v>
      </c>
      <c r="I264" s="104">
        <f t="shared" si="542"/>
        <v>0</v>
      </c>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4"/>
      <c r="AL264" s="104"/>
      <c r="AM264" s="104"/>
      <c r="AN264" s="104"/>
      <c r="AO264" s="104"/>
      <c r="AP264" s="104"/>
      <c r="AQ264" s="104"/>
      <c r="AR264" s="104"/>
      <c r="AS264" s="104"/>
      <c r="AT264" s="104"/>
      <c r="AU264" s="104"/>
      <c r="AV264" s="104"/>
      <c r="AW264" s="104"/>
      <c r="AX264" s="104"/>
      <c r="AY264" s="104"/>
      <c r="AZ264" s="104"/>
      <c r="BA264" s="104"/>
      <c r="BB264" s="104"/>
      <c r="BC264" s="104"/>
      <c r="BD264" s="104"/>
      <c r="BE264" s="104"/>
      <c r="BF264" s="104"/>
      <c r="BG264" s="104"/>
      <c r="BH264" s="104"/>
      <c r="BI264" s="104"/>
      <c r="BJ264" s="104"/>
      <c r="BK264" s="104"/>
      <c r="BL264" s="136">
        <f t="shared" ref="BL264:CQ264" si="543">BL52+BL167</f>
        <v>0</v>
      </c>
      <c r="BM264" s="136">
        <f t="shared" si="543"/>
        <v>0</v>
      </c>
      <c r="BN264" s="136">
        <f t="shared" si="543"/>
        <v>0</v>
      </c>
      <c r="BO264" s="136">
        <f t="shared" si="543"/>
        <v>0</v>
      </c>
      <c r="BP264" s="136">
        <f t="shared" si="543"/>
        <v>0</v>
      </c>
      <c r="BQ264" s="136">
        <f t="shared" si="543"/>
        <v>0</v>
      </c>
      <c r="BR264" s="136">
        <f t="shared" si="543"/>
        <v>0</v>
      </c>
      <c r="BS264" s="136">
        <f t="shared" si="543"/>
        <v>0</v>
      </c>
      <c r="BT264" s="136">
        <f t="shared" si="543"/>
        <v>0</v>
      </c>
      <c r="BU264" s="136">
        <f t="shared" si="543"/>
        <v>0</v>
      </c>
      <c r="BV264" s="136">
        <f t="shared" si="543"/>
        <v>0</v>
      </c>
      <c r="BW264" s="136">
        <f t="shared" si="543"/>
        <v>0</v>
      </c>
      <c r="BX264" s="136">
        <f t="shared" si="543"/>
        <v>0</v>
      </c>
      <c r="BY264" s="136">
        <f t="shared" si="543"/>
        <v>0</v>
      </c>
      <c r="BZ264" s="138">
        <f t="shared" si="543"/>
        <v>0</v>
      </c>
      <c r="CA264" s="138">
        <f t="shared" si="543"/>
        <v>0</v>
      </c>
      <c r="CB264" s="138">
        <f t="shared" si="543"/>
        <v>0</v>
      </c>
      <c r="CC264" s="138">
        <f t="shared" si="543"/>
        <v>0</v>
      </c>
      <c r="CD264" s="138">
        <f t="shared" si="543"/>
        <v>1.2917490917497969</v>
      </c>
      <c r="CE264" s="138">
        <f t="shared" si="543"/>
        <v>1.3833389106809599</v>
      </c>
      <c r="CF264" s="138">
        <f t="shared" si="543"/>
        <v>1.4814288706914078</v>
      </c>
      <c r="CG264" s="138">
        <f t="shared" si="543"/>
        <v>5.9459149309629931</v>
      </c>
      <c r="CH264" s="138">
        <f t="shared" si="543"/>
        <v>6.3677429993561416</v>
      </c>
      <c r="CI264" s="138">
        <f t="shared" si="543"/>
        <v>6.8195135589876905</v>
      </c>
      <c r="CJ264" s="138">
        <f t="shared" si="543"/>
        <v>7.3033523660999773</v>
      </c>
      <c r="CK264" s="138">
        <f t="shared" si="543"/>
        <v>6.1508234647080853</v>
      </c>
      <c r="CL264" s="138">
        <f t="shared" si="543"/>
        <v>6.5873508926011208</v>
      </c>
      <c r="CM264" s="138">
        <f t="shared" si="543"/>
        <v>7.0548677850363362</v>
      </c>
      <c r="CN264" s="138">
        <f t="shared" si="543"/>
        <v>7.5555743063737841</v>
      </c>
      <c r="CO264" s="138">
        <f t="shared" si="543"/>
        <v>11.334203066409074</v>
      </c>
      <c r="CP264" s="138">
        <f t="shared" si="543"/>
        <v>12.138826149221728</v>
      </c>
      <c r="CQ264" s="138">
        <f t="shared" si="543"/>
        <v>13.000575153546233</v>
      </c>
      <c r="CR264" s="137">
        <f t="shared" si="511"/>
        <v>94.415261546425342</v>
      </c>
      <c r="CS264" s="26"/>
      <c r="CT264" s="25"/>
      <c r="CU264" s="78"/>
      <c r="CV264" s="78"/>
      <c r="CW264" s="78"/>
      <c r="CX264" s="78"/>
    </row>
    <row r="265" spans="1:102" x14ac:dyDescent="0.3">
      <c r="A265" s="104" t="str">
        <f t="shared" ref="A265:I265" si="544">A53</f>
        <v>Whenuapai</v>
      </c>
      <c r="B265" s="104" t="str">
        <f t="shared" si="544"/>
        <v>Whenuapai</v>
      </c>
      <c r="C265" s="104">
        <f t="shared" si="544"/>
        <v>0</v>
      </c>
      <c r="D265" s="104" t="str">
        <f t="shared" si="544"/>
        <v>Whenuapai East/South</v>
      </c>
      <c r="E265" s="104">
        <f t="shared" si="544"/>
        <v>0</v>
      </c>
      <c r="F265" s="104">
        <f t="shared" si="544"/>
        <v>4</v>
      </c>
      <c r="G265" s="104">
        <f t="shared" si="544"/>
        <v>0</v>
      </c>
      <c r="H265" s="104">
        <f t="shared" si="544"/>
        <v>0</v>
      </c>
      <c r="I265" s="104">
        <f t="shared" si="544"/>
        <v>0</v>
      </c>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4"/>
      <c r="AL265" s="104"/>
      <c r="AM265" s="104"/>
      <c r="AN265" s="104"/>
      <c r="AO265" s="104"/>
      <c r="AP265" s="104"/>
      <c r="AQ265" s="104"/>
      <c r="AR265" s="104"/>
      <c r="AS265" s="104"/>
      <c r="AT265" s="104"/>
      <c r="AU265" s="104"/>
      <c r="AV265" s="104"/>
      <c r="AW265" s="104"/>
      <c r="AX265" s="104"/>
      <c r="AY265" s="104"/>
      <c r="AZ265" s="104"/>
      <c r="BA265" s="104"/>
      <c r="BB265" s="104"/>
      <c r="BC265" s="104"/>
      <c r="BD265" s="104"/>
      <c r="BE265" s="104"/>
      <c r="BF265" s="104"/>
      <c r="BG265" s="104"/>
      <c r="BH265" s="104"/>
      <c r="BI265" s="104"/>
      <c r="BJ265" s="104"/>
      <c r="BK265" s="104"/>
      <c r="BL265" s="136">
        <f t="shared" ref="BL265:CQ265" si="545">BL53+BL168</f>
        <v>0</v>
      </c>
      <c r="BM265" s="136">
        <f t="shared" si="545"/>
        <v>0</v>
      </c>
      <c r="BN265" s="136">
        <f t="shared" si="545"/>
        <v>0</v>
      </c>
      <c r="BO265" s="136">
        <f t="shared" si="545"/>
        <v>0</v>
      </c>
      <c r="BP265" s="136">
        <f t="shared" si="545"/>
        <v>0</v>
      </c>
      <c r="BQ265" s="136">
        <f t="shared" si="545"/>
        <v>0</v>
      </c>
      <c r="BR265" s="136">
        <f t="shared" si="545"/>
        <v>0.46065446913601477</v>
      </c>
      <c r="BS265" s="136">
        <f t="shared" si="545"/>
        <v>0.49297780045938161</v>
      </c>
      <c r="BT265" s="136">
        <f t="shared" si="545"/>
        <v>0.52758765931503104</v>
      </c>
      <c r="BU265" s="136">
        <f t="shared" si="545"/>
        <v>0.56464620371993846</v>
      </c>
      <c r="BV265" s="136">
        <f t="shared" si="545"/>
        <v>1.4188759651241747</v>
      </c>
      <c r="BW265" s="136">
        <f t="shared" si="545"/>
        <v>1.5189891871672259</v>
      </c>
      <c r="BX265" s="136">
        <f t="shared" si="545"/>
        <v>1.6261966546027566</v>
      </c>
      <c r="BY265" s="136">
        <f t="shared" si="545"/>
        <v>1.7410017553994366</v>
      </c>
      <c r="BZ265" s="138">
        <f t="shared" si="545"/>
        <v>10.831306694361407</v>
      </c>
      <c r="CA265" s="138">
        <f t="shared" si="545"/>
        <v>11.598809486223079</v>
      </c>
      <c r="CB265" s="138">
        <f t="shared" si="545"/>
        <v>12.420771536671294</v>
      </c>
      <c r="CC265" s="138">
        <f t="shared" si="545"/>
        <v>0</v>
      </c>
      <c r="CD265" s="138">
        <f t="shared" si="545"/>
        <v>0</v>
      </c>
      <c r="CE265" s="138">
        <f t="shared" si="545"/>
        <v>0</v>
      </c>
      <c r="CF265" s="138">
        <f t="shared" si="545"/>
        <v>0</v>
      </c>
      <c r="CG265" s="138">
        <f t="shared" si="545"/>
        <v>0</v>
      </c>
      <c r="CH265" s="138">
        <f t="shared" si="545"/>
        <v>0</v>
      </c>
      <c r="CI265" s="138">
        <f t="shared" si="545"/>
        <v>0</v>
      </c>
      <c r="CJ265" s="138">
        <f t="shared" si="545"/>
        <v>0</v>
      </c>
      <c r="CK265" s="138">
        <f t="shared" si="545"/>
        <v>0</v>
      </c>
      <c r="CL265" s="138">
        <f t="shared" si="545"/>
        <v>0</v>
      </c>
      <c r="CM265" s="138">
        <f t="shared" si="545"/>
        <v>0</v>
      </c>
      <c r="CN265" s="138">
        <f t="shared" si="545"/>
        <v>0</v>
      </c>
      <c r="CO265" s="138">
        <f t="shared" si="545"/>
        <v>0</v>
      </c>
      <c r="CP265" s="138">
        <f t="shared" si="545"/>
        <v>0</v>
      </c>
      <c r="CQ265" s="138">
        <f t="shared" si="545"/>
        <v>0</v>
      </c>
      <c r="CR265" s="137">
        <f t="shared" si="511"/>
        <v>43.201817412179736</v>
      </c>
      <c r="CS265" s="26"/>
      <c r="CT265" s="25"/>
      <c r="CU265" s="78"/>
      <c r="CV265" s="78"/>
      <c r="CW265" s="78"/>
      <c r="CX265" s="78"/>
    </row>
    <row r="266" spans="1:102" x14ac:dyDescent="0.3">
      <c r="A266" s="104" t="str">
        <f t="shared" ref="A266:I266" si="546">A54</f>
        <v>Whenuapai</v>
      </c>
      <c r="B266" s="104" t="str">
        <f t="shared" si="546"/>
        <v>Whenuapai</v>
      </c>
      <c r="C266" s="104">
        <f t="shared" si="546"/>
        <v>0</v>
      </c>
      <c r="D266" s="104" t="str">
        <f t="shared" si="546"/>
        <v>Whenuapai East/South</v>
      </c>
      <c r="E266" s="104" t="str">
        <f t="shared" si="546"/>
        <v>suburb park counted in Trig Rd at 90% above</v>
      </c>
      <c r="F266" s="104">
        <f t="shared" si="546"/>
        <v>0</v>
      </c>
      <c r="G266" s="104">
        <f t="shared" si="546"/>
        <v>0</v>
      </c>
      <c r="H266" s="104">
        <f t="shared" si="546"/>
        <v>0</v>
      </c>
      <c r="I266" s="104">
        <f t="shared" si="546"/>
        <v>0</v>
      </c>
      <c r="J266" s="104"/>
      <c r="K266" s="104"/>
      <c r="L266" s="104"/>
      <c r="M266" s="104"/>
      <c r="N266" s="104"/>
      <c r="O266" s="104"/>
      <c r="P266" s="104"/>
      <c r="Q266" s="104"/>
      <c r="R266" s="104"/>
      <c r="S266" s="104"/>
      <c r="T266" s="104"/>
      <c r="U266" s="104"/>
      <c r="V266" s="104"/>
      <c r="W266" s="104"/>
      <c r="X266" s="104"/>
      <c r="Y266" s="104"/>
      <c r="Z266" s="104"/>
      <c r="AA266" s="104"/>
      <c r="AB266" s="104"/>
      <c r="AC266" s="104"/>
      <c r="AD266" s="104"/>
      <c r="AE266" s="104"/>
      <c r="AF266" s="104"/>
      <c r="AG266" s="104"/>
      <c r="AH266" s="104"/>
      <c r="AI266" s="104"/>
      <c r="AJ266" s="104"/>
      <c r="AK266" s="104"/>
      <c r="AL266" s="104"/>
      <c r="AM266" s="104"/>
      <c r="AN266" s="104"/>
      <c r="AO266" s="104"/>
      <c r="AP266" s="104"/>
      <c r="AQ266" s="104"/>
      <c r="AR266" s="104"/>
      <c r="AS266" s="104"/>
      <c r="AT266" s="104"/>
      <c r="AU266" s="104"/>
      <c r="AV266" s="104"/>
      <c r="AW266" s="104"/>
      <c r="AX266" s="104"/>
      <c r="AY266" s="104"/>
      <c r="AZ266" s="104"/>
      <c r="BA266" s="104"/>
      <c r="BB266" s="104"/>
      <c r="BC266" s="104"/>
      <c r="BD266" s="104"/>
      <c r="BE266" s="104"/>
      <c r="BF266" s="104"/>
      <c r="BG266" s="104"/>
      <c r="BH266" s="104"/>
      <c r="BI266" s="104"/>
      <c r="BJ266" s="104"/>
      <c r="BK266" s="104"/>
      <c r="BL266" s="136">
        <f t="shared" ref="BL266:CQ266" si="547">BL54+BL169</f>
        <v>0</v>
      </c>
      <c r="BM266" s="136">
        <f t="shared" si="547"/>
        <v>0</v>
      </c>
      <c r="BN266" s="136">
        <f t="shared" si="547"/>
        <v>0</v>
      </c>
      <c r="BO266" s="136">
        <f t="shared" si="547"/>
        <v>0</v>
      </c>
      <c r="BP266" s="136">
        <f t="shared" si="547"/>
        <v>0</v>
      </c>
      <c r="BQ266" s="136">
        <f t="shared" si="547"/>
        <v>0</v>
      </c>
      <c r="BR266" s="136">
        <f t="shared" si="547"/>
        <v>0</v>
      </c>
      <c r="BS266" s="136">
        <f t="shared" si="547"/>
        <v>0</v>
      </c>
      <c r="BT266" s="136">
        <f t="shared" si="547"/>
        <v>0</v>
      </c>
      <c r="BU266" s="136">
        <f t="shared" si="547"/>
        <v>0</v>
      </c>
      <c r="BV266" s="136">
        <f t="shared" si="547"/>
        <v>0</v>
      </c>
      <c r="BW266" s="136">
        <f t="shared" si="547"/>
        <v>0</v>
      </c>
      <c r="BX266" s="136">
        <f t="shared" si="547"/>
        <v>0</v>
      </c>
      <c r="BY266" s="136">
        <f t="shared" si="547"/>
        <v>0</v>
      </c>
      <c r="BZ266" s="138">
        <f t="shared" si="547"/>
        <v>0</v>
      </c>
      <c r="CA266" s="138">
        <f t="shared" si="547"/>
        <v>0</v>
      </c>
      <c r="CB266" s="138">
        <f t="shared" si="547"/>
        <v>0</v>
      </c>
      <c r="CC266" s="138">
        <f t="shared" si="547"/>
        <v>0</v>
      </c>
      <c r="CD266" s="138">
        <f t="shared" si="547"/>
        <v>0</v>
      </c>
      <c r="CE266" s="138">
        <f t="shared" si="547"/>
        <v>0</v>
      </c>
      <c r="CF266" s="138">
        <f t="shared" si="547"/>
        <v>0</v>
      </c>
      <c r="CG266" s="138">
        <f t="shared" si="547"/>
        <v>0</v>
      </c>
      <c r="CH266" s="138">
        <f t="shared" si="547"/>
        <v>0</v>
      </c>
      <c r="CI266" s="138">
        <f t="shared" si="547"/>
        <v>0</v>
      </c>
      <c r="CJ266" s="138">
        <f t="shared" si="547"/>
        <v>0</v>
      </c>
      <c r="CK266" s="138">
        <f t="shared" si="547"/>
        <v>0</v>
      </c>
      <c r="CL266" s="138">
        <f t="shared" si="547"/>
        <v>0</v>
      </c>
      <c r="CM266" s="138">
        <f t="shared" si="547"/>
        <v>0</v>
      </c>
      <c r="CN266" s="138">
        <f t="shared" si="547"/>
        <v>0</v>
      </c>
      <c r="CO266" s="138">
        <f t="shared" si="547"/>
        <v>0</v>
      </c>
      <c r="CP266" s="138">
        <f t="shared" si="547"/>
        <v>0</v>
      </c>
      <c r="CQ266" s="138">
        <f t="shared" si="547"/>
        <v>0</v>
      </c>
      <c r="CR266" s="137">
        <f t="shared" si="511"/>
        <v>0</v>
      </c>
      <c r="CS266" s="26"/>
      <c r="CT266" s="25"/>
      <c r="CU266" s="78"/>
      <c r="CV266" s="78"/>
      <c r="CW266" s="78"/>
      <c r="CX266" s="78"/>
    </row>
    <row r="267" spans="1:102" x14ac:dyDescent="0.3">
      <c r="A267" s="104" t="str">
        <f t="shared" ref="A267:I267" si="548">A55</f>
        <v>Whenuapai</v>
      </c>
      <c r="B267" s="104" t="str">
        <f t="shared" si="548"/>
        <v>Whenuapai</v>
      </c>
      <c r="C267" s="104">
        <f t="shared" si="548"/>
        <v>0</v>
      </c>
      <c r="D267" s="104" t="str">
        <f t="shared" si="548"/>
        <v>Whenuapai town centre</v>
      </c>
      <c r="E267" s="104" t="str">
        <f t="shared" si="548"/>
        <v>assume SULs</v>
      </c>
      <c r="F267" s="104">
        <f t="shared" si="548"/>
        <v>0</v>
      </c>
      <c r="G267" s="104">
        <f t="shared" si="548"/>
        <v>0</v>
      </c>
      <c r="H267" s="104">
        <f t="shared" si="548"/>
        <v>0</v>
      </c>
      <c r="I267" s="104">
        <f t="shared" si="548"/>
        <v>1</v>
      </c>
      <c r="J267" s="104"/>
      <c r="K267" s="104"/>
      <c r="L267" s="104"/>
      <c r="M267" s="104"/>
      <c r="N267" s="104"/>
      <c r="O267" s="104"/>
      <c r="P267" s="104"/>
      <c r="Q267" s="104"/>
      <c r="R267" s="104"/>
      <c r="S267" s="104"/>
      <c r="T267" s="104"/>
      <c r="U267" s="104"/>
      <c r="V267" s="104"/>
      <c r="W267" s="104"/>
      <c r="X267" s="104"/>
      <c r="Y267" s="104"/>
      <c r="Z267" s="104"/>
      <c r="AA267" s="104"/>
      <c r="AB267" s="104"/>
      <c r="AC267" s="104"/>
      <c r="AD267" s="104"/>
      <c r="AE267" s="104"/>
      <c r="AF267" s="104"/>
      <c r="AG267" s="104"/>
      <c r="AH267" s="104"/>
      <c r="AI267" s="104"/>
      <c r="AJ267" s="104"/>
      <c r="AK267" s="104"/>
      <c r="AL267" s="104"/>
      <c r="AM267" s="104"/>
      <c r="AN267" s="104"/>
      <c r="AO267" s="104"/>
      <c r="AP267" s="104"/>
      <c r="AQ267" s="104"/>
      <c r="AR267" s="104"/>
      <c r="AS267" s="104"/>
      <c r="AT267" s="104"/>
      <c r="AU267" s="104"/>
      <c r="AV267" s="104"/>
      <c r="AW267" s="104"/>
      <c r="AX267" s="104"/>
      <c r="AY267" s="104"/>
      <c r="AZ267" s="104"/>
      <c r="BA267" s="104"/>
      <c r="BB267" s="104"/>
      <c r="BC267" s="104"/>
      <c r="BD267" s="104"/>
      <c r="BE267" s="104"/>
      <c r="BF267" s="104"/>
      <c r="BG267" s="104"/>
      <c r="BH267" s="104"/>
      <c r="BI267" s="104"/>
      <c r="BJ267" s="104"/>
      <c r="BK267" s="104"/>
      <c r="BL267" s="136">
        <f t="shared" ref="BL267:CQ267" si="549">BL55+BL170</f>
        <v>0.64408315714000008</v>
      </c>
      <c r="BM267" s="136">
        <f t="shared" si="549"/>
        <v>0.68892022132562014</v>
      </c>
      <c r="BN267" s="136">
        <f t="shared" si="549"/>
        <v>0.71846739560803985</v>
      </c>
      <c r="BO267" s="136">
        <f t="shared" si="549"/>
        <v>7.3249417722167148E-3</v>
      </c>
      <c r="BP267" s="136">
        <f t="shared" si="549"/>
        <v>7.4860904912054825E-3</v>
      </c>
      <c r="BQ267" s="136">
        <f t="shared" si="549"/>
        <v>0</v>
      </c>
      <c r="BR267" s="136">
        <f t="shared" si="549"/>
        <v>0</v>
      </c>
      <c r="BS267" s="136">
        <f t="shared" si="549"/>
        <v>0</v>
      </c>
      <c r="BT267" s="136">
        <f t="shared" si="549"/>
        <v>0</v>
      </c>
      <c r="BU267" s="136">
        <f t="shared" si="549"/>
        <v>0</v>
      </c>
      <c r="BV267" s="136">
        <f t="shared" si="549"/>
        <v>0</v>
      </c>
      <c r="BW267" s="136">
        <f t="shared" si="549"/>
        <v>0</v>
      </c>
      <c r="BX267" s="136">
        <f t="shared" si="549"/>
        <v>0</v>
      </c>
      <c r="BY267" s="136">
        <f t="shared" si="549"/>
        <v>0</v>
      </c>
      <c r="BZ267" s="138">
        <f t="shared" si="549"/>
        <v>0</v>
      </c>
      <c r="CA267" s="138">
        <f t="shared" si="549"/>
        <v>0</v>
      </c>
      <c r="CB267" s="138">
        <f t="shared" si="549"/>
        <v>0</v>
      </c>
      <c r="CC267" s="138">
        <f t="shared" si="549"/>
        <v>0</v>
      </c>
      <c r="CD267" s="138">
        <f t="shared" si="549"/>
        <v>0</v>
      </c>
      <c r="CE267" s="138">
        <f t="shared" si="549"/>
        <v>0</v>
      </c>
      <c r="CF267" s="138">
        <f t="shared" si="549"/>
        <v>0</v>
      </c>
      <c r="CG267" s="138">
        <f t="shared" si="549"/>
        <v>0</v>
      </c>
      <c r="CH267" s="138">
        <f t="shared" si="549"/>
        <v>0</v>
      </c>
      <c r="CI267" s="138">
        <f t="shared" si="549"/>
        <v>0</v>
      </c>
      <c r="CJ267" s="138">
        <f t="shared" si="549"/>
        <v>0</v>
      </c>
      <c r="CK267" s="138">
        <f t="shared" si="549"/>
        <v>0</v>
      </c>
      <c r="CL267" s="138">
        <f t="shared" si="549"/>
        <v>0</v>
      </c>
      <c r="CM267" s="138">
        <f t="shared" si="549"/>
        <v>0</v>
      </c>
      <c r="CN267" s="138">
        <f t="shared" si="549"/>
        <v>0</v>
      </c>
      <c r="CO267" s="138">
        <f t="shared" si="549"/>
        <v>0</v>
      </c>
      <c r="CP267" s="138">
        <f t="shared" si="549"/>
        <v>0</v>
      </c>
      <c r="CQ267" s="138">
        <f t="shared" si="549"/>
        <v>0</v>
      </c>
      <c r="CR267" s="137">
        <f t="shared" si="511"/>
        <v>2.0662818063370825</v>
      </c>
      <c r="CS267" s="26"/>
      <c r="CT267" s="25"/>
      <c r="CU267" s="78"/>
      <c r="CV267" s="78"/>
      <c r="CW267" s="78"/>
      <c r="CX267" s="78"/>
    </row>
    <row r="268" spans="1:102" x14ac:dyDescent="0.3">
      <c r="A268" s="104" t="str">
        <f t="shared" ref="A268:I268" si="550">A56</f>
        <v>Urban BF</v>
      </c>
      <c r="B268" s="104" t="str">
        <f t="shared" si="550"/>
        <v>Roskill</v>
      </c>
      <c r="C268" s="104">
        <f t="shared" si="550"/>
        <v>0</v>
      </c>
      <c r="D268" s="142" t="str">
        <f t="shared" si="550"/>
        <v xml:space="preserve">Wesley West Farrelly Ave neighbourhood new park development </v>
      </c>
      <c r="E268" s="142" t="str">
        <f t="shared" si="550"/>
        <v>Dec 29: acquire and develop, and develop covers cultural park at potter ave</v>
      </c>
      <c r="F268" s="142">
        <f t="shared" si="550"/>
        <v>1.3</v>
      </c>
      <c r="G268" s="104">
        <f t="shared" si="550"/>
        <v>0</v>
      </c>
      <c r="H268" s="104">
        <f t="shared" si="550"/>
        <v>0</v>
      </c>
      <c r="I268" s="104">
        <f t="shared" si="550"/>
        <v>0</v>
      </c>
      <c r="J268" s="104"/>
      <c r="K268" s="104"/>
      <c r="L268" s="104"/>
      <c r="M268" s="104"/>
      <c r="N268" s="104"/>
      <c r="O268" s="104"/>
      <c r="P268" s="104"/>
      <c r="Q268" s="104"/>
      <c r="R268" s="104"/>
      <c r="S268" s="104"/>
      <c r="T268" s="104"/>
      <c r="U268" s="104"/>
      <c r="V268" s="104"/>
      <c r="W268" s="104"/>
      <c r="X268" s="104"/>
      <c r="Y268" s="104"/>
      <c r="Z268" s="104"/>
      <c r="AA268" s="104"/>
      <c r="AB268" s="104"/>
      <c r="AC268" s="104"/>
      <c r="AD268" s="104"/>
      <c r="AE268" s="104"/>
      <c r="AF268" s="104"/>
      <c r="AG268" s="104"/>
      <c r="AH268" s="104"/>
      <c r="AI268" s="104"/>
      <c r="AJ268" s="104"/>
      <c r="AK268" s="104"/>
      <c r="AL268" s="104"/>
      <c r="AM268" s="104"/>
      <c r="AN268" s="104"/>
      <c r="AO268" s="104"/>
      <c r="AP268" s="104"/>
      <c r="AQ268" s="104"/>
      <c r="AR268" s="104"/>
      <c r="AS268" s="104"/>
      <c r="AT268" s="104"/>
      <c r="AU268" s="104"/>
      <c r="AV268" s="104"/>
      <c r="AW268" s="104"/>
      <c r="AX268" s="104"/>
      <c r="AY268" s="104"/>
      <c r="AZ268" s="104"/>
      <c r="BA268" s="104"/>
      <c r="BB268" s="104"/>
      <c r="BC268" s="104"/>
      <c r="BD268" s="104"/>
      <c r="BE268" s="104"/>
      <c r="BF268" s="104"/>
      <c r="BG268" s="104"/>
      <c r="BH268" s="104"/>
      <c r="BI268" s="104"/>
      <c r="BJ268" s="104"/>
      <c r="BK268" s="104"/>
      <c r="BL268" s="157">
        <f t="shared" ref="BL268:CQ268" si="551">BL56+BL171</f>
        <v>1.900657777777778</v>
      </c>
      <c r="BM268" s="157">
        <f t="shared" si="551"/>
        <v>2.0452788577649224</v>
      </c>
      <c r="BN268" s="157">
        <f t="shared" si="551"/>
        <v>2.1330985232578441</v>
      </c>
      <c r="BO268" s="157">
        <f t="shared" si="551"/>
        <v>1.2208236287027855E-2</v>
      </c>
      <c r="BP268" s="157">
        <f t="shared" si="551"/>
        <v>0</v>
      </c>
      <c r="BQ268" s="157">
        <f t="shared" si="551"/>
        <v>0</v>
      </c>
      <c r="BR268" s="157">
        <f t="shared" si="551"/>
        <v>0</v>
      </c>
      <c r="BS268" s="157">
        <f t="shared" si="551"/>
        <v>0</v>
      </c>
      <c r="BT268" s="157">
        <f t="shared" si="551"/>
        <v>0</v>
      </c>
      <c r="BU268" s="157">
        <f t="shared" si="551"/>
        <v>0</v>
      </c>
      <c r="BV268" s="157">
        <f t="shared" si="551"/>
        <v>0</v>
      </c>
      <c r="BW268" s="157">
        <f t="shared" si="551"/>
        <v>0</v>
      </c>
      <c r="BX268" s="157">
        <f t="shared" si="551"/>
        <v>0</v>
      </c>
      <c r="BY268" s="157">
        <f t="shared" si="551"/>
        <v>0</v>
      </c>
      <c r="BZ268" s="157">
        <f t="shared" si="551"/>
        <v>0</v>
      </c>
      <c r="CA268" s="157">
        <f t="shared" si="551"/>
        <v>0</v>
      </c>
      <c r="CB268" s="157">
        <f t="shared" si="551"/>
        <v>0</v>
      </c>
      <c r="CC268" s="157">
        <f t="shared" si="551"/>
        <v>0</v>
      </c>
      <c r="CD268" s="157">
        <f t="shared" si="551"/>
        <v>0</v>
      </c>
      <c r="CE268" s="157">
        <f t="shared" si="551"/>
        <v>0</v>
      </c>
      <c r="CF268" s="157">
        <f t="shared" si="551"/>
        <v>0</v>
      </c>
      <c r="CG268" s="157">
        <f t="shared" si="551"/>
        <v>0</v>
      </c>
      <c r="CH268" s="157">
        <f t="shared" si="551"/>
        <v>0</v>
      </c>
      <c r="CI268" s="157">
        <f t="shared" si="551"/>
        <v>0</v>
      </c>
      <c r="CJ268" s="157">
        <f t="shared" si="551"/>
        <v>0</v>
      </c>
      <c r="CK268" s="157">
        <f t="shared" si="551"/>
        <v>0</v>
      </c>
      <c r="CL268" s="157">
        <f t="shared" si="551"/>
        <v>0</v>
      </c>
      <c r="CM268" s="157">
        <f t="shared" si="551"/>
        <v>0</v>
      </c>
      <c r="CN268" s="157">
        <f t="shared" si="551"/>
        <v>0</v>
      </c>
      <c r="CO268" s="157">
        <f t="shared" si="551"/>
        <v>0</v>
      </c>
      <c r="CP268" s="157">
        <f t="shared" si="551"/>
        <v>0</v>
      </c>
      <c r="CQ268" s="157">
        <f t="shared" si="551"/>
        <v>0</v>
      </c>
      <c r="CR268" s="158">
        <f t="shared" ref="CR268:CR269" si="552">SUM(BL268:CQ268)</f>
        <v>6.091243395087572</v>
      </c>
      <c r="CS268" s="26"/>
      <c r="CT268" s="25"/>
    </row>
    <row r="269" spans="1:102" x14ac:dyDescent="0.3">
      <c r="A269" s="104" t="str">
        <f t="shared" ref="A269:I269" si="553">A57</f>
        <v>Urban BF</v>
      </c>
      <c r="B269" s="104" t="str">
        <f t="shared" si="553"/>
        <v>Mangere</v>
      </c>
      <c r="C269" s="104">
        <f t="shared" si="553"/>
        <v>0</v>
      </c>
      <c r="D269" s="142" t="str">
        <f t="shared" si="553"/>
        <v>Molesworth Place new park development</v>
      </c>
      <c r="E269" s="142" t="str">
        <f t="shared" si="553"/>
        <v>Jun27, acquire and develp, $3.2m for 3000m2</v>
      </c>
      <c r="F269" s="142">
        <f t="shared" si="553"/>
        <v>0.75</v>
      </c>
      <c r="G269" s="104">
        <f t="shared" si="553"/>
        <v>0</v>
      </c>
      <c r="H269" s="104">
        <f t="shared" si="553"/>
        <v>0</v>
      </c>
      <c r="I269" s="104">
        <f t="shared" si="553"/>
        <v>0</v>
      </c>
      <c r="J269" s="104"/>
      <c r="K269" s="104"/>
      <c r="L269" s="104"/>
      <c r="M269" s="104"/>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4"/>
      <c r="AL269" s="104"/>
      <c r="AM269" s="104"/>
      <c r="AN269" s="104"/>
      <c r="AO269" s="104"/>
      <c r="AP269" s="104"/>
      <c r="AQ269" s="104"/>
      <c r="AR269" s="104"/>
      <c r="AS269" s="104"/>
      <c r="AT269" s="104"/>
      <c r="AU269" s="104"/>
      <c r="AV269" s="104"/>
      <c r="AW269" s="104"/>
      <c r="AX269" s="104"/>
      <c r="AY269" s="104"/>
      <c r="AZ269" s="104"/>
      <c r="BA269" s="104"/>
      <c r="BB269" s="104"/>
      <c r="BC269" s="104"/>
      <c r="BD269" s="104"/>
      <c r="BE269" s="104"/>
      <c r="BF269" s="104"/>
      <c r="BG269" s="104"/>
      <c r="BH269" s="104"/>
      <c r="BI269" s="104"/>
      <c r="BJ269" s="104"/>
      <c r="BK269" s="104"/>
      <c r="BL269" s="157">
        <f t="shared" ref="BL269:CQ269" si="554">BL57+BL172</f>
        <v>1.0965333333333334</v>
      </c>
      <c r="BM269" s="157">
        <f t="shared" si="554"/>
        <v>1.1848657022093667</v>
      </c>
      <c r="BN269" s="157">
        <f t="shared" si="554"/>
        <v>1.2356876020133998</v>
      </c>
      <c r="BO269" s="157">
        <f t="shared" si="554"/>
        <v>1.2208236287027855E-2</v>
      </c>
      <c r="BP269" s="157">
        <f t="shared" si="554"/>
        <v>0</v>
      </c>
      <c r="BQ269" s="157">
        <f t="shared" si="554"/>
        <v>0</v>
      </c>
      <c r="BR269" s="157">
        <f t="shared" si="554"/>
        <v>0</v>
      </c>
      <c r="BS269" s="157">
        <f t="shared" si="554"/>
        <v>0</v>
      </c>
      <c r="BT269" s="157">
        <f t="shared" si="554"/>
        <v>0</v>
      </c>
      <c r="BU269" s="157">
        <f t="shared" si="554"/>
        <v>0</v>
      </c>
      <c r="BV269" s="157">
        <f t="shared" si="554"/>
        <v>0</v>
      </c>
      <c r="BW269" s="157">
        <f t="shared" si="554"/>
        <v>0</v>
      </c>
      <c r="BX269" s="157">
        <f t="shared" si="554"/>
        <v>0</v>
      </c>
      <c r="BY269" s="157">
        <f t="shared" si="554"/>
        <v>0</v>
      </c>
      <c r="BZ269" s="157">
        <f t="shared" si="554"/>
        <v>0</v>
      </c>
      <c r="CA269" s="157">
        <f t="shared" si="554"/>
        <v>0</v>
      </c>
      <c r="CB269" s="157">
        <f t="shared" si="554"/>
        <v>0</v>
      </c>
      <c r="CC269" s="157">
        <f t="shared" si="554"/>
        <v>0</v>
      </c>
      <c r="CD269" s="157">
        <f t="shared" si="554"/>
        <v>0</v>
      </c>
      <c r="CE269" s="157">
        <f t="shared" si="554"/>
        <v>0</v>
      </c>
      <c r="CF269" s="157">
        <f t="shared" si="554"/>
        <v>0</v>
      </c>
      <c r="CG269" s="157">
        <f t="shared" si="554"/>
        <v>0</v>
      </c>
      <c r="CH269" s="157">
        <f t="shared" si="554"/>
        <v>0</v>
      </c>
      <c r="CI269" s="157">
        <f t="shared" si="554"/>
        <v>0</v>
      </c>
      <c r="CJ269" s="157">
        <f t="shared" si="554"/>
        <v>0</v>
      </c>
      <c r="CK269" s="157">
        <f t="shared" si="554"/>
        <v>0</v>
      </c>
      <c r="CL269" s="157">
        <f t="shared" si="554"/>
        <v>0</v>
      </c>
      <c r="CM269" s="157">
        <f t="shared" si="554"/>
        <v>0</v>
      </c>
      <c r="CN269" s="157">
        <f t="shared" si="554"/>
        <v>0</v>
      </c>
      <c r="CO269" s="157">
        <f t="shared" si="554"/>
        <v>0</v>
      </c>
      <c r="CP269" s="157">
        <f t="shared" si="554"/>
        <v>0</v>
      </c>
      <c r="CQ269" s="157">
        <f t="shared" si="554"/>
        <v>0</v>
      </c>
      <c r="CR269" s="158">
        <f t="shared" si="552"/>
        <v>3.5292948738431273</v>
      </c>
      <c r="CS269" s="26"/>
      <c r="CT269" s="25"/>
    </row>
    <row r="270" spans="1:102" x14ac:dyDescent="0.3">
      <c r="A270" s="104" t="str">
        <f t="shared" ref="A270:I270" si="555">A58</f>
        <v>Flat Bush</v>
      </c>
      <c r="B270" s="104" t="str">
        <f t="shared" si="555"/>
        <v>Flatbush</v>
      </c>
      <c r="C270" s="104">
        <f t="shared" si="555"/>
        <v>0</v>
      </c>
      <c r="D270" s="104" t="str">
        <f t="shared" si="555"/>
        <v>Flatbush</v>
      </c>
      <c r="E270" s="104" t="str">
        <f t="shared" si="555"/>
        <v>4NHPs nominally near 2 Skanda Cres, 304 Flat Bush School Rd, 117 Murphys Rd, 91 long George Dr</v>
      </c>
      <c r="F270" s="104">
        <f t="shared" si="555"/>
        <v>4</v>
      </c>
      <c r="G270" s="104">
        <f t="shared" si="555"/>
        <v>0</v>
      </c>
      <c r="H270" s="104">
        <f t="shared" si="555"/>
        <v>0</v>
      </c>
      <c r="I270" s="104">
        <f t="shared" si="555"/>
        <v>0</v>
      </c>
      <c r="J270" s="104"/>
      <c r="K270" s="104"/>
      <c r="L270" s="104"/>
      <c r="M270" s="104"/>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4"/>
      <c r="AL270" s="104"/>
      <c r="AM270" s="104"/>
      <c r="AN270" s="104"/>
      <c r="AO270" s="104"/>
      <c r="AP270" s="104"/>
      <c r="AQ270" s="104"/>
      <c r="AR270" s="104"/>
      <c r="AS270" s="104"/>
      <c r="AT270" s="104"/>
      <c r="AU270" s="104"/>
      <c r="AV270" s="104"/>
      <c r="AW270" s="104"/>
      <c r="AX270" s="104"/>
      <c r="AY270" s="104"/>
      <c r="AZ270" s="104"/>
      <c r="BA270" s="104"/>
      <c r="BB270" s="104"/>
      <c r="BC270" s="104"/>
      <c r="BD270" s="104"/>
      <c r="BE270" s="104"/>
      <c r="BF270" s="104"/>
      <c r="BG270" s="104"/>
      <c r="BH270" s="104"/>
      <c r="BI270" s="104"/>
      <c r="BJ270" s="104"/>
      <c r="BK270" s="104"/>
      <c r="BL270" s="136">
        <f t="shared" ref="BL270:CQ270" si="556">BL58+BL173</f>
        <v>0</v>
      </c>
      <c r="BM270" s="136">
        <f t="shared" si="556"/>
        <v>0</v>
      </c>
      <c r="BN270" s="136">
        <f t="shared" si="556"/>
        <v>0</v>
      </c>
      <c r="BO270" s="136">
        <f t="shared" si="556"/>
        <v>0</v>
      </c>
      <c r="BP270" s="136">
        <f t="shared" si="556"/>
        <v>0</v>
      </c>
      <c r="BQ270" s="136">
        <f t="shared" si="556"/>
        <v>0</v>
      </c>
      <c r="BR270" s="136">
        <f t="shared" si="556"/>
        <v>0</v>
      </c>
      <c r="BS270" s="136">
        <f t="shared" si="556"/>
        <v>0</v>
      </c>
      <c r="BT270" s="136">
        <f t="shared" si="556"/>
        <v>0</v>
      </c>
      <c r="BU270" s="136">
        <f t="shared" si="556"/>
        <v>0</v>
      </c>
      <c r="BV270" s="136">
        <f t="shared" si="556"/>
        <v>5.5087350199265179</v>
      </c>
      <c r="BW270" s="136">
        <f t="shared" si="556"/>
        <v>5.9714934267881929</v>
      </c>
      <c r="BX270" s="136">
        <f t="shared" si="556"/>
        <v>6.4844402235852963</v>
      </c>
      <c r="BY270" s="136">
        <f t="shared" si="556"/>
        <v>6.6625107854762096</v>
      </c>
      <c r="BZ270" s="136">
        <f t="shared" si="556"/>
        <v>3.3814364494008728</v>
      </c>
      <c r="CA270" s="136">
        <f t="shared" si="556"/>
        <v>3.8927336607604461</v>
      </c>
      <c r="CB270" s="136">
        <f t="shared" si="556"/>
        <v>18.924332049641922</v>
      </c>
      <c r="CC270" s="136">
        <f t="shared" si="556"/>
        <v>20.265686993510968</v>
      </c>
      <c r="CD270" s="136">
        <f t="shared" si="556"/>
        <v>0</v>
      </c>
      <c r="CE270" s="136">
        <f t="shared" si="556"/>
        <v>0</v>
      </c>
      <c r="CF270" s="136">
        <f t="shared" si="556"/>
        <v>0</v>
      </c>
      <c r="CG270" s="136">
        <f t="shared" si="556"/>
        <v>0</v>
      </c>
      <c r="CH270" s="136">
        <f t="shared" si="556"/>
        <v>0</v>
      </c>
      <c r="CI270" s="136">
        <f t="shared" si="556"/>
        <v>0</v>
      </c>
      <c r="CJ270" s="136">
        <f t="shared" si="556"/>
        <v>0</v>
      </c>
      <c r="CK270" s="136">
        <f t="shared" si="556"/>
        <v>0</v>
      </c>
      <c r="CL270" s="136">
        <f t="shared" si="556"/>
        <v>0</v>
      </c>
      <c r="CM270" s="136">
        <f t="shared" si="556"/>
        <v>0</v>
      </c>
      <c r="CN270" s="136">
        <f t="shared" si="556"/>
        <v>0</v>
      </c>
      <c r="CO270" s="136">
        <f t="shared" si="556"/>
        <v>0</v>
      </c>
      <c r="CP270" s="136">
        <f t="shared" si="556"/>
        <v>0</v>
      </c>
      <c r="CQ270" s="136">
        <f t="shared" si="556"/>
        <v>0</v>
      </c>
      <c r="CR270" s="137">
        <f t="shared" ref="CR270" si="557">SUM(BL270:CQ270)</f>
        <v>71.091368609090424</v>
      </c>
      <c r="CS270" s="26"/>
      <c r="CT270" s="25"/>
    </row>
    <row r="271" spans="1:102" x14ac:dyDescent="0.3">
      <c r="A271" s="104" t="str">
        <f t="shared" ref="A271:I271" si="558">A59</f>
        <v>Hingaia</v>
      </c>
      <c r="B271" s="104" t="str">
        <f t="shared" si="558"/>
        <v>South (West)</v>
      </c>
      <c r="C271" s="104">
        <f t="shared" si="558"/>
        <v>0</v>
      </c>
      <c r="D271" s="104" t="str">
        <f t="shared" si="558"/>
        <v>Oruarangi</v>
      </c>
      <c r="E271" s="104">
        <f t="shared" si="558"/>
        <v>0</v>
      </c>
      <c r="F271" s="104">
        <f t="shared" si="558"/>
        <v>1</v>
      </c>
      <c r="G271" s="104">
        <f t="shared" si="558"/>
        <v>0</v>
      </c>
      <c r="H271" s="104">
        <f t="shared" si="558"/>
        <v>0</v>
      </c>
      <c r="I271" s="104">
        <f t="shared" si="558"/>
        <v>0</v>
      </c>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4"/>
      <c r="AL271" s="104"/>
      <c r="AM271" s="104"/>
      <c r="AN271" s="104"/>
      <c r="AO271" s="104"/>
      <c r="AP271" s="104"/>
      <c r="AQ271" s="104"/>
      <c r="AR271" s="104"/>
      <c r="AS271" s="104"/>
      <c r="AT271" s="104"/>
      <c r="AU271" s="104"/>
      <c r="AV271" s="104"/>
      <c r="AW271" s="104"/>
      <c r="AX271" s="104"/>
      <c r="AY271" s="104"/>
      <c r="AZ271" s="104"/>
      <c r="BA271" s="104"/>
      <c r="BB271" s="104"/>
      <c r="BC271" s="104"/>
      <c r="BD271" s="104"/>
      <c r="BE271" s="104"/>
      <c r="BF271" s="104"/>
      <c r="BG271" s="104"/>
      <c r="BH271" s="104"/>
      <c r="BI271" s="104"/>
      <c r="BJ271" s="104"/>
      <c r="BK271" s="104"/>
      <c r="BL271" s="136">
        <f t="shared" ref="BL271:CQ271" si="559">BL59+BL174</f>
        <v>0</v>
      </c>
      <c r="BM271" s="136">
        <f t="shared" si="559"/>
        <v>0</v>
      </c>
      <c r="BN271" s="136">
        <f t="shared" si="559"/>
        <v>0</v>
      </c>
      <c r="BO271" s="136">
        <f t="shared" si="559"/>
        <v>0</v>
      </c>
      <c r="BP271" s="136">
        <f t="shared" si="559"/>
        <v>0</v>
      </c>
      <c r="BQ271" s="136">
        <f t="shared" si="559"/>
        <v>0</v>
      </c>
      <c r="BR271" s="136">
        <f t="shared" si="559"/>
        <v>0</v>
      </c>
      <c r="BS271" s="136">
        <f t="shared" si="559"/>
        <v>0.37382090066308915</v>
      </c>
      <c r="BT271" s="136">
        <f t="shared" si="559"/>
        <v>0.40026429336592684</v>
      </c>
      <c r="BU271" s="136">
        <f t="shared" si="559"/>
        <v>0.85716602668658526</v>
      </c>
      <c r="BV271" s="136">
        <f t="shared" si="559"/>
        <v>2.2945508072615799</v>
      </c>
      <c r="BW271" s="136">
        <f t="shared" si="559"/>
        <v>2.4569414383431805</v>
      </c>
      <c r="BX271" s="136">
        <f t="shared" si="559"/>
        <v>3.1570203717053134</v>
      </c>
      <c r="BY271" s="136">
        <f t="shared" si="559"/>
        <v>0</v>
      </c>
      <c r="BZ271" s="136">
        <f t="shared" si="559"/>
        <v>0</v>
      </c>
      <c r="CA271" s="136">
        <f t="shared" si="559"/>
        <v>0</v>
      </c>
      <c r="CB271" s="136">
        <f t="shared" si="559"/>
        <v>0</v>
      </c>
      <c r="CC271" s="136">
        <f t="shared" si="559"/>
        <v>0</v>
      </c>
      <c r="CD271" s="136">
        <f t="shared" si="559"/>
        <v>0</v>
      </c>
      <c r="CE271" s="136">
        <f t="shared" si="559"/>
        <v>0</v>
      </c>
      <c r="CF271" s="136">
        <f t="shared" si="559"/>
        <v>0</v>
      </c>
      <c r="CG271" s="136">
        <f t="shared" si="559"/>
        <v>0</v>
      </c>
      <c r="CH271" s="136">
        <f t="shared" si="559"/>
        <v>0</v>
      </c>
      <c r="CI271" s="136">
        <f t="shared" si="559"/>
        <v>0</v>
      </c>
      <c r="CJ271" s="136">
        <f t="shared" si="559"/>
        <v>0</v>
      </c>
      <c r="CK271" s="136">
        <f t="shared" si="559"/>
        <v>0</v>
      </c>
      <c r="CL271" s="136">
        <f t="shared" si="559"/>
        <v>0</v>
      </c>
      <c r="CM271" s="136">
        <f t="shared" si="559"/>
        <v>0</v>
      </c>
      <c r="CN271" s="136">
        <f t="shared" si="559"/>
        <v>0</v>
      </c>
      <c r="CO271" s="136">
        <f t="shared" si="559"/>
        <v>0</v>
      </c>
      <c r="CP271" s="136">
        <f t="shared" si="559"/>
        <v>0</v>
      </c>
      <c r="CQ271" s="136">
        <f t="shared" si="559"/>
        <v>0</v>
      </c>
      <c r="CR271" s="137">
        <f t="shared" ref="CR271:CR294" si="560">SUM(BL271:CQ271)</f>
        <v>9.5397638380256744</v>
      </c>
      <c r="CS271" s="26"/>
      <c r="CT271" s="25"/>
    </row>
    <row r="272" spans="1:102" x14ac:dyDescent="0.3">
      <c r="A272" s="104" t="str">
        <f t="shared" ref="A272:I272" si="561">A60</f>
        <v>Takanini</v>
      </c>
      <c r="B272" s="104" t="str">
        <f t="shared" si="561"/>
        <v>Takanini North</v>
      </c>
      <c r="C272" s="104">
        <f t="shared" si="561"/>
        <v>0</v>
      </c>
      <c r="D272" s="104" t="str">
        <f t="shared" si="561"/>
        <v>Takanini North</v>
      </c>
      <c r="E272" s="104">
        <f t="shared" si="561"/>
        <v>0</v>
      </c>
      <c r="F272" s="104">
        <f t="shared" si="561"/>
        <v>8</v>
      </c>
      <c r="G272" s="104">
        <f t="shared" si="561"/>
        <v>0</v>
      </c>
      <c r="H272" s="104">
        <f t="shared" si="561"/>
        <v>0</v>
      </c>
      <c r="I272" s="104">
        <f t="shared" si="561"/>
        <v>0</v>
      </c>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4"/>
      <c r="AL272" s="104"/>
      <c r="AM272" s="104"/>
      <c r="AN272" s="104"/>
      <c r="AO272" s="104"/>
      <c r="AP272" s="104"/>
      <c r="AQ272" s="104"/>
      <c r="AR272" s="104"/>
      <c r="AS272" s="104"/>
      <c r="AT272" s="104"/>
      <c r="AU272" s="104"/>
      <c r="AV272" s="104"/>
      <c r="AW272" s="104"/>
      <c r="AX272" s="104"/>
      <c r="AY272" s="104"/>
      <c r="AZ272" s="104"/>
      <c r="BA272" s="104"/>
      <c r="BB272" s="104"/>
      <c r="BC272" s="104"/>
      <c r="BD272" s="104"/>
      <c r="BE272" s="104"/>
      <c r="BF272" s="104"/>
      <c r="BG272" s="104"/>
      <c r="BH272" s="104"/>
      <c r="BI272" s="104"/>
      <c r="BJ272" s="104"/>
      <c r="BK272" s="104"/>
      <c r="BL272" s="136">
        <f t="shared" ref="BL272:CQ272" si="562">BL60+BL175</f>
        <v>0</v>
      </c>
      <c r="BM272" s="136">
        <f t="shared" si="562"/>
        <v>0</v>
      </c>
      <c r="BN272" s="136">
        <f t="shared" si="562"/>
        <v>0</v>
      </c>
      <c r="BO272" s="136">
        <f t="shared" si="562"/>
        <v>0</v>
      </c>
      <c r="BP272" s="136">
        <f t="shared" si="562"/>
        <v>0</v>
      </c>
      <c r="BQ272" s="136">
        <f t="shared" si="562"/>
        <v>0</v>
      </c>
      <c r="BR272" s="136">
        <f t="shared" si="562"/>
        <v>0</v>
      </c>
      <c r="BS272" s="136">
        <f t="shared" si="562"/>
        <v>0</v>
      </c>
      <c r="BT272" s="136">
        <f t="shared" si="562"/>
        <v>0</v>
      </c>
      <c r="BU272" s="136">
        <f t="shared" si="562"/>
        <v>0</v>
      </c>
      <c r="BV272" s="136">
        <f t="shared" si="562"/>
        <v>0</v>
      </c>
      <c r="BW272" s="136">
        <f t="shared" si="562"/>
        <v>0</v>
      </c>
      <c r="BX272" s="136">
        <f t="shared" si="562"/>
        <v>0</v>
      </c>
      <c r="BY272" s="136">
        <f t="shared" si="562"/>
        <v>0</v>
      </c>
      <c r="BZ272" s="136">
        <f t="shared" si="562"/>
        <v>0</v>
      </c>
      <c r="CA272" s="136">
        <f t="shared" si="562"/>
        <v>0</v>
      </c>
      <c r="CB272" s="136">
        <f t="shared" si="562"/>
        <v>0</v>
      </c>
      <c r="CC272" s="136">
        <f t="shared" si="562"/>
        <v>0</v>
      </c>
      <c r="CD272" s="136">
        <f t="shared" si="562"/>
        <v>0</v>
      </c>
      <c r="CE272" s="136">
        <f t="shared" si="562"/>
        <v>0</v>
      </c>
      <c r="CF272" s="138">
        <f t="shared" si="562"/>
        <v>0</v>
      </c>
      <c r="CG272" s="138">
        <f t="shared" si="562"/>
        <v>1.5950447770567302</v>
      </c>
      <c r="CH272" s="138">
        <f t="shared" si="562"/>
        <v>1.7072309027710439</v>
      </c>
      <c r="CI272" s="138">
        <f t="shared" si="562"/>
        <v>1.8273588782350261</v>
      </c>
      <c r="CJ272" s="138">
        <f t="shared" si="562"/>
        <v>1.9559920607470307</v>
      </c>
      <c r="CK272" s="138">
        <f t="shared" si="562"/>
        <v>4.3697154430958474</v>
      </c>
      <c r="CL272" s="138">
        <f t="shared" si="562"/>
        <v>4.6782272737837776</v>
      </c>
      <c r="CM272" s="138">
        <f t="shared" si="562"/>
        <v>5.0086052092035702</v>
      </c>
      <c r="CN272" s="138">
        <f t="shared" si="562"/>
        <v>5.3624009016157537</v>
      </c>
      <c r="CO272" s="138">
        <f t="shared" si="562"/>
        <v>42.002400157526921</v>
      </c>
      <c r="CP272" s="138">
        <f t="shared" si="562"/>
        <v>44.980357172615854</v>
      </c>
      <c r="CQ272" s="138">
        <f t="shared" si="562"/>
        <v>48.169656441061989</v>
      </c>
      <c r="CR272" s="137">
        <f t="shared" si="560"/>
        <v>161.65698921771354</v>
      </c>
      <c r="CS272" s="26"/>
      <c r="CT272" s="25"/>
    </row>
    <row r="273" spans="1:98" x14ac:dyDescent="0.3">
      <c r="A273" s="104" t="str">
        <f t="shared" ref="A273:I273" si="563">A61</f>
        <v>Takanini</v>
      </c>
      <c r="B273" s="104" t="str">
        <f t="shared" si="563"/>
        <v>Takanini North</v>
      </c>
      <c r="C273" s="104">
        <f t="shared" si="563"/>
        <v>0</v>
      </c>
      <c r="D273" s="104" t="str">
        <f t="shared" si="563"/>
        <v>Takanini North</v>
      </c>
      <c r="E273" s="104">
        <f t="shared" si="563"/>
        <v>0</v>
      </c>
      <c r="F273" s="104">
        <f t="shared" si="563"/>
        <v>0</v>
      </c>
      <c r="G273" s="104">
        <f t="shared" si="563"/>
        <v>1</v>
      </c>
      <c r="H273" s="104">
        <f t="shared" si="563"/>
        <v>0</v>
      </c>
      <c r="I273" s="104">
        <f t="shared" si="563"/>
        <v>0</v>
      </c>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4"/>
      <c r="AL273" s="104"/>
      <c r="AM273" s="104"/>
      <c r="AN273" s="104"/>
      <c r="AO273" s="104"/>
      <c r="AP273" s="104"/>
      <c r="AQ273" s="104"/>
      <c r="AR273" s="104"/>
      <c r="AS273" s="104"/>
      <c r="AT273" s="104"/>
      <c r="AU273" s="104"/>
      <c r="AV273" s="104"/>
      <c r="AW273" s="104"/>
      <c r="AX273" s="104"/>
      <c r="AY273" s="104"/>
      <c r="AZ273" s="104"/>
      <c r="BA273" s="104"/>
      <c r="BB273" s="104"/>
      <c r="BC273" s="104"/>
      <c r="BD273" s="104"/>
      <c r="BE273" s="104"/>
      <c r="BF273" s="104"/>
      <c r="BG273" s="104"/>
      <c r="BH273" s="104"/>
      <c r="BI273" s="104"/>
      <c r="BJ273" s="104"/>
      <c r="BK273" s="104"/>
      <c r="BL273" s="136">
        <f t="shared" ref="BL273:CQ273" si="564">BL61+BL176</f>
        <v>0</v>
      </c>
      <c r="BM273" s="136">
        <f t="shared" si="564"/>
        <v>0</v>
      </c>
      <c r="BN273" s="136">
        <f t="shared" si="564"/>
        <v>0</v>
      </c>
      <c r="BO273" s="136">
        <f t="shared" si="564"/>
        <v>0</v>
      </c>
      <c r="BP273" s="136">
        <f t="shared" si="564"/>
        <v>0</v>
      </c>
      <c r="BQ273" s="136">
        <f t="shared" si="564"/>
        <v>0</v>
      </c>
      <c r="BR273" s="136">
        <f t="shared" si="564"/>
        <v>0</v>
      </c>
      <c r="BS273" s="136">
        <f t="shared" si="564"/>
        <v>0</v>
      </c>
      <c r="BT273" s="136">
        <f t="shared" si="564"/>
        <v>0</v>
      </c>
      <c r="BU273" s="136">
        <f t="shared" si="564"/>
        <v>0</v>
      </c>
      <c r="BV273" s="136">
        <f t="shared" si="564"/>
        <v>0</v>
      </c>
      <c r="BW273" s="136">
        <f t="shared" si="564"/>
        <v>0</v>
      </c>
      <c r="BX273" s="136">
        <f t="shared" si="564"/>
        <v>0</v>
      </c>
      <c r="BY273" s="136">
        <f t="shared" si="564"/>
        <v>0</v>
      </c>
      <c r="BZ273" s="136">
        <f t="shared" si="564"/>
        <v>0</v>
      </c>
      <c r="CA273" s="136">
        <f t="shared" si="564"/>
        <v>0</v>
      </c>
      <c r="CB273" s="136">
        <f t="shared" si="564"/>
        <v>0</v>
      </c>
      <c r="CC273" s="136">
        <f t="shared" si="564"/>
        <v>0</v>
      </c>
      <c r="CD273" s="136">
        <f t="shared" si="564"/>
        <v>0.65291617920012768</v>
      </c>
      <c r="CE273" s="136">
        <f t="shared" si="564"/>
        <v>0.69914886134026411</v>
      </c>
      <c r="CF273" s="138">
        <f t="shared" si="564"/>
        <v>0.74866132784752282</v>
      </c>
      <c r="CG273" s="138">
        <f t="shared" si="564"/>
        <v>3.6943597455338506</v>
      </c>
      <c r="CH273" s="138">
        <f t="shared" si="564"/>
        <v>3.9563273957615306</v>
      </c>
      <c r="CI273" s="138">
        <f t="shared" si="564"/>
        <v>4.2368874475378604</v>
      </c>
      <c r="CJ273" s="138">
        <f t="shared" si="564"/>
        <v>4.5373598007372102</v>
      </c>
      <c r="CK273" s="138">
        <f t="shared" si="564"/>
        <v>3.3898249315912845</v>
      </c>
      <c r="CL273" s="138">
        <f t="shared" si="564"/>
        <v>3.6303214636330283</v>
      </c>
      <c r="CM273" s="138">
        <f t="shared" si="564"/>
        <v>3.8878892666115088</v>
      </c>
      <c r="CN273" s="138">
        <f t="shared" si="564"/>
        <v>4.163740313140794</v>
      </c>
      <c r="CO273" s="138">
        <f t="shared" si="564"/>
        <v>7.8614770322808667</v>
      </c>
      <c r="CP273" s="138">
        <f t="shared" si="564"/>
        <v>8.4195365666704181</v>
      </c>
      <c r="CQ273" s="138">
        <f t="shared" si="564"/>
        <v>9.0172160106337795</v>
      </c>
      <c r="CR273" s="137">
        <f t="shared" si="560"/>
        <v>58.895666342520045</v>
      </c>
      <c r="CS273" s="26"/>
      <c r="CT273" s="25"/>
    </row>
    <row r="274" spans="1:98" x14ac:dyDescent="0.3">
      <c r="A274" s="104" t="str">
        <f t="shared" ref="A274:I274" si="565">A62</f>
        <v>Takanini</v>
      </c>
      <c r="B274" s="104" t="str">
        <f t="shared" si="565"/>
        <v>Takanini South</v>
      </c>
      <c r="C274" s="104">
        <f t="shared" si="565"/>
        <v>0</v>
      </c>
      <c r="D274" s="104" t="str">
        <f t="shared" si="565"/>
        <v>Takaanini &amp; Cosgrave Road</v>
      </c>
      <c r="E274" s="142" t="str">
        <f t="shared" si="565"/>
        <v>55 cosgrove Rd</v>
      </c>
      <c r="F274" s="104">
        <f t="shared" si="565"/>
        <v>1</v>
      </c>
      <c r="G274" s="104">
        <f t="shared" si="565"/>
        <v>0</v>
      </c>
      <c r="H274" s="104">
        <f t="shared" si="565"/>
        <v>0</v>
      </c>
      <c r="I274" s="104">
        <f t="shared" si="565"/>
        <v>0</v>
      </c>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4"/>
      <c r="AL274" s="104"/>
      <c r="AM274" s="104"/>
      <c r="AN274" s="104"/>
      <c r="AO274" s="104"/>
      <c r="AP274" s="104"/>
      <c r="AQ274" s="104"/>
      <c r="AR274" s="104"/>
      <c r="AS274" s="104"/>
      <c r="AT274" s="104"/>
      <c r="AU274" s="104"/>
      <c r="AV274" s="104"/>
      <c r="AW274" s="104"/>
      <c r="AX274" s="104"/>
      <c r="AY274" s="104"/>
      <c r="AZ274" s="104"/>
      <c r="BA274" s="104"/>
      <c r="BB274" s="104"/>
      <c r="BC274" s="104"/>
      <c r="BD274" s="104"/>
      <c r="BE274" s="104"/>
      <c r="BF274" s="104"/>
      <c r="BG274" s="104"/>
      <c r="BH274" s="104"/>
      <c r="BI274" s="104"/>
      <c r="BJ274" s="104"/>
      <c r="BK274" s="104"/>
      <c r="BL274" s="136">
        <f t="shared" ref="BL274:CQ274" si="566">BL62+BL177</f>
        <v>0</v>
      </c>
      <c r="BM274" s="136">
        <f t="shared" si="566"/>
        <v>0</v>
      </c>
      <c r="BN274" s="136">
        <f t="shared" si="566"/>
        <v>0</v>
      </c>
      <c r="BO274" s="136">
        <f t="shared" si="566"/>
        <v>0</v>
      </c>
      <c r="BP274" s="136">
        <f t="shared" si="566"/>
        <v>0</v>
      </c>
      <c r="BQ274" s="136">
        <f t="shared" si="566"/>
        <v>0</v>
      </c>
      <c r="BR274" s="136">
        <f t="shared" si="566"/>
        <v>0</v>
      </c>
      <c r="BS274" s="136">
        <f t="shared" si="566"/>
        <v>0</v>
      </c>
      <c r="BT274" s="136">
        <f t="shared" si="566"/>
        <v>0</v>
      </c>
      <c r="BU274" s="136">
        <f t="shared" si="566"/>
        <v>0</v>
      </c>
      <c r="BV274" s="136">
        <f t="shared" si="566"/>
        <v>0</v>
      </c>
      <c r="BW274" s="136">
        <f t="shared" si="566"/>
        <v>0</v>
      </c>
      <c r="BX274" s="136">
        <f t="shared" si="566"/>
        <v>0</v>
      </c>
      <c r="BY274" s="136">
        <f t="shared" si="566"/>
        <v>0</v>
      </c>
      <c r="BZ274" s="136">
        <f t="shared" si="566"/>
        <v>0</v>
      </c>
      <c r="CA274" s="136">
        <f t="shared" si="566"/>
        <v>0</v>
      </c>
      <c r="CB274" s="136">
        <f t="shared" si="566"/>
        <v>0</v>
      </c>
      <c r="CC274" s="136">
        <f t="shared" si="566"/>
        <v>0</v>
      </c>
      <c r="CD274" s="136">
        <f t="shared" si="566"/>
        <v>0</v>
      </c>
      <c r="CE274" s="136">
        <f t="shared" si="566"/>
        <v>0</v>
      </c>
      <c r="CF274" s="138">
        <f t="shared" si="566"/>
        <v>0</v>
      </c>
      <c r="CG274" s="138">
        <f t="shared" si="566"/>
        <v>0.19938059713209128</v>
      </c>
      <c r="CH274" s="138">
        <f t="shared" si="566"/>
        <v>0.21340386284638049</v>
      </c>
      <c r="CI274" s="138">
        <f t="shared" si="566"/>
        <v>0.22841985977937826</v>
      </c>
      <c r="CJ274" s="138">
        <f t="shared" si="566"/>
        <v>0.24449900759337884</v>
      </c>
      <c r="CK274" s="138">
        <f t="shared" si="566"/>
        <v>0.54621443038698092</v>
      </c>
      <c r="CL274" s="138">
        <f t="shared" si="566"/>
        <v>0.5847784092229722</v>
      </c>
      <c r="CM274" s="138">
        <f t="shared" si="566"/>
        <v>0.62607565115044628</v>
      </c>
      <c r="CN274" s="138">
        <f t="shared" si="566"/>
        <v>0.67030011270196921</v>
      </c>
      <c r="CO274" s="138">
        <f t="shared" si="566"/>
        <v>5.2503000196908651</v>
      </c>
      <c r="CP274" s="138">
        <f t="shared" si="566"/>
        <v>5.6225446465769817</v>
      </c>
      <c r="CQ274" s="138">
        <f t="shared" si="566"/>
        <v>6.0212070551327486</v>
      </c>
      <c r="CR274" s="137">
        <f t="shared" si="560"/>
        <v>20.207123652214193</v>
      </c>
      <c r="CS274" s="26"/>
      <c r="CT274" s="25"/>
    </row>
    <row r="275" spans="1:98" x14ac:dyDescent="0.3">
      <c r="A275" s="104" t="str">
        <f t="shared" ref="A275:I275" si="567">A63</f>
        <v>Hingaia</v>
      </c>
      <c r="B275" s="104" t="str">
        <f t="shared" si="567"/>
        <v>Hingaia</v>
      </c>
      <c r="C275" s="104">
        <f t="shared" si="567"/>
        <v>0</v>
      </c>
      <c r="D275" s="104" t="str">
        <f t="shared" si="567"/>
        <v>Hingaia LZ</v>
      </c>
      <c r="E275" s="142" t="str">
        <f t="shared" si="567"/>
        <v>295 hingaia Rd</v>
      </c>
      <c r="F275" s="142">
        <f t="shared" si="567"/>
        <v>0.97750000000000004</v>
      </c>
      <c r="G275" s="104">
        <f t="shared" si="567"/>
        <v>0</v>
      </c>
      <c r="H275" s="104">
        <f t="shared" si="567"/>
        <v>0</v>
      </c>
      <c r="I275" s="104">
        <f t="shared" si="567"/>
        <v>0</v>
      </c>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4"/>
      <c r="AL275" s="104"/>
      <c r="AM275" s="104"/>
      <c r="AN275" s="104"/>
      <c r="AO275" s="104"/>
      <c r="AP275" s="104"/>
      <c r="AQ275" s="104"/>
      <c r="AR275" s="104"/>
      <c r="AS275" s="104"/>
      <c r="AT275" s="104"/>
      <c r="AU275" s="104"/>
      <c r="AV275" s="104"/>
      <c r="AW275" s="104"/>
      <c r="AX275" s="104"/>
      <c r="AY275" s="104"/>
      <c r="AZ275" s="104"/>
      <c r="BA275" s="104"/>
      <c r="BB275" s="104"/>
      <c r="BC275" s="104"/>
      <c r="BD275" s="104"/>
      <c r="BE275" s="104"/>
      <c r="BF275" s="104"/>
      <c r="BG275" s="104"/>
      <c r="BH275" s="104"/>
      <c r="BI275" s="104"/>
      <c r="BJ275" s="104"/>
      <c r="BK275" s="104"/>
      <c r="BL275" s="136">
        <f t="shared" ref="BL275:CQ275" si="568">BL63+BL178</f>
        <v>0.33652661797293087</v>
      </c>
      <c r="BM275" s="136">
        <f t="shared" si="568"/>
        <v>0.18500313922638201</v>
      </c>
      <c r="BN275" s="136">
        <f t="shared" si="568"/>
        <v>0.24382316615307056</v>
      </c>
      <c r="BO275" s="136">
        <f t="shared" si="568"/>
        <v>0.10682181162228677</v>
      </c>
      <c r="BP275" s="136">
        <f t="shared" si="568"/>
        <v>0.18263664077182057</v>
      </c>
      <c r="BQ275" s="136">
        <f t="shared" si="568"/>
        <v>0.44995158307491501</v>
      </c>
      <c r="BR275" s="136">
        <f t="shared" si="568"/>
        <v>0.39489012915217103</v>
      </c>
      <c r="BS275" s="136">
        <f t="shared" si="568"/>
        <v>0.45511727894413018</v>
      </c>
      <c r="BT275" s="136">
        <f t="shared" si="568"/>
        <v>0.37754313713806337</v>
      </c>
      <c r="BU275" s="136">
        <f t="shared" si="568"/>
        <v>0.11840403448907584</v>
      </c>
      <c r="BV275" s="136">
        <f t="shared" si="568"/>
        <v>2.4674796593200705</v>
      </c>
      <c r="BW275" s="136">
        <f t="shared" si="568"/>
        <v>2.5527396463018719</v>
      </c>
      <c r="BX275" s="136">
        <f t="shared" si="568"/>
        <v>0</v>
      </c>
      <c r="BY275" s="136">
        <f t="shared" si="568"/>
        <v>0</v>
      </c>
      <c r="BZ275" s="136">
        <f t="shared" si="568"/>
        <v>0</v>
      </c>
      <c r="CA275" s="136">
        <f t="shared" si="568"/>
        <v>0</v>
      </c>
      <c r="CB275" s="136">
        <f t="shared" si="568"/>
        <v>0</v>
      </c>
      <c r="CC275" s="136">
        <f t="shared" si="568"/>
        <v>0</v>
      </c>
      <c r="CD275" s="136">
        <f t="shared" si="568"/>
        <v>0</v>
      </c>
      <c r="CE275" s="136">
        <f t="shared" si="568"/>
        <v>0</v>
      </c>
      <c r="CF275" s="136">
        <f t="shared" si="568"/>
        <v>0</v>
      </c>
      <c r="CG275" s="136">
        <f t="shared" si="568"/>
        <v>0</v>
      </c>
      <c r="CH275" s="136">
        <f t="shared" si="568"/>
        <v>0</v>
      </c>
      <c r="CI275" s="136">
        <f t="shared" si="568"/>
        <v>0</v>
      </c>
      <c r="CJ275" s="136">
        <f t="shared" si="568"/>
        <v>0</v>
      </c>
      <c r="CK275" s="136">
        <f t="shared" si="568"/>
        <v>0</v>
      </c>
      <c r="CL275" s="136">
        <f t="shared" si="568"/>
        <v>0</v>
      </c>
      <c r="CM275" s="136">
        <f t="shared" si="568"/>
        <v>0</v>
      </c>
      <c r="CN275" s="136">
        <f t="shared" si="568"/>
        <v>0</v>
      </c>
      <c r="CO275" s="136">
        <f t="shared" si="568"/>
        <v>0</v>
      </c>
      <c r="CP275" s="136">
        <f t="shared" si="568"/>
        <v>0</v>
      </c>
      <c r="CQ275" s="136">
        <f t="shared" si="568"/>
        <v>0</v>
      </c>
      <c r="CR275" s="137">
        <f t="shared" si="560"/>
        <v>7.8709368441667884</v>
      </c>
      <c r="CS275" s="26"/>
      <c r="CT275" s="25"/>
    </row>
    <row r="276" spans="1:98" x14ac:dyDescent="0.3">
      <c r="A276" s="104" t="str">
        <f t="shared" ref="A276:I276" si="569">A64</f>
        <v>Hingaia</v>
      </c>
      <c r="B276" s="104" t="str">
        <f t="shared" si="569"/>
        <v>Hingaia</v>
      </c>
      <c r="C276" s="104">
        <f t="shared" si="569"/>
        <v>0</v>
      </c>
      <c r="D276" s="104" t="str">
        <f t="shared" si="569"/>
        <v>Hingaia LZ</v>
      </c>
      <c r="E276" s="142" t="str">
        <f t="shared" si="569"/>
        <v>279 Park Estate Rd</v>
      </c>
      <c r="F276" s="104">
        <f t="shared" si="569"/>
        <v>1</v>
      </c>
      <c r="G276" s="104">
        <f t="shared" si="569"/>
        <v>0</v>
      </c>
      <c r="H276" s="104">
        <f t="shared" si="569"/>
        <v>0</v>
      </c>
      <c r="I276" s="104">
        <f t="shared" si="569"/>
        <v>0</v>
      </c>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4"/>
      <c r="AL276" s="104"/>
      <c r="AM276" s="104"/>
      <c r="AN276" s="104"/>
      <c r="AO276" s="104"/>
      <c r="AP276" s="104"/>
      <c r="AQ276" s="104"/>
      <c r="AR276" s="104"/>
      <c r="AS276" s="104"/>
      <c r="AT276" s="104"/>
      <c r="AU276" s="104"/>
      <c r="AV276" s="104"/>
      <c r="AW276" s="104"/>
      <c r="AX276" s="104"/>
      <c r="AY276" s="104"/>
      <c r="AZ276" s="104"/>
      <c r="BA276" s="104"/>
      <c r="BB276" s="104"/>
      <c r="BC276" s="104"/>
      <c r="BD276" s="104"/>
      <c r="BE276" s="104"/>
      <c r="BF276" s="104"/>
      <c r="BG276" s="104"/>
      <c r="BH276" s="104"/>
      <c r="BI276" s="104"/>
      <c r="BJ276" s="104"/>
      <c r="BK276" s="104"/>
      <c r="BL276" s="157">
        <f t="shared" ref="BL276:CQ276" si="570">BL64+BL179</f>
        <v>4.0586157857000007</v>
      </c>
      <c r="BM276" s="157">
        <f t="shared" si="570"/>
        <v>0</v>
      </c>
      <c r="BN276" s="157">
        <f t="shared" si="570"/>
        <v>0</v>
      </c>
      <c r="BO276" s="157">
        <f t="shared" si="570"/>
        <v>0</v>
      </c>
      <c r="BP276" s="157">
        <f t="shared" si="570"/>
        <v>0</v>
      </c>
      <c r="BQ276" s="157">
        <f t="shared" si="570"/>
        <v>0</v>
      </c>
      <c r="BR276" s="157">
        <f t="shared" si="570"/>
        <v>0</v>
      </c>
      <c r="BS276" s="157">
        <f t="shared" si="570"/>
        <v>0</v>
      </c>
      <c r="BT276" s="157">
        <f t="shared" si="570"/>
        <v>0</v>
      </c>
      <c r="BU276" s="157">
        <f t="shared" si="570"/>
        <v>0</v>
      </c>
      <c r="BV276" s="157">
        <f t="shared" si="570"/>
        <v>0</v>
      </c>
      <c r="BW276" s="157">
        <f t="shared" si="570"/>
        <v>0</v>
      </c>
      <c r="BX276" s="157">
        <f t="shared" si="570"/>
        <v>0</v>
      </c>
      <c r="BY276" s="157">
        <f t="shared" si="570"/>
        <v>0</v>
      </c>
      <c r="BZ276" s="157">
        <f t="shared" si="570"/>
        <v>0</v>
      </c>
      <c r="CA276" s="157">
        <f t="shared" si="570"/>
        <v>0</v>
      </c>
      <c r="CB276" s="157">
        <f t="shared" si="570"/>
        <v>0</v>
      </c>
      <c r="CC276" s="157">
        <f t="shared" si="570"/>
        <v>0</v>
      </c>
      <c r="CD276" s="157">
        <f t="shared" si="570"/>
        <v>0</v>
      </c>
      <c r="CE276" s="157">
        <f t="shared" si="570"/>
        <v>0</v>
      </c>
      <c r="CF276" s="157">
        <f t="shared" si="570"/>
        <v>0</v>
      </c>
      <c r="CG276" s="157">
        <f t="shared" si="570"/>
        <v>0</v>
      </c>
      <c r="CH276" s="157">
        <f t="shared" si="570"/>
        <v>0</v>
      </c>
      <c r="CI276" s="157">
        <f t="shared" si="570"/>
        <v>0</v>
      </c>
      <c r="CJ276" s="157">
        <f t="shared" si="570"/>
        <v>0</v>
      </c>
      <c r="CK276" s="157">
        <f t="shared" si="570"/>
        <v>0</v>
      </c>
      <c r="CL276" s="157">
        <f t="shared" si="570"/>
        <v>0</v>
      </c>
      <c r="CM276" s="157">
        <f t="shared" si="570"/>
        <v>0</v>
      </c>
      <c r="CN276" s="157">
        <f t="shared" si="570"/>
        <v>0</v>
      </c>
      <c r="CO276" s="157">
        <f t="shared" si="570"/>
        <v>0</v>
      </c>
      <c r="CP276" s="157">
        <f t="shared" si="570"/>
        <v>0</v>
      </c>
      <c r="CQ276" s="157">
        <f t="shared" si="570"/>
        <v>0</v>
      </c>
      <c r="CR276" s="158">
        <f t="shared" si="560"/>
        <v>4.0586157857000007</v>
      </c>
      <c r="CS276" s="26"/>
      <c r="CT276" s="25"/>
    </row>
    <row r="277" spans="1:98" x14ac:dyDescent="0.3">
      <c r="A277" s="104" t="str">
        <f t="shared" ref="A277:I277" si="571">A65</f>
        <v>Hingaia</v>
      </c>
      <c r="B277" s="104" t="str">
        <f t="shared" si="571"/>
        <v>Hingaia</v>
      </c>
      <c r="C277" s="104">
        <f t="shared" si="571"/>
        <v>0</v>
      </c>
      <c r="D277" s="104" t="str">
        <f t="shared" si="571"/>
        <v>Hingaia</v>
      </c>
      <c r="E277" s="142" t="str">
        <f t="shared" si="571"/>
        <v>35 Hayfield, 81 Normanby, 264 hingaia, 99 Hingaia,  2NHPs in 144 Park-Est rd</v>
      </c>
      <c r="F277" s="104">
        <f t="shared" si="571"/>
        <v>6</v>
      </c>
      <c r="G277" s="104">
        <f t="shared" si="571"/>
        <v>0</v>
      </c>
      <c r="H277" s="104">
        <f t="shared" si="571"/>
        <v>0</v>
      </c>
      <c r="I277" s="104">
        <f t="shared" si="571"/>
        <v>0</v>
      </c>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4"/>
      <c r="AL277" s="104"/>
      <c r="AM277" s="104"/>
      <c r="AN277" s="104"/>
      <c r="AO277" s="104"/>
      <c r="AP277" s="104"/>
      <c r="AQ277" s="104"/>
      <c r="AR277" s="104"/>
      <c r="AS277" s="104"/>
      <c r="AT277" s="104"/>
      <c r="AU277" s="104"/>
      <c r="AV277" s="104"/>
      <c r="AW277" s="104"/>
      <c r="AX277" s="104"/>
      <c r="AY277" s="104"/>
      <c r="AZ277" s="104"/>
      <c r="BA277" s="104"/>
      <c r="BB277" s="104"/>
      <c r="BC277" s="104"/>
      <c r="BD277" s="104"/>
      <c r="BE277" s="104"/>
      <c r="BF277" s="104"/>
      <c r="BG277" s="104"/>
      <c r="BH277" s="104"/>
      <c r="BI277" s="104"/>
      <c r="BJ277" s="104"/>
      <c r="BK277" s="104"/>
      <c r="BL277" s="136">
        <f t="shared" ref="BL277:CQ277" si="572">BL65+BL180</f>
        <v>2.0653009737181245</v>
      </c>
      <c r="BM277" s="136">
        <f t="shared" si="572"/>
        <v>1.1353910058425463</v>
      </c>
      <c r="BN277" s="136">
        <f t="shared" si="572"/>
        <v>1.4963804718933886</v>
      </c>
      <c r="BO277" s="136">
        <f t="shared" si="572"/>
        <v>0.65558660115997258</v>
      </c>
      <c r="BP277" s="136">
        <f t="shared" si="572"/>
        <v>1.120884765508358</v>
      </c>
      <c r="BQ277" s="136">
        <f t="shared" si="572"/>
        <v>2.7614782935192093</v>
      </c>
      <c r="BR277" s="136">
        <f t="shared" si="572"/>
        <v>2.4235656874079883</v>
      </c>
      <c r="BS277" s="136">
        <f t="shared" si="572"/>
        <v>2.7932151445082574</v>
      </c>
      <c r="BT277" s="136">
        <f t="shared" si="572"/>
        <v>2.317128268411957</v>
      </c>
      <c r="BU277" s="136">
        <f t="shared" si="572"/>
        <v>0.72669524324025092</v>
      </c>
      <c r="BV277" s="136">
        <f t="shared" si="572"/>
        <v>5.7672534097233434</v>
      </c>
      <c r="BW277" s="136">
        <f t="shared" si="572"/>
        <v>6.2513269877831474</v>
      </c>
      <c r="BX277" s="136">
        <f t="shared" si="572"/>
        <v>6.787895082898685</v>
      </c>
      <c r="BY277" s="136">
        <f t="shared" si="572"/>
        <v>6.9738907098833618</v>
      </c>
      <c r="BZ277" s="136">
        <f t="shared" si="572"/>
        <v>3.5392739450848998</v>
      </c>
      <c r="CA277" s="136">
        <f t="shared" si="572"/>
        <v>4.0742200333951351</v>
      </c>
      <c r="CB277" s="136">
        <f t="shared" si="572"/>
        <v>1.4828665170354762</v>
      </c>
      <c r="CC277" s="136">
        <f t="shared" si="572"/>
        <v>0</v>
      </c>
      <c r="CD277" s="136">
        <f t="shared" si="572"/>
        <v>0</v>
      </c>
      <c r="CE277" s="136">
        <f t="shared" si="572"/>
        <v>0</v>
      </c>
      <c r="CF277" s="136">
        <f t="shared" si="572"/>
        <v>0</v>
      </c>
      <c r="CG277" s="136">
        <f t="shared" si="572"/>
        <v>0</v>
      </c>
      <c r="CH277" s="136">
        <f t="shared" si="572"/>
        <v>0</v>
      </c>
      <c r="CI277" s="136">
        <f t="shared" si="572"/>
        <v>0</v>
      </c>
      <c r="CJ277" s="136">
        <f t="shared" si="572"/>
        <v>0</v>
      </c>
      <c r="CK277" s="136">
        <f t="shared" si="572"/>
        <v>0</v>
      </c>
      <c r="CL277" s="136">
        <f t="shared" si="572"/>
        <v>0</v>
      </c>
      <c r="CM277" s="136">
        <f t="shared" si="572"/>
        <v>0</v>
      </c>
      <c r="CN277" s="136">
        <f t="shared" si="572"/>
        <v>0</v>
      </c>
      <c r="CO277" s="136">
        <f t="shared" si="572"/>
        <v>0</v>
      </c>
      <c r="CP277" s="136">
        <f t="shared" si="572"/>
        <v>0</v>
      </c>
      <c r="CQ277" s="136">
        <f t="shared" si="572"/>
        <v>0</v>
      </c>
      <c r="CR277" s="137">
        <f t="shared" si="560"/>
        <v>52.372353141014102</v>
      </c>
      <c r="CS277" s="26"/>
      <c r="CT277" s="25"/>
    </row>
    <row r="278" spans="1:98" x14ac:dyDescent="0.3">
      <c r="A278" s="104" t="str">
        <f t="shared" ref="A278:I278" si="573">A66</f>
        <v>Opaheke / Drury</v>
      </c>
      <c r="B278" s="104" t="str">
        <f t="shared" si="573"/>
        <v>Drury</v>
      </c>
      <c r="C278" s="104">
        <f t="shared" si="573"/>
        <v>0</v>
      </c>
      <c r="D278" s="104" t="str">
        <f t="shared" si="573"/>
        <v>Auranga Existing Development</v>
      </c>
      <c r="E278" s="142" t="str">
        <f t="shared" si="573"/>
        <v>312 bremner</v>
      </c>
      <c r="F278" s="142">
        <f t="shared" si="573"/>
        <v>0.84225000000000005</v>
      </c>
      <c r="G278" s="104">
        <f t="shared" si="573"/>
        <v>0</v>
      </c>
      <c r="H278" s="104">
        <f t="shared" si="573"/>
        <v>0</v>
      </c>
      <c r="I278" s="104">
        <f t="shared" si="573"/>
        <v>0</v>
      </c>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4"/>
      <c r="AL278" s="104"/>
      <c r="AM278" s="104"/>
      <c r="AN278" s="104"/>
      <c r="AO278" s="104"/>
      <c r="AP278" s="104"/>
      <c r="AQ278" s="104"/>
      <c r="AR278" s="104"/>
      <c r="AS278" s="104"/>
      <c r="AT278" s="104"/>
      <c r="AU278" s="104"/>
      <c r="AV278" s="104"/>
      <c r="AW278" s="104"/>
      <c r="AX278" s="104"/>
      <c r="AY278" s="104"/>
      <c r="AZ278" s="104"/>
      <c r="BA278" s="104"/>
      <c r="BB278" s="104"/>
      <c r="BC278" s="104"/>
      <c r="BD278" s="104"/>
      <c r="BE278" s="104"/>
      <c r="BF278" s="104"/>
      <c r="BG278" s="104"/>
      <c r="BH278" s="104"/>
      <c r="BI278" s="104"/>
      <c r="BJ278" s="104"/>
      <c r="BK278" s="104"/>
      <c r="BL278" s="157">
        <f t="shared" ref="BL278:CQ278" si="574">BL66+BL181</f>
        <v>0</v>
      </c>
      <c r="BM278" s="157">
        <f t="shared" si="574"/>
        <v>3.0847251066280998</v>
      </c>
      <c r="BN278" s="157">
        <f t="shared" si="574"/>
        <v>0</v>
      </c>
      <c r="BO278" s="157">
        <f t="shared" si="574"/>
        <v>0</v>
      </c>
      <c r="BP278" s="157">
        <f t="shared" si="574"/>
        <v>0</v>
      </c>
      <c r="BQ278" s="157">
        <f t="shared" si="574"/>
        <v>0</v>
      </c>
      <c r="BR278" s="157">
        <f t="shared" si="574"/>
        <v>0</v>
      </c>
      <c r="BS278" s="157">
        <f t="shared" si="574"/>
        <v>0</v>
      </c>
      <c r="BT278" s="157">
        <f t="shared" si="574"/>
        <v>0</v>
      </c>
      <c r="BU278" s="157">
        <f t="shared" si="574"/>
        <v>0</v>
      </c>
      <c r="BV278" s="157">
        <f t="shared" si="574"/>
        <v>0</v>
      </c>
      <c r="BW278" s="157">
        <f t="shared" si="574"/>
        <v>0</v>
      </c>
      <c r="BX278" s="157">
        <f t="shared" si="574"/>
        <v>0</v>
      </c>
      <c r="BY278" s="157">
        <f t="shared" si="574"/>
        <v>0</v>
      </c>
      <c r="BZ278" s="157">
        <f t="shared" si="574"/>
        <v>0</v>
      </c>
      <c r="CA278" s="157">
        <f t="shared" si="574"/>
        <v>0</v>
      </c>
      <c r="CB278" s="157">
        <f t="shared" si="574"/>
        <v>0</v>
      </c>
      <c r="CC278" s="157">
        <f t="shared" si="574"/>
        <v>0</v>
      </c>
      <c r="CD278" s="157">
        <f t="shared" si="574"/>
        <v>0</v>
      </c>
      <c r="CE278" s="157">
        <f t="shared" si="574"/>
        <v>0</v>
      </c>
      <c r="CF278" s="157">
        <f t="shared" si="574"/>
        <v>0</v>
      </c>
      <c r="CG278" s="157">
        <f t="shared" si="574"/>
        <v>0</v>
      </c>
      <c r="CH278" s="157">
        <f t="shared" si="574"/>
        <v>0</v>
      </c>
      <c r="CI278" s="157">
        <f t="shared" si="574"/>
        <v>0</v>
      </c>
      <c r="CJ278" s="157">
        <f t="shared" si="574"/>
        <v>0</v>
      </c>
      <c r="CK278" s="157">
        <f t="shared" si="574"/>
        <v>0</v>
      </c>
      <c r="CL278" s="157">
        <f t="shared" si="574"/>
        <v>0</v>
      </c>
      <c r="CM278" s="157">
        <f t="shared" si="574"/>
        <v>0</v>
      </c>
      <c r="CN278" s="157">
        <f t="shared" si="574"/>
        <v>0</v>
      </c>
      <c r="CO278" s="157">
        <f t="shared" si="574"/>
        <v>0</v>
      </c>
      <c r="CP278" s="157">
        <f t="shared" si="574"/>
        <v>0</v>
      </c>
      <c r="CQ278" s="157">
        <f t="shared" si="574"/>
        <v>0</v>
      </c>
      <c r="CR278" s="158">
        <f t="shared" si="560"/>
        <v>3.0847251066280998</v>
      </c>
      <c r="CS278" s="26"/>
      <c r="CT278" s="25"/>
    </row>
    <row r="279" spans="1:98" x14ac:dyDescent="0.3">
      <c r="A279" s="104" t="str">
        <f t="shared" ref="A279:I279" si="575">A67</f>
        <v>Opaheke / Drury</v>
      </c>
      <c r="B279" s="104" t="str">
        <f t="shared" si="575"/>
        <v>Drury</v>
      </c>
      <c r="C279" s="104">
        <f t="shared" si="575"/>
        <v>0</v>
      </c>
      <c r="D279" s="104" t="str">
        <f t="shared" si="575"/>
        <v>Auranga Existing Development</v>
      </c>
      <c r="E279" s="142" t="str">
        <f t="shared" si="575"/>
        <v>31 &amp; 37 Burberry</v>
      </c>
      <c r="F279" s="142">
        <f t="shared" si="575"/>
        <v>0.76275000000000004</v>
      </c>
      <c r="G279" s="104">
        <f t="shared" si="575"/>
        <v>0</v>
      </c>
      <c r="H279" s="104">
        <f t="shared" si="575"/>
        <v>0</v>
      </c>
      <c r="I279" s="104">
        <f t="shared" si="575"/>
        <v>0</v>
      </c>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57">
        <f t="shared" ref="BL279:CQ279" si="576">BL67+BL182</f>
        <v>4.0286157857000005</v>
      </c>
      <c r="BM279" s="157">
        <f t="shared" si="576"/>
        <v>0</v>
      </c>
      <c r="BN279" s="157">
        <f t="shared" si="576"/>
        <v>0</v>
      </c>
      <c r="BO279" s="157">
        <f t="shared" si="576"/>
        <v>0</v>
      </c>
      <c r="BP279" s="157">
        <f t="shared" si="576"/>
        <v>0</v>
      </c>
      <c r="BQ279" s="157">
        <f t="shared" si="576"/>
        <v>0</v>
      </c>
      <c r="BR279" s="157">
        <f t="shared" si="576"/>
        <v>0</v>
      </c>
      <c r="BS279" s="157">
        <f t="shared" si="576"/>
        <v>0</v>
      </c>
      <c r="BT279" s="157">
        <f t="shared" si="576"/>
        <v>0</v>
      </c>
      <c r="BU279" s="157">
        <f t="shared" si="576"/>
        <v>0</v>
      </c>
      <c r="BV279" s="157">
        <f t="shared" si="576"/>
        <v>0</v>
      </c>
      <c r="BW279" s="157">
        <f t="shared" si="576"/>
        <v>0</v>
      </c>
      <c r="BX279" s="157">
        <f t="shared" si="576"/>
        <v>0</v>
      </c>
      <c r="BY279" s="157">
        <f t="shared" si="576"/>
        <v>0</v>
      </c>
      <c r="BZ279" s="157">
        <f t="shared" si="576"/>
        <v>0</v>
      </c>
      <c r="CA279" s="157">
        <f t="shared" si="576"/>
        <v>0</v>
      </c>
      <c r="CB279" s="157">
        <f t="shared" si="576"/>
        <v>0</v>
      </c>
      <c r="CC279" s="157">
        <f t="shared" si="576"/>
        <v>0</v>
      </c>
      <c r="CD279" s="157">
        <f t="shared" si="576"/>
        <v>0</v>
      </c>
      <c r="CE279" s="157">
        <f t="shared" si="576"/>
        <v>0</v>
      </c>
      <c r="CF279" s="157">
        <f t="shared" si="576"/>
        <v>0</v>
      </c>
      <c r="CG279" s="157">
        <f t="shared" si="576"/>
        <v>0</v>
      </c>
      <c r="CH279" s="157">
        <f t="shared" si="576"/>
        <v>0</v>
      </c>
      <c r="CI279" s="157">
        <f t="shared" si="576"/>
        <v>0</v>
      </c>
      <c r="CJ279" s="157">
        <f t="shared" si="576"/>
        <v>0</v>
      </c>
      <c r="CK279" s="157">
        <f t="shared" si="576"/>
        <v>0</v>
      </c>
      <c r="CL279" s="157">
        <f t="shared" si="576"/>
        <v>0</v>
      </c>
      <c r="CM279" s="157">
        <f t="shared" si="576"/>
        <v>0</v>
      </c>
      <c r="CN279" s="157">
        <f t="shared" si="576"/>
        <v>0</v>
      </c>
      <c r="CO279" s="157">
        <f t="shared" si="576"/>
        <v>0</v>
      </c>
      <c r="CP279" s="157">
        <f t="shared" si="576"/>
        <v>0</v>
      </c>
      <c r="CQ279" s="157">
        <f t="shared" si="576"/>
        <v>0</v>
      </c>
      <c r="CR279" s="158">
        <f t="shared" si="560"/>
        <v>4.0286157857000005</v>
      </c>
      <c r="CS279" s="26"/>
      <c r="CT279" s="25"/>
    </row>
    <row r="280" spans="1:98" x14ac:dyDescent="0.3">
      <c r="A280" s="104" t="str">
        <f t="shared" ref="A280:I280" si="577">A68</f>
        <v>Opaheke / Drury</v>
      </c>
      <c r="B280" s="104" t="str">
        <f t="shared" si="577"/>
        <v>Drury</v>
      </c>
      <c r="C280" s="104">
        <f t="shared" si="577"/>
        <v>0</v>
      </c>
      <c r="D280" s="104" t="str">
        <f t="shared" si="577"/>
        <v>Opaheke (timing indicated as II in 2033)</v>
      </c>
      <c r="E280" s="104">
        <f t="shared" si="577"/>
        <v>0</v>
      </c>
      <c r="F280" s="104">
        <f t="shared" si="577"/>
        <v>5</v>
      </c>
      <c r="G280" s="104">
        <f t="shared" si="577"/>
        <v>0</v>
      </c>
      <c r="H280" s="104">
        <f t="shared" si="577"/>
        <v>0</v>
      </c>
      <c r="I280" s="104">
        <f t="shared" si="577"/>
        <v>0</v>
      </c>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4"/>
      <c r="AL280" s="104"/>
      <c r="AM280" s="104"/>
      <c r="AN280" s="104"/>
      <c r="AO280" s="104"/>
      <c r="AP280" s="104"/>
      <c r="AQ280" s="104"/>
      <c r="AR280" s="104"/>
      <c r="AS280" s="104"/>
      <c r="AT280" s="104"/>
      <c r="AU280" s="104"/>
      <c r="AV280" s="104"/>
      <c r="AW280" s="104"/>
      <c r="AX280" s="104"/>
      <c r="AY280" s="104"/>
      <c r="AZ280" s="104"/>
      <c r="BA280" s="104"/>
      <c r="BB280" s="104"/>
      <c r="BC280" s="104"/>
      <c r="BD280" s="104"/>
      <c r="BE280" s="104"/>
      <c r="BF280" s="104"/>
      <c r="BG280" s="104"/>
      <c r="BH280" s="104"/>
      <c r="BI280" s="104"/>
      <c r="BJ280" s="104"/>
      <c r="BK280" s="104"/>
      <c r="BL280" s="136">
        <f t="shared" ref="BL280:CQ280" si="578">BL68+BL183</f>
        <v>0</v>
      </c>
      <c r="BM280" s="136">
        <f t="shared" si="578"/>
        <v>0</v>
      </c>
      <c r="BN280" s="136">
        <f t="shared" si="578"/>
        <v>0</v>
      </c>
      <c r="BO280" s="136">
        <f t="shared" si="578"/>
        <v>0</v>
      </c>
      <c r="BP280" s="136">
        <f t="shared" si="578"/>
        <v>0.19947875391508332</v>
      </c>
      <c r="BQ280" s="136">
        <f t="shared" si="578"/>
        <v>0.49093872242721159</v>
      </c>
      <c r="BR280" s="136">
        <f t="shared" si="578"/>
        <v>0.43043773884915404</v>
      </c>
      <c r="BS280" s="136">
        <f t="shared" si="578"/>
        <v>0.49562007718476347</v>
      </c>
      <c r="BT280" s="136">
        <f t="shared" si="578"/>
        <v>0.56947168420433747</v>
      </c>
      <c r="BU280" s="136">
        <f t="shared" si="578"/>
        <v>0.17849741802311972</v>
      </c>
      <c r="BV280" s="136">
        <f t="shared" si="578"/>
        <v>1.4158494532100458</v>
      </c>
      <c r="BW280" s="136">
        <f t="shared" si="578"/>
        <v>1.5339071244771234</v>
      </c>
      <c r="BX280" s="136">
        <f t="shared" si="578"/>
        <v>4.9218879226290895</v>
      </c>
      <c r="BY280" s="136">
        <f t="shared" si="578"/>
        <v>5.0566067244867288</v>
      </c>
      <c r="BZ280" s="136">
        <f t="shared" si="578"/>
        <v>2.5661747719833139</v>
      </c>
      <c r="CA280" s="136">
        <f t="shared" si="578"/>
        <v>1.2495817150339277E-2</v>
      </c>
      <c r="CB280" s="136">
        <f t="shared" si="578"/>
        <v>4.7003635654629977E-2</v>
      </c>
      <c r="CC280" s="136">
        <f t="shared" si="578"/>
        <v>0</v>
      </c>
      <c r="CD280" s="136">
        <f t="shared" si="578"/>
        <v>0</v>
      </c>
      <c r="CE280" s="136">
        <f t="shared" si="578"/>
        <v>0</v>
      </c>
      <c r="CF280" s="136">
        <f t="shared" si="578"/>
        <v>0</v>
      </c>
      <c r="CG280" s="136">
        <f t="shared" si="578"/>
        <v>0</v>
      </c>
      <c r="CH280" s="136">
        <f t="shared" si="578"/>
        <v>0</v>
      </c>
      <c r="CI280" s="136">
        <f t="shared" si="578"/>
        <v>0</v>
      </c>
      <c r="CJ280" s="136">
        <f t="shared" si="578"/>
        <v>0</v>
      </c>
      <c r="CK280" s="136">
        <f t="shared" si="578"/>
        <v>0</v>
      </c>
      <c r="CL280" s="136">
        <f t="shared" si="578"/>
        <v>0</v>
      </c>
      <c r="CM280" s="136">
        <f t="shared" si="578"/>
        <v>0</v>
      </c>
      <c r="CN280" s="136">
        <f t="shared" si="578"/>
        <v>0</v>
      </c>
      <c r="CO280" s="136">
        <f t="shared" si="578"/>
        <v>0</v>
      </c>
      <c r="CP280" s="136">
        <f t="shared" si="578"/>
        <v>0</v>
      </c>
      <c r="CQ280" s="136">
        <f t="shared" si="578"/>
        <v>0</v>
      </c>
      <c r="CR280" s="137">
        <f t="shared" si="560"/>
        <v>17.918369844194938</v>
      </c>
      <c r="CS280" s="26"/>
      <c r="CT280" s="25"/>
    </row>
    <row r="281" spans="1:98" x14ac:dyDescent="0.3">
      <c r="A281" s="104" t="str">
        <f t="shared" ref="A281:I281" si="579">A69</f>
        <v>Opaheke / Drury</v>
      </c>
      <c r="B281" s="104" t="str">
        <f t="shared" si="579"/>
        <v>Drury</v>
      </c>
      <c r="C281" s="104">
        <f t="shared" si="579"/>
        <v>0</v>
      </c>
      <c r="D281" s="104" t="str">
        <f t="shared" si="579"/>
        <v>Opaheke (timing indicated as II in 2033)</v>
      </c>
      <c r="E281" s="104" t="str">
        <f t="shared" si="579"/>
        <v>1 SBP was removed in area</v>
      </c>
      <c r="F281" s="104">
        <f t="shared" si="579"/>
        <v>0</v>
      </c>
      <c r="G281" s="104">
        <f t="shared" si="579"/>
        <v>1</v>
      </c>
      <c r="H281" s="104">
        <f t="shared" si="579"/>
        <v>0</v>
      </c>
      <c r="I281" s="104">
        <f t="shared" si="579"/>
        <v>0</v>
      </c>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4"/>
      <c r="AL281" s="104"/>
      <c r="AM281" s="104"/>
      <c r="AN281" s="104"/>
      <c r="AO281" s="104"/>
      <c r="AP281" s="104"/>
      <c r="AQ281" s="104"/>
      <c r="AR281" s="104"/>
      <c r="AS281" s="104"/>
      <c r="AT281" s="104"/>
      <c r="AU281" s="104"/>
      <c r="AV281" s="104"/>
      <c r="AW281" s="104"/>
      <c r="AX281" s="104"/>
      <c r="AY281" s="104"/>
      <c r="AZ281" s="104"/>
      <c r="BA281" s="104"/>
      <c r="BB281" s="104"/>
      <c r="BC281" s="104"/>
      <c r="BD281" s="104"/>
      <c r="BE281" s="104"/>
      <c r="BF281" s="104"/>
      <c r="BG281" s="104"/>
      <c r="BH281" s="104"/>
      <c r="BI281" s="104"/>
      <c r="BJ281" s="104"/>
      <c r="BK281" s="104"/>
      <c r="BL281" s="136">
        <f t="shared" ref="BL281:CQ281" si="580">BL69+BL184</f>
        <v>0</v>
      </c>
      <c r="BM281" s="136">
        <f t="shared" si="580"/>
        <v>0.16063196419601536</v>
      </c>
      <c r="BN281" s="136">
        <f t="shared" si="580"/>
        <v>0.21170104083492791</v>
      </c>
      <c r="BO281" s="136">
        <f t="shared" si="580"/>
        <v>9.2744285381128569E-2</v>
      </c>
      <c r="BP281" s="136">
        <f t="shared" si="580"/>
        <v>0.2917558253002332</v>
      </c>
      <c r="BQ281" s="136">
        <f t="shared" si="580"/>
        <v>0.71885969494445812</v>
      </c>
      <c r="BR281" s="136">
        <f t="shared" si="580"/>
        <v>0.6309562337095459</v>
      </c>
      <c r="BS281" s="136">
        <f t="shared" si="580"/>
        <v>0.72725860169025025</v>
      </c>
      <c r="BT281" s="136">
        <f t="shared" si="580"/>
        <v>0.84140298584722772</v>
      </c>
      <c r="BU281" s="136">
        <f t="shared" si="580"/>
        <v>0.26391321343309732</v>
      </c>
      <c r="BV281" s="136">
        <f t="shared" si="580"/>
        <v>2.0947403770294799</v>
      </c>
      <c r="BW281" s="136">
        <f t="shared" si="580"/>
        <v>2.2708233880118014</v>
      </c>
      <c r="BX281" s="136">
        <f t="shared" si="580"/>
        <v>7.3517022982308777</v>
      </c>
      <c r="BY281" s="136">
        <f t="shared" si="580"/>
        <v>7.5543848596144105</v>
      </c>
      <c r="BZ281" s="136">
        <f t="shared" si="580"/>
        <v>3.8344765339322149</v>
      </c>
      <c r="CA281" s="136">
        <f t="shared" si="580"/>
        <v>2.499163430067855E-3</v>
      </c>
      <c r="CB281" s="136">
        <f t="shared" si="580"/>
        <v>4.3808304721066685E-3</v>
      </c>
      <c r="CC281" s="136">
        <f t="shared" si="580"/>
        <v>0</v>
      </c>
      <c r="CD281" s="136">
        <f t="shared" si="580"/>
        <v>0</v>
      </c>
      <c r="CE281" s="136">
        <f t="shared" si="580"/>
        <v>0</v>
      </c>
      <c r="CF281" s="136">
        <f t="shared" si="580"/>
        <v>0</v>
      </c>
      <c r="CG281" s="136">
        <f t="shared" si="580"/>
        <v>0</v>
      </c>
      <c r="CH281" s="136">
        <f t="shared" si="580"/>
        <v>0</v>
      </c>
      <c r="CI281" s="136">
        <f t="shared" si="580"/>
        <v>0</v>
      </c>
      <c r="CJ281" s="136">
        <f t="shared" si="580"/>
        <v>0</v>
      </c>
      <c r="CK281" s="136">
        <f t="shared" si="580"/>
        <v>0</v>
      </c>
      <c r="CL281" s="136">
        <f t="shared" si="580"/>
        <v>0</v>
      </c>
      <c r="CM281" s="136">
        <f t="shared" si="580"/>
        <v>0</v>
      </c>
      <c r="CN281" s="136">
        <f t="shared" si="580"/>
        <v>0</v>
      </c>
      <c r="CO281" s="136">
        <f t="shared" si="580"/>
        <v>0</v>
      </c>
      <c r="CP281" s="136">
        <f t="shared" si="580"/>
        <v>0</v>
      </c>
      <c r="CQ281" s="136">
        <f t="shared" si="580"/>
        <v>0</v>
      </c>
      <c r="CR281" s="137">
        <f t="shared" si="560"/>
        <v>27.052231296057844</v>
      </c>
      <c r="CS281" s="26"/>
      <c r="CT281" s="25"/>
    </row>
    <row r="282" spans="1:98" x14ac:dyDescent="0.3">
      <c r="A282" s="104" t="str">
        <f t="shared" ref="A282:I282" si="581">A70</f>
        <v>Opaheke / Drury</v>
      </c>
      <c r="B282" s="104" t="str">
        <f t="shared" si="581"/>
        <v>Drury</v>
      </c>
      <c r="C282" s="104">
        <f t="shared" si="581"/>
        <v>0</v>
      </c>
      <c r="D282" s="104" t="str">
        <f t="shared" si="581"/>
        <v>Drury East PC area</v>
      </c>
      <c r="E282" s="104">
        <f t="shared" si="581"/>
        <v>0</v>
      </c>
      <c r="F282" s="104">
        <f t="shared" si="581"/>
        <v>7</v>
      </c>
      <c r="G282" s="104">
        <f t="shared" si="581"/>
        <v>0</v>
      </c>
      <c r="H282" s="104">
        <f t="shared" si="581"/>
        <v>0</v>
      </c>
      <c r="I282" s="104">
        <f t="shared" si="581"/>
        <v>0</v>
      </c>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4"/>
      <c r="AL282" s="104"/>
      <c r="AM282" s="104"/>
      <c r="AN282" s="104"/>
      <c r="AO282" s="104"/>
      <c r="AP282" s="104"/>
      <c r="AQ282" s="104"/>
      <c r="AR282" s="104"/>
      <c r="AS282" s="104"/>
      <c r="AT282" s="104"/>
      <c r="AU282" s="104"/>
      <c r="AV282" s="104"/>
      <c r="AW282" s="104"/>
      <c r="AX282" s="104"/>
      <c r="AY282" s="104"/>
      <c r="AZ282" s="104"/>
      <c r="BA282" s="104"/>
      <c r="BB282" s="104"/>
      <c r="BC282" s="104"/>
      <c r="BD282" s="104"/>
      <c r="BE282" s="104"/>
      <c r="BF282" s="104"/>
      <c r="BG282" s="104"/>
      <c r="BH282" s="104"/>
      <c r="BI282" s="104"/>
      <c r="BJ282" s="104"/>
      <c r="BK282" s="104"/>
      <c r="BL282" s="136">
        <f t="shared" ref="BL282:CQ282" si="582">BL70+BL185</f>
        <v>0.5163141720171347</v>
      </c>
      <c r="BM282" s="136">
        <f t="shared" si="582"/>
        <v>0.39226707452856957</v>
      </c>
      <c r="BN282" s="136">
        <f t="shared" si="582"/>
        <v>0.51689725114019169</v>
      </c>
      <c r="BO282" s="136">
        <f t="shared" si="582"/>
        <v>0.22629420514224191</v>
      </c>
      <c r="BP282" s="136">
        <f t="shared" si="582"/>
        <v>0.38663368468236597</v>
      </c>
      <c r="BQ282" s="136">
        <f t="shared" si="582"/>
        <v>2.8039647091173037</v>
      </c>
      <c r="BR282" s="136">
        <f t="shared" si="582"/>
        <v>2.4607547633627163</v>
      </c>
      <c r="BS282" s="136">
        <f t="shared" si="582"/>
        <v>2.8359681073327354</v>
      </c>
      <c r="BT282" s="136">
        <f t="shared" si="582"/>
        <v>2.3525084686206794</v>
      </c>
      <c r="BU282" s="136">
        <f t="shared" si="582"/>
        <v>0.73776546093916118</v>
      </c>
      <c r="BV282" s="136">
        <f t="shared" si="582"/>
        <v>5.8549151192856481</v>
      </c>
      <c r="BW282" s="136">
        <f t="shared" si="582"/>
        <v>6.3461452157406395</v>
      </c>
      <c r="BX282" s="136">
        <f t="shared" si="582"/>
        <v>6.8906430916807242</v>
      </c>
      <c r="BY282" s="136">
        <f t="shared" si="582"/>
        <v>7.0792494142814215</v>
      </c>
      <c r="BZ282" s="136">
        <f t="shared" si="582"/>
        <v>3.5926446807766395</v>
      </c>
      <c r="CA282" s="136">
        <f t="shared" si="582"/>
        <v>4.1355485454167207</v>
      </c>
      <c r="CB282" s="136">
        <f t="shared" si="582"/>
        <v>1.5051499802672805</v>
      </c>
      <c r="CC282" s="136">
        <f t="shared" si="582"/>
        <v>0</v>
      </c>
      <c r="CD282" s="136">
        <f t="shared" si="582"/>
        <v>0</v>
      </c>
      <c r="CE282" s="136">
        <f t="shared" si="582"/>
        <v>0</v>
      </c>
      <c r="CF282" s="136">
        <f t="shared" si="582"/>
        <v>0</v>
      </c>
      <c r="CG282" s="136">
        <f t="shared" si="582"/>
        <v>0</v>
      </c>
      <c r="CH282" s="136">
        <f t="shared" si="582"/>
        <v>0</v>
      </c>
      <c r="CI282" s="136">
        <f t="shared" si="582"/>
        <v>0</v>
      </c>
      <c r="CJ282" s="136">
        <f t="shared" si="582"/>
        <v>0</v>
      </c>
      <c r="CK282" s="136">
        <f t="shared" si="582"/>
        <v>0</v>
      </c>
      <c r="CL282" s="136">
        <f t="shared" si="582"/>
        <v>0</v>
      </c>
      <c r="CM282" s="136">
        <f t="shared" si="582"/>
        <v>0</v>
      </c>
      <c r="CN282" s="136">
        <f t="shared" si="582"/>
        <v>0</v>
      </c>
      <c r="CO282" s="136">
        <f t="shared" si="582"/>
        <v>0</v>
      </c>
      <c r="CP282" s="136">
        <f t="shared" si="582"/>
        <v>0</v>
      </c>
      <c r="CQ282" s="136">
        <f t="shared" si="582"/>
        <v>0</v>
      </c>
      <c r="CR282" s="137">
        <f t="shared" si="560"/>
        <v>48.63366394433217</v>
      </c>
      <c r="CS282" s="26"/>
      <c r="CT282" s="25"/>
    </row>
    <row r="283" spans="1:98" x14ac:dyDescent="0.3">
      <c r="A283" s="104" t="str">
        <f t="shared" ref="A283:I283" si="583">A71</f>
        <v>Opaheke / Drury</v>
      </c>
      <c r="B283" s="104" t="str">
        <f t="shared" si="583"/>
        <v>Drury</v>
      </c>
      <c r="C283" s="104">
        <f t="shared" si="583"/>
        <v>0</v>
      </c>
      <c r="D283" s="104" t="str">
        <f t="shared" si="583"/>
        <v>Drury East PC area</v>
      </c>
      <c r="E283" s="104">
        <f t="shared" si="583"/>
        <v>0</v>
      </c>
      <c r="F283" s="104">
        <f t="shared" si="583"/>
        <v>0</v>
      </c>
      <c r="G283" s="104">
        <f t="shared" si="583"/>
        <v>1</v>
      </c>
      <c r="H283" s="104">
        <f t="shared" si="583"/>
        <v>0</v>
      </c>
      <c r="I283" s="104">
        <f t="shared" si="583"/>
        <v>0</v>
      </c>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4"/>
      <c r="AL283" s="104"/>
      <c r="AM283" s="104"/>
      <c r="AN283" s="104"/>
      <c r="AO283" s="104"/>
      <c r="AP283" s="104"/>
      <c r="AQ283" s="104"/>
      <c r="AR283" s="104"/>
      <c r="AS283" s="104"/>
      <c r="AT283" s="104"/>
      <c r="AU283" s="104"/>
      <c r="AV283" s="104"/>
      <c r="AW283" s="104"/>
      <c r="AX283" s="104"/>
      <c r="AY283" s="104"/>
      <c r="AZ283" s="104"/>
      <c r="BA283" s="104"/>
      <c r="BB283" s="104"/>
      <c r="BC283" s="104"/>
      <c r="BD283" s="104"/>
      <c r="BE283" s="104"/>
      <c r="BF283" s="104"/>
      <c r="BG283" s="104"/>
      <c r="BH283" s="104"/>
      <c r="BI283" s="104"/>
      <c r="BJ283" s="104"/>
      <c r="BK283" s="104"/>
      <c r="BL283" s="136">
        <f t="shared" ref="BL283:CQ283" si="584">BL71+BL186</f>
        <v>0.53740087289730754</v>
      </c>
      <c r="BM283" s="136">
        <f t="shared" si="584"/>
        <v>0.41190225160046617</v>
      </c>
      <c r="BN283" s="136">
        <f t="shared" si="584"/>
        <v>0.54288473020052319</v>
      </c>
      <c r="BO283" s="136">
        <f t="shared" si="584"/>
        <v>0.23788558694545875</v>
      </c>
      <c r="BP283" s="136">
        <f t="shared" si="584"/>
        <v>0.4067880708730004</v>
      </c>
      <c r="BQ283" s="136">
        <f t="shared" si="584"/>
        <v>2.9866995139293233</v>
      </c>
      <c r="BR283" s="136">
        <f t="shared" si="584"/>
        <v>2.6218225861815823</v>
      </c>
      <c r="BS283" s="136">
        <f t="shared" si="584"/>
        <v>3.0223657437696065</v>
      </c>
      <c r="BT283" s="136">
        <f t="shared" si="584"/>
        <v>2.5077402473485928</v>
      </c>
      <c r="BU283" s="136">
        <f t="shared" si="584"/>
        <v>0.7866300802618047</v>
      </c>
      <c r="BV283" s="136">
        <f t="shared" si="584"/>
        <v>6.2440895393061764</v>
      </c>
      <c r="BW283" s="136">
        <f t="shared" si="584"/>
        <v>6.7694040038753736</v>
      </c>
      <c r="BX283" s="136">
        <f t="shared" si="584"/>
        <v>7.3517022982308777</v>
      </c>
      <c r="BY283" s="136">
        <f t="shared" si="584"/>
        <v>7.5543848596144105</v>
      </c>
      <c r="BZ283" s="136">
        <f t="shared" si="584"/>
        <v>3.8344765339322149</v>
      </c>
      <c r="CA283" s="136">
        <f t="shared" si="584"/>
        <v>4.4147003077939022</v>
      </c>
      <c r="CB283" s="136">
        <f t="shared" si="584"/>
        <v>1.607017821735045</v>
      </c>
      <c r="CC283" s="136">
        <f t="shared" si="584"/>
        <v>0</v>
      </c>
      <c r="CD283" s="136">
        <f t="shared" si="584"/>
        <v>0</v>
      </c>
      <c r="CE283" s="136">
        <f t="shared" si="584"/>
        <v>0</v>
      </c>
      <c r="CF283" s="136">
        <f t="shared" si="584"/>
        <v>0</v>
      </c>
      <c r="CG283" s="136">
        <f t="shared" si="584"/>
        <v>0</v>
      </c>
      <c r="CH283" s="136">
        <f t="shared" si="584"/>
        <v>0</v>
      </c>
      <c r="CI283" s="136">
        <f t="shared" si="584"/>
        <v>0</v>
      </c>
      <c r="CJ283" s="136">
        <f t="shared" si="584"/>
        <v>0</v>
      </c>
      <c r="CK283" s="136">
        <f t="shared" si="584"/>
        <v>0</v>
      </c>
      <c r="CL283" s="136">
        <f t="shared" si="584"/>
        <v>0</v>
      </c>
      <c r="CM283" s="136">
        <f t="shared" si="584"/>
        <v>0</v>
      </c>
      <c r="CN283" s="136">
        <f t="shared" si="584"/>
        <v>0</v>
      </c>
      <c r="CO283" s="136">
        <f t="shared" si="584"/>
        <v>0</v>
      </c>
      <c r="CP283" s="136">
        <f t="shared" si="584"/>
        <v>0</v>
      </c>
      <c r="CQ283" s="136">
        <f t="shared" si="584"/>
        <v>0</v>
      </c>
      <c r="CR283" s="137">
        <f t="shared" si="560"/>
        <v>51.83789504849566</v>
      </c>
      <c r="CS283" s="26"/>
      <c r="CT283" s="25"/>
    </row>
    <row r="284" spans="1:98" x14ac:dyDescent="0.3">
      <c r="A284" s="104" t="str">
        <f t="shared" ref="A284:I284" si="585">A72</f>
        <v>Opaheke / Drury</v>
      </c>
      <c r="B284" s="104" t="str">
        <f t="shared" si="585"/>
        <v>Drury</v>
      </c>
      <c r="C284" s="104">
        <f t="shared" si="585"/>
        <v>0</v>
      </c>
      <c r="D284" s="104" t="str">
        <f t="shared" si="585"/>
        <v>Drury East PC area</v>
      </c>
      <c r="E284" s="104">
        <f t="shared" si="585"/>
        <v>0</v>
      </c>
      <c r="F284" s="104">
        <f t="shared" si="585"/>
        <v>0</v>
      </c>
      <c r="G284" s="104">
        <f t="shared" si="585"/>
        <v>0</v>
      </c>
      <c r="H284" s="104">
        <f t="shared" si="585"/>
        <v>0</v>
      </c>
      <c r="I284" s="104">
        <f t="shared" si="585"/>
        <v>1</v>
      </c>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4"/>
      <c r="AL284" s="104"/>
      <c r="AM284" s="104"/>
      <c r="AN284" s="104"/>
      <c r="AO284" s="104"/>
      <c r="AP284" s="104"/>
      <c r="AQ284" s="104"/>
      <c r="AR284" s="104"/>
      <c r="AS284" s="104"/>
      <c r="AT284" s="104"/>
      <c r="AU284" s="104"/>
      <c r="AV284" s="104"/>
      <c r="AW284" s="104"/>
      <c r="AX284" s="104"/>
      <c r="AY284" s="104"/>
      <c r="AZ284" s="104"/>
      <c r="BA284" s="104"/>
      <c r="BB284" s="104"/>
      <c r="BC284" s="104"/>
      <c r="BD284" s="104"/>
      <c r="BE284" s="104"/>
      <c r="BF284" s="104"/>
      <c r="BG284" s="104"/>
      <c r="BH284" s="104"/>
      <c r="BI284" s="104"/>
      <c r="BJ284" s="104"/>
      <c r="BK284" s="104"/>
      <c r="BL284" s="136">
        <f t="shared" ref="BL284:CQ284" si="586">BL72+BL187</f>
        <v>0</v>
      </c>
      <c r="BM284" s="136">
        <f t="shared" si="586"/>
        <v>0</v>
      </c>
      <c r="BN284" s="136">
        <f t="shared" si="586"/>
        <v>0</v>
      </c>
      <c r="BO284" s="136">
        <f t="shared" si="586"/>
        <v>0</v>
      </c>
      <c r="BP284" s="136">
        <f t="shared" si="586"/>
        <v>0</v>
      </c>
      <c r="BQ284" s="136">
        <f t="shared" si="586"/>
        <v>0</v>
      </c>
      <c r="BR284" s="136">
        <f t="shared" si="586"/>
        <v>0</v>
      </c>
      <c r="BS284" s="136">
        <f t="shared" si="586"/>
        <v>0.40915001663721179</v>
      </c>
      <c r="BT284" s="136">
        <f t="shared" si="586"/>
        <v>0.43795493970784971</v>
      </c>
      <c r="BU284" s="136">
        <f t="shared" si="586"/>
        <v>0.46879962829806965</v>
      </c>
      <c r="BV284" s="136">
        <f t="shared" si="586"/>
        <v>0.50182878731135638</v>
      </c>
      <c r="BW284" s="136">
        <f t="shared" si="586"/>
        <v>0.53719739309347692</v>
      </c>
      <c r="BX284" s="136">
        <f t="shared" si="586"/>
        <v>0.57507142264755473</v>
      </c>
      <c r="BY284" s="136">
        <f t="shared" si="586"/>
        <v>0.61562863462214956</v>
      </c>
      <c r="BZ284" s="136">
        <f t="shared" si="586"/>
        <v>0.6590594057482061</v>
      </c>
      <c r="CA284" s="136">
        <f t="shared" si="586"/>
        <v>0</v>
      </c>
      <c r="CB284" s="136">
        <f t="shared" si="586"/>
        <v>0</v>
      </c>
      <c r="CC284" s="136">
        <f t="shared" si="586"/>
        <v>0</v>
      </c>
      <c r="CD284" s="136">
        <f t="shared" si="586"/>
        <v>0</v>
      </c>
      <c r="CE284" s="136">
        <f t="shared" si="586"/>
        <v>0</v>
      </c>
      <c r="CF284" s="136">
        <f t="shared" si="586"/>
        <v>0</v>
      </c>
      <c r="CG284" s="136">
        <f t="shared" si="586"/>
        <v>0</v>
      </c>
      <c r="CH284" s="136">
        <f t="shared" si="586"/>
        <v>0</v>
      </c>
      <c r="CI284" s="136">
        <f t="shared" si="586"/>
        <v>0</v>
      </c>
      <c r="CJ284" s="136">
        <f t="shared" si="586"/>
        <v>0</v>
      </c>
      <c r="CK284" s="136">
        <f t="shared" si="586"/>
        <v>0</v>
      </c>
      <c r="CL284" s="136">
        <f t="shared" si="586"/>
        <v>0</v>
      </c>
      <c r="CM284" s="136">
        <f t="shared" si="586"/>
        <v>0</v>
      </c>
      <c r="CN284" s="136">
        <f t="shared" si="586"/>
        <v>0</v>
      </c>
      <c r="CO284" s="136">
        <f t="shared" si="586"/>
        <v>0</v>
      </c>
      <c r="CP284" s="136">
        <f t="shared" si="586"/>
        <v>0</v>
      </c>
      <c r="CQ284" s="136">
        <f t="shared" si="586"/>
        <v>0</v>
      </c>
      <c r="CR284" s="137">
        <f t="shared" si="560"/>
        <v>4.204690228065874</v>
      </c>
      <c r="CS284" s="26"/>
      <c r="CT284" s="25"/>
    </row>
    <row r="285" spans="1:98" x14ac:dyDescent="0.3">
      <c r="A285" s="104" t="str">
        <f t="shared" ref="A285:I285" si="587">A73</f>
        <v>Opaheke / Drury</v>
      </c>
      <c r="B285" s="104" t="str">
        <f t="shared" si="587"/>
        <v>Drury</v>
      </c>
      <c r="C285" s="104">
        <f t="shared" si="587"/>
        <v>0</v>
      </c>
      <c r="D285" s="104" t="str">
        <f t="shared" si="587"/>
        <v>Drury East</v>
      </c>
      <c r="E285" s="104">
        <f t="shared" si="587"/>
        <v>0</v>
      </c>
      <c r="F285" s="104">
        <f t="shared" si="587"/>
        <v>3</v>
      </c>
      <c r="G285" s="104">
        <f t="shared" si="587"/>
        <v>0</v>
      </c>
      <c r="H285" s="104">
        <f t="shared" si="587"/>
        <v>0</v>
      </c>
      <c r="I285" s="104">
        <f t="shared" si="587"/>
        <v>0</v>
      </c>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4"/>
      <c r="AL285" s="104"/>
      <c r="AM285" s="104"/>
      <c r="AN285" s="104"/>
      <c r="AO285" s="104"/>
      <c r="AP285" s="104"/>
      <c r="AQ285" s="104"/>
      <c r="AR285" s="104"/>
      <c r="AS285" s="104"/>
      <c r="AT285" s="104"/>
      <c r="AU285" s="104"/>
      <c r="AV285" s="104"/>
      <c r="AW285" s="104"/>
      <c r="AX285" s="104"/>
      <c r="AY285" s="104"/>
      <c r="AZ285" s="104"/>
      <c r="BA285" s="104"/>
      <c r="BB285" s="104"/>
      <c r="BC285" s="104"/>
      <c r="BD285" s="104"/>
      <c r="BE285" s="104"/>
      <c r="BF285" s="104"/>
      <c r="BG285" s="104"/>
      <c r="BH285" s="104"/>
      <c r="BI285" s="104"/>
      <c r="BJ285" s="104"/>
      <c r="BK285" s="104"/>
      <c r="BL285" s="136">
        <f t="shared" ref="BL285:CQ285" si="588">BL73+BL188</f>
        <v>0</v>
      </c>
      <c r="BM285" s="136">
        <f t="shared" si="588"/>
        <v>0</v>
      </c>
      <c r="BN285" s="136">
        <f t="shared" si="588"/>
        <v>0</v>
      </c>
      <c r="BO285" s="136">
        <f t="shared" si="588"/>
        <v>0</v>
      </c>
      <c r="BP285" s="136">
        <f t="shared" si="588"/>
        <v>0</v>
      </c>
      <c r="BQ285" s="136">
        <f t="shared" si="588"/>
        <v>0</v>
      </c>
      <c r="BR285" s="136">
        <f t="shared" si="588"/>
        <v>0.22322530265525348</v>
      </c>
      <c r="BS285" s="136">
        <f t="shared" si="588"/>
        <v>0.23878694715480883</v>
      </c>
      <c r="BT285" s="136">
        <f t="shared" si="588"/>
        <v>0.25544714667007529</v>
      </c>
      <c r="BU285" s="136">
        <f t="shared" si="588"/>
        <v>0.27328375952880574</v>
      </c>
      <c r="BV285" s="136">
        <f t="shared" si="588"/>
        <v>0.60837236324217725</v>
      </c>
      <c r="BW285" s="136">
        <f t="shared" si="588"/>
        <v>0.65109657242179775</v>
      </c>
      <c r="BX285" s="136">
        <f t="shared" si="588"/>
        <v>0.69684385542373883</v>
      </c>
      <c r="BY285" s="136">
        <f t="shared" si="588"/>
        <v>0.74582862289873741</v>
      </c>
      <c r="BZ285" s="136">
        <f t="shared" si="588"/>
        <v>5.2492101933634103</v>
      </c>
      <c r="CA285" s="136">
        <f t="shared" si="588"/>
        <v>5.6207641295137218</v>
      </c>
      <c r="CB285" s="136">
        <f t="shared" si="588"/>
        <v>6.0186733154039809</v>
      </c>
      <c r="CC285" s="136">
        <f t="shared" si="588"/>
        <v>0</v>
      </c>
      <c r="CD285" s="136">
        <f t="shared" si="588"/>
        <v>0</v>
      </c>
      <c r="CE285" s="136">
        <f t="shared" si="588"/>
        <v>0</v>
      </c>
      <c r="CF285" s="136">
        <f t="shared" si="588"/>
        <v>0</v>
      </c>
      <c r="CG285" s="136">
        <f t="shared" si="588"/>
        <v>0</v>
      </c>
      <c r="CH285" s="136">
        <f t="shared" si="588"/>
        <v>0</v>
      </c>
      <c r="CI285" s="136">
        <f t="shared" si="588"/>
        <v>0</v>
      </c>
      <c r="CJ285" s="136">
        <f t="shared" si="588"/>
        <v>0</v>
      </c>
      <c r="CK285" s="136">
        <f t="shared" si="588"/>
        <v>0</v>
      </c>
      <c r="CL285" s="136">
        <f t="shared" si="588"/>
        <v>0</v>
      </c>
      <c r="CM285" s="136">
        <f t="shared" si="588"/>
        <v>0</v>
      </c>
      <c r="CN285" s="136">
        <f t="shared" si="588"/>
        <v>0</v>
      </c>
      <c r="CO285" s="136">
        <f t="shared" si="588"/>
        <v>0</v>
      </c>
      <c r="CP285" s="136">
        <f t="shared" si="588"/>
        <v>0</v>
      </c>
      <c r="CQ285" s="136">
        <f t="shared" si="588"/>
        <v>0</v>
      </c>
      <c r="CR285" s="137">
        <f t="shared" si="560"/>
        <v>20.581532208276506</v>
      </c>
      <c r="CS285" s="26"/>
      <c r="CT285" s="25"/>
    </row>
    <row r="286" spans="1:98" x14ac:dyDescent="0.3">
      <c r="A286" s="104" t="str">
        <f t="shared" ref="A286:I286" si="589">A74</f>
        <v>Opaheke / Drury</v>
      </c>
      <c r="B286" s="104" t="str">
        <f t="shared" si="589"/>
        <v>Drury</v>
      </c>
      <c r="C286" s="104">
        <f t="shared" si="589"/>
        <v>0</v>
      </c>
      <c r="D286" s="104" t="str">
        <f t="shared" si="589"/>
        <v>Auranga (Late)</v>
      </c>
      <c r="E286" s="104" t="str">
        <f t="shared" si="589"/>
        <v>by sat inspection</v>
      </c>
      <c r="F286" s="104">
        <f t="shared" si="589"/>
        <v>1</v>
      </c>
      <c r="G286" s="104">
        <f t="shared" si="589"/>
        <v>0</v>
      </c>
      <c r="H286" s="104">
        <f t="shared" si="589"/>
        <v>0</v>
      </c>
      <c r="I286" s="104">
        <f t="shared" si="589"/>
        <v>0</v>
      </c>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4"/>
      <c r="AL286" s="104"/>
      <c r="AM286" s="104"/>
      <c r="AN286" s="104"/>
      <c r="AO286" s="104"/>
      <c r="AP286" s="104"/>
      <c r="AQ286" s="104"/>
      <c r="AR286" s="104"/>
      <c r="AS286" s="104"/>
      <c r="AT286" s="104"/>
      <c r="AU286" s="104"/>
      <c r="AV286" s="104"/>
      <c r="AW286" s="104"/>
      <c r="AX286" s="104"/>
      <c r="AY286" s="104"/>
      <c r="AZ286" s="104"/>
      <c r="BA286" s="104"/>
      <c r="BB286" s="104"/>
      <c r="BC286" s="104"/>
      <c r="BD286" s="104"/>
      <c r="BE286" s="104"/>
      <c r="BF286" s="104"/>
      <c r="BG286" s="104"/>
      <c r="BH286" s="104"/>
      <c r="BI286" s="104"/>
      <c r="BJ286" s="104"/>
      <c r="BK286" s="104"/>
      <c r="BL286" s="136">
        <f t="shared" ref="BL286:CQ286" si="590">BL74+BL189</f>
        <v>0.26458795981875</v>
      </c>
      <c r="BM286" s="136">
        <f t="shared" si="590"/>
        <v>0.2828759074927687</v>
      </c>
      <c r="BN286" s="136">
        <f t="shared" si="590"/>
        <v>0.96351446459170809</v>
      </c>
      <c r="BO286" s="136">
        <f t="shared" si="590"/>
        <v>1.0315581625793926</v>
      </c>
      <c r="BP286" s="136">
        <f t="shared" si="590"/>
        <v>1.1044249148862393</v>
      </c>
      <c r="BQ286" s="136">
        <f t="shared" si="590"/>
        <v>0</v>
      </c>
      <c r="BR286" s="136">
        <f t="shared" si="590"/>
        <v>0</v>
      </c>
      <c r="BS286" s="136">
        <f t="shared" si="590"/>
        <v>0</v>
      </c>
      <c r="BT286" s="136">
        <f t="shared" si="590"/>
        <v>0</v>
      </c>
      <c r="BU286" s="136">
        <f t="shared" si="590"/>
        <v>0</v>
      </c>
      <c r="BV286" s="136">
        <f t="shared" si="590"/>
        <v>0</v>
      </c>
      <c r="BW286" s="136">
        <f t="shared" si="590"/>
        <v>0</v>
      </c>
      <c r="BX286" s="136">
        <f t="shared" si="590"/>
        <v>0</v>
      </c>
      <c r="BY286" s="136">
        <f t="shared" si="590"/>
        <v>0</v>
      </c>
      <c r="BZ286" s="136">
        <f t="shared" si="590"/>
        <v>0</v>
      </c>
      <c r="CA286" s="136">
        <f t="shared" si="590"/>
        <v>0</v>
      </c>
      <c r="CB286" s="136">
        <f t="shared" si="590"/>
        <v>0</v>
      </c>
      <c r="CC286" s="136">
        <f t="shared" si="590"/>
        <v>0</v>
      </c>
      <c r="CD286" s="136">
        <f t="shared" si="590"/>
        <v>0</v>
      </c>
      <c r="CE286" s="136">
        <f t="shared" si="590"/>
        <v>0</v>
      </c>
      <c r="CF286" s="136">
        <f t="shared" si="590"/>
        <v>0</v>
      </c>
      <c r="CG286" s="136">
        <f t="shared" si="590"/>
        <v>0</v>
      </c>
      <c r="CH286" s="136">
        <f t="shared" si="590"/>
        <v>0</v>
      </c>
      <c r="CI286" s="136">
        <f t="shared" si="590"/>
        <v>0</v>
      </c>
      <c r="CJ286" s="136">
        <f t="shared" si="590"/>
        <v>0</v>
      </c>
      <c r="CK286" s="136">
        <f t="shared" si="590"/>
        <v>0</v>
      </c>
      <c r="CL286" s="136">
        <f t="shared" si="590"/>
        <v>0</v>
      </c>
      <c r="CM286" s="136">
        <f t="shared" si="590"/>
        <v>0</v>
      </c>
      <c r="CN286" s="136">
        <f t="shared" si="590"/>
        <v>0</v>
      </c>
      <c r="CO286" s="136">
        <f t="shared" si="590"/>
        <v>0</v>
      </c>
      <c r="CP286" s="136">
        <f t="shared" si="590"/>
        <v>0</v>
      </c>
      <c r="CQ286" s="136">
        <f t="shared" si="590"/>
        <v>0</v>
      </c>
      <c r="CR286" s="137">
        <f t="shared" si="560"/>
        <v>3.6469614093688589</v>
      </c>
      <c r="CS286" s="26"/>
      <c r="CT286" s="25"/>
    </row>
    <row r="287" spans="1:98" x14ac:dyDescent="0.3">
      <c r="A287" s="104" t="str">
        <f t="shared" ref="A287:I287" si="591">A75</f>
        <v>Opaheke / Drury</v>
      </c>
      <c r="B287" s="104" t="str">
        <f t="shared" si="591"/>
        <v>Drury</v>
      </c>
      <c r="C287" s="104">
        <f t="shared" si="591"/>
        <v>0</v>
      </c>
      <c r="D287" s="104" t="str">
        <f t="shared" si="591"/>
        <v>Drury West (Stage 1) (remainder)</v>
      </c>
      <c r="E287" s="104">
        <f t="shared" si="591"/>
        <v>0</v>
      </c>
      <c r="F287" s="104">
        <f t="shared" si="591"/>
        <v>7</v>
      </c>
      <c r="G287" s="104">
        <f t="shared" si="591"/>
        <v>0</v>
      </c>
      <c r="H287" s="104">
        <f t="shared" si="591"/>
        <v>0</v>
      </c>
      <c r="I287" s="104">
        <f t="shared" si="591"/>
        <v>0</v>
      </c>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4"/>
      <c r="AL287" s="104"/>
      <c r="AM287" s="104"/>
      <c r="AN287" s="104"/>
      <c r="AO287" s="104"/>
      <c r="AP287" s="104"/>
      <c r="AQ287" s="104"/>
      <c r="AR287" s="104"/>
      <c r="AS287" s="104"/>
      <c r="AT287" s="104"/>
      <c r="AU287" s="104"/>
      <c r="AV287" s="104"/>
      <c r="AW287" s="104"/>
      <c r="AX287" s="104"/>
      <c r="AY287" s="104"/>
      <c r="AZ287" s="104"/>
      <c r="BA287" s="104"/>
      <c r="BB287" s="104"/>
      <c r="BC287" s="104"/>
      <c r="BD287" s="104"/>
      <c r="BE287" s="104"/>
      <c r="BF287" s="104"/>
      <c r="BG287" s="104"/>
      <c r="BH287" s="104"/>
      <c r="BI287" s="104"/>
      <c r="BJ287" s="104"/>
      <c r="BK287" s="104"/>
      <c r="BL287" s="136">
        <f t="shared" ref="BL287:CQ287" si="592">BL75+BL190</f>
        <v>0</v>
      </c>
      <c r="BM287" s="136">
        <f t="shared" si="592"/>
        <v>0</v>
      </c>
      <c r="BN287" s="136">
        <f t="shared" si="592"/>
        <v>0</v>
      </c>
      <c r="BO287" s="136">
        <f t="shared" si="592"/>
        <v>0</v>
      </c>
      <c r="BP287" s="136">
        <f t="shared" si="592"/>
        <v>0</v>
      </c>
      <c r="BQ287" s="136">
        <f t="shared" si="592"/>
        <v>0</v>
      </c>
      <c r="BR287" s="136">
        <f t="shared" si="592"/>
        <v>0</v>
      </c>
      <c r="BS287" s="136">
        <f t="shared" si="592"/>
        <v>0</v>
      </c>
      <c r="BT287" s="136">
        <f t="shared" si="592"/>
        <v>0</v>
      </c>
      <c r="BU287" s="136">
        <f t="shared" si="592"/>
        <v>0</v>
      </c>
      <c r="BV287" s="136">
        <f t="shared" si="592"/>
        <v>0.94635700948783119</v>
      </c>
      <c r="BW287" s="136">
        <f t="shared" si="592"/>
        <v>1.0128168904339077</v>
      </c>
      <c r="BX287" s="136">
        <f t="shared" si="592"/>
        <v>1.0839793306591494</v>
      </c>
      <c r="BY287" s="136">
        <f t="shared" si="592"/>
        <v>1.1601778578424806</v>
      </c>
      <c r="BZ287" s="136">
        <f t="shared" si="592"/>
        <v>5.511670703031581</v>
      </c>
      <c r="CA287" s="136">
        <f t="shared" si="592"/>
        <v>5.9018023359894087</v>
      </c>
      <c r="CB287" s="136">
        <f t="shared" si="592"/>
        <v>6.3196069811741795</v>
      </c>
      <c r="CC287" s="136">
        <f t="shared" si="592"/>
        <v>6.7670488431123186</v>
      </c>
      <c r="CD287" s="136">
        <f t="shared" si="592"/>
        <v>16.102736826902465</v>
      </c>
      <c r="CE287" s="136">
        <f t="shared" si="592"/>
        <v>17.24312925467418</v>
      </c>
      <c r="CF287" s="136">
        <f t="shared" si="592"/>
        <v>18.464425703305043</v>
      </c>
      <c r="CG287" s="136">
        <f t="shared" si="592"/>
        <v>0</v>
      </c>
      <c r="CH287" s="136">
        <f t="shared" si="592"/>
        <v>0</v>
      </c>
      <c r="CI287" s="136">
        <f t="shared" si="592"/>
        <v>0</v>
      </c>
      <c r="CJ287" s="136">
        <f t="shared" si="592"/>
        <v>0</v>
      </c>
      <c r="CK287" s="136">
        <f t="shared" si="592"/>
        <v>0</v>
      </c>
      <c r="CL287" s="136">
        <f t="shared" si="592"/>
        <v>0</v>
      </c>
      <c r="CM287" s="136">
        <f t="shared" si="592"/>
        <v>0</v>
      </c>
      <c r="CN287" s="136">
        <f t="shared" si="592"/>
        <v>0</v>
      </c>
      <c r="CO287" s="136">
        <f t="shared" si="592"/>
        <v>0</v>
      </c>
      <c r="CP287" s="136">
        <f t="shared" si="592"/>
        <v>0</v>
      </c>
      <c r="CQ287" s="136">
        <f t="shared" si="592"/>
        <v>0</v>
      </c>
      <c r="CR287" s="137">
        <f t="shared" si="560"/>
        <v>80.513751736612548</v>
      </c>
      <c r="CS287" s="26"/>
      <c r="CT287" s="25"/>
    </row>
    <row r="288" spans="1:98" x14ac:dyDescent="0.3">
      <c r="A288" s="104" t="str">
        <f t="shared" ref="A288:I288" si="593">A76</f>
        <v>Opaheke / Drury</v>
      </c>
      <c r="B288" s="104" t="str">
        <f t="shared" si="593"/>
        <v>Drury</v>
      </c>
      <c r="C288" s="104">
        <f t="shared" si="593"/>
        <v>0</v>
      </c>
      <c r="D288" s="104" t="str">
        <f t="shared" si="593"/>
        <v>Drury West (Stage 1) (remainder)</v>
      </c>
      <c r="E288" s="104">
        <f t="shared" si="593"/>
        <v>0</v>
      </c>
      <c r="F288" s="104">
        <f t="shared" si="593"/>
        <v>0</v>
      </c>
      <c r="G288" s="104">
        <f t="shared" si="593"/>
        <v>1</v>
      </c>
      <c r="H288" s="104">
        <f t="shared" si="593"/>
        <v>0</v>
      </c>
      <c r="I288" s="104">
        <f t="shared" si="593"/>
        <v>0</v>
      </c>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4"/>
      <c r="AL288" s="104"/>
      <c r="AM288" s="104"/>
      <c r="AN288" s="104"/>
      <c r="AO288" s="104"/>
      <c r="AP288" s="104"/>
      <c r="AQ288" s="104"/>
      <c r="AR288" s="104"/>
      <c r="AS288" s="104"/>
      <c r="AT288" s="104"/>
      <c r="AU288" s="104"/>
      <c r="AV288" s="104"/>
      <c r="AW288" s="104"/>
      <c r="AX288" s="104"/>
      <c r="AY288" s="104"/>
      <c r="AZ288" s="104"/>
      <c r="BA288" s="104"/>
      <c r="BB288" s="104"/>
      <c r="BC288" s="104"/>
      <c r="BD288" s="104"/>
      <c r="BE288" s="104"/>
      <c r="BF288" s="104"/>
      <c r="BG288" s="104"/>
      <c r="BH288" s="104"/>
      <c r="BI288" s="104"/>
      <c r="BJ288" s="104"/>
      <c r="BK288" s="104"/>
      <c r="BL288" s="136">
        <f t="shared" ref="BL288:CQ288" si="594">BL76+BL191</f>
        <v>0</v>
      </c>
      <c r="BM288" s="136">
        <f t="shared" si="594"/>
        <v>0</v>
      </c>
      <c r="BN288" s="136">
        <f t="shared" si="594"/>
        <v>0</v>
      </c>
      <c r="BO288" s="136">
        <f t="shared" si="594"/>
        <v>0</v>
      </c>
      <c r="BP288" s="136">
        <f t="shared" si="594"/>
        <v>0</v>
      </c>
      <c r="BQ288" s="136">
        <f t="shared" si="594"/>
        <v>0</v>
      </c>
      <c r="BR288" s="136">
        <f t="shared" si="594"/>
        <v>0</v>
      </c>
      <c r="BS288" s="136">
        <f t="shared" si="594"/>
        <v>0.58398179467129352</v>
      </c>
      <c r="BT288" s="136">
        <f t="shared" si="594"/>
        <v>0.62534661084871379</v>
      </c>
      <c r="BU288" s="136">
        <f t="shared" si="594"/>
        <v>0.66964617536735749</v>
      </c>
      <c r="BV288" s="136">
        <f t="shared" si="594"/>
        <v>2.5002308109157565</v>
      </c>
      <c r="BW288" s="136">
        <f t="shared" si="594"/>
        <v>2.6774859603737893</v>
      </c>
      <c r="BX288" s="136">
        <f t="shared" si="594"/>
        <v>2.867320478204769</v>
      </c>
      <c r="BY288" s="136">
        <f t="shared" si="594"/>
        <v>3.0706273731239255</v>
      </c>
      <c r="BZ288" s="136">
        <f t="shared" si="594"/>
        <v>4.902231701022628</v>
      </c>
      <c r="CA288" s="136">
        <f t="shared" si="594"/>
        <v>5.2501476533479234</v>
      </c>
      <c r="CB288" s="136">
        <f t="shared" si="594"/>
        <v>5.6227625033224742</v>
      </c>
      <c r="CC288" s="136">
        <f t="shared" si="594"/>
        <v>6.0218298037101281</v>
      </c>
      <c r="CD288" s="136">
        <f t="shared" si="594"/>
        <v>3.4395880576019433</v>
      </c>
      <c r="CE288" s="136">
        <f t="shared" si="594"/>
        <v>3.6837158986362994</v>
      </c>
      <c r="CF288" s="136">
        <f t="shared" si="594"/>
        <v>3.9451749923408763</v>
      </c>
      <c r="CG288" s="136">
        <f t="shared" si="594"/>
        <v>0</v>
      </c>
      <c r="CH288" s="136">
        <f t="shared" si="594"/>
        <v>0</v>
      </c>
      <c r="CI288" s="136">
        <f t="shared" si="594"/>
        <v>0</v>
      </c>
      <c r="CJ288" s="136">
        <f t="shared" si="594"/>
        <v>0</v>
      </c>
      <c r="CK288" s="136">
        <f t="shared" si="594"/>
        <v>0</v>
      </c>
      <c r="CL288" s="136">
        <f t="shared" si="594"/>
        <v>0</v>
      </c>
      <c r="CM288" s="136">
        <f t="shared" si="594"/>
        <v>0</v>
      </c>
      <c r="CN288" s="136">
        <f t="shared" si="594"/>
        <v>0</v>
      </c>
      <c r="CO288" s="136">
        <f t="shared" si="594"/>
        <v>0</v>
      </c>
      <c r="CP288" s="136">
        <f t="shared" si="594"/>
        <v>0</v>
      </c>
      <c r="CQ288" s="136">
        <f t="shared" si="594"/>
        <v>0</v>
      </c>
      <c r="CR288" s="137">
        <f t="shared" si="560"/>
        <v>45.860089813487882</v>
      </c>
      <c r="CS288" s="26"/>
      <c r="CT288" s="25"/>
    </row>
    <row r="289" spans="1:98" x14ac:dyDescent="0.3">
      <c r="A289" s="104" t="str">
        <f t="shared" ref="A289:I289" si="595">A77</f>
        <v>Opaheke / Drury</v>
      </c>
      <c r="B289" s="104" t="str">
        <f t="shared" si="595"/>
        <v>Drury</v>
      </c>
      <c r="C289" s="104">
        <f t="shared" si="595"/>
        <v>0</v>
      </c>
      <c r="D289" s="104" t="str">
        <f t="shared" si="595"/>
        <v>Drury West (Stage 2)</v>
      </c>
      <c r="E289" s="104">
        <f t="shared" si="595"/>
        <v>0</v>
      </c>
      <c r="F289" s="104">
        <f t="shared" si="595"/>
        <v>3</v>
      </c>
      <c r="G289" s="104">
        <f t="shared" si="595"/>
        <v>0</v>
      </c>
      <c r="H289" s="104">
        <f t="shared" si="595"/>
        <v>0</v>
      </c>
      <c r="I289" s="104">
        <f t="shared" si="595"/>
        <v>0</v>
      </c>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4"/>
      <c r="AY289" s="104"/>
      <c r="AZ289" s="104"/>
      <c r="BA289" s="104"/>
      <c r="BB289" s="104"/>
      <c r="BC289" s="104"/>
      <c r="BD289" s="104"/>
      <c r="BE289" s="104"/>
      <c r="BF289" s="104"/>
      <c r="BG289" s="104"/>
      <c r="BH289" s="104"/>
      <c r="BI289" s="104"/>
      <c r="BJ289" s="104"/>
      <c r="BK289" s="104"/>
      <c r="BL289" s="136">
        <f t="shared" ref="BL289:CQ289" si="596">BL77+BL192</f>
        <v>0</v>
      </c>
      <c r="BM289" s="136">
        <f t="shared" si="596"/>
        <v>0</v>
      </c>
      <c r="BN289" s="136">
        <f t="shared" si="596"/>
        <v>0</v>
      </c>
      <c r="BO289" s="136">
        <f t="shared" si="596"/>
        <v>0</v>
      </c>
      <c r="BP289" s="136">
        <f t="shared" si="596"/>
        <v>0</v>
      </c>
      <c r="BQ289" s="136">
        <f t="shared" si="596"/>
        <v>0</v>
      </c>
      <c r="BR289" s="136">
        <f t="shared" si="596"/>
        <v>0</v>
      </c>
      <c r="BS289" s="136">
        <f t="shared" si="596"/>
        <v>0</v>
      </c>
      <c r="BT289" s="136">
        <f t="shared" si="596"/>
        <v>0</v>
      </c>
      <c r="BU289" s="136">
        <f t="shared" si="596"/>
        <v>0</v>
      </c>
      <c r="BV289" s="136">
        <f t="shared" si="596"/>
        <v>0.40558157549478485</v>
      </c>
      <c r="BW289" s="136">
        <f t="shared" si="596"/>
        <v>0.43406438161453181</v>
      </c>
      <c r="BX289" s="136">
        <f t="shared" si="596"/>
        <v>0.46456257028249259</v>
      </c>
      <c r="BY289" s="136">
        <f t="shared" si="596"/>
        <v>0.4972190819324917</v>
      </c>
      <c r="BZ289" s="136">
        <f t="shared" si="596"/>
        <v>2.3621445870135349</v>
      </c>
      <c r="CA289" s="136">
        <f t="shared" si="596"/>
        <v>2.5293438582811749</v>
      </c>
      <c r="CB289" s="136">
        <f t="shared" si="596"/>
        <v>2.7084029919317913</v>
      </c>
      <c r="CC289" s="136">
        <f t="shared" si="596"/>
        <v>2.900163789905279</v>
      </c>
      <c r="CD289" s="136">
        <f t="shared" si="596"/>
        <v>6.9011729258153425</v>
      </c>
      <c r="CE289" s="136">
        <f t="shared" si="596"/>
        <v>7.3899125377175068</v>
      </c>
      <c r="CF289" s="136">
        <f t="shared" si="596"/>
        <v>7.9133253014164477</v>
      </c>
      <c r="CG289" s="136">
        <f t="shared" si="596"/>
        <v>0</v>
      </c>
      <c r="CH289" s="136">
        <f t="shared" si="596"/>
        <v>0</v>
      </c>
      <c r="CI289" s="136">
        <f t="shared" si="596"/>
        <v>0</v>
      </c>
      <c r="CJ289" s="136">
        <f t="shared" si="596"/>
        <v>0</v>
      </c>
      <c r="CK289" s="136">
        <f t="shared" si="596"/>
        <v>0</v>
      </c>
      <c r="CL289" s="136">
        <f t="shared" si="596"/>
        <v>0</v>
      </c>
      <c r="CM289" s="136">
        <f t="shared" si="596"/>
        <v>0</v>
      </c>
      <c r="CN289" s="136">
        <f t="shared" si="596"/>
        <v>0</v>
      </c>
      <c r="CO289" s="136">
        <f t="shared" si="596"/>
        <v>0</v>
      </c>
      <c r="CP289" s="136">
        <f t="shared" si="596"/>
        <v>0</v>
      </c>
      <c r="CQ289" s="136">
        <f t="shared" si="596"/>
        <v>0</v>
      </c>
      <c r="CR289" s="137">
        <f t="shared" si="560"/>
        <v>34.505893601405376</v>
      </c>
      <c r="CS289" s="26"/>
      <c r="CT289" s="25"/>
    </row>
    <row r="290" spans="1:98" x14ac:dyDescent="0.3">
      <c r="A290" s="104" t="str">
        <f t="shared" ref="A290:I290" si="597">A78</f>
        <v>Opaheke / Drury</v>
      </c>
      <c r="B290" s="104" t="str">
        <f t="shared" si="597"/>
        <v>Drury</v>
      </c>
      <c r="C290" s="104">
        <f t="shared" si="597"/>
        <v>0</v>
      </c>
      <c r="D290" s="104" t="str">
        <f t="shared" si="597"/>
        <v>Drury West (Stage 2)</v>
      </c>
      <c r="E290" s="104">
        <f t="shared" si="597"/>
        <v>0</v>
      </c>
      <c r="F290" s="104">
        <f t="shared" si="597"/>
        <v>0</v>
      </c>
      <c r="G290" s="104">
        <f t="shared" si="597"/>
        <v>1</v>
      </c>
      <c r="H290" s="104">
        <f t="shared" si="597"/>
        <v>0</v>
      </c>
      <c r="I290" s="104">
        <f t="shared" si="597"/>
        <v>0</v>
      </c>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4"/>
      <c r="AY290" s="104"/>
      <c r="AZ290" s="104"/>
      <c r="BA290" s="104"/>
      <c r="BB290" s="104"/>
      <c r="BC290" s="104"/>
      <c r="BD290" s="104"/>
      <c r="BE290" s="104"/>
      <c r="BF290" s="104"/>
      <c r="BG290" s="104"/>
      <c r="BH290" s="104"/>
      <c r="BI290" s="104"/>
      <c r="BJ290" s="104"/>
      <c r="BK290" s="104"/>
      <c r="BL290" s="136">
        <f t="shared" ref="BL290:CQ290" si="598">BL78+BL193</f>
        <v>0</v>
      </c>
      <c r="BM290" s="136">
        <f t="shared" si="598"/>
        <v>0</v>
      </c>
      <c r="BN290" s="136">
        <f t="shared" si="598"/>
        <v>0</v>
      </c>
      <c r="BO290" s="136">
        <f t="shared" si="598"/>
        <v>0</v>
      </c>
      <c r="BP290" s="136">
        <f t="shared" si="598"/>
        <v>0</v>
      </c>
      <c r="BQ290" s="136">
        <f t="shared" si="598"/>
        <v>0</v>
      </c>
      <c r="BR290" s="136">
        <f t="shared" si="598"/>
        <v>0</v>
      </c>
      <c r="BS290" s="136">
        <f t="shared" si="598"/>
        <v>0.58398179467129352</v>
      </c>
      <c r="BT290" s="136">
        <f t="shared" si="598"/>
        <v>0.62534661084871379</v>
      </c>
      <c r="BU290" s="136">
        <f t="shared" si="598"/>
        <v>0.66964617536735749</v>
      </c>
      <c r="BV290" s="136">
        <f t="shared" si="598"/>
        <v>2.5002308109157565</v>
      </c>
      <c r="BW290" s="136">
        <f t="shared" si="598"/>
        <v>2.6774859603737893</v>
      </c>
      <c r="BX290" s="136">
        <f t="shared" si="598"/>
        <v>2.867320478204769</v>
      </c>
      <c r="BY290" s="136">
        <f t="shared" si="598"/>
        <v>3.0706273731239255</v>
      </c>
      <c r="BZ290" s="136">
        <f t="shared" si="598"/>
        <v>4.902231701022628</v>
      </c>
      <c r="CA290" s="136">
        <f t="shared" si="598"/>
        <v>5.2501476533479234</v>
      </c>
      <c r="CB290" s="136">
        <f t="shared" si="598"/>
        <v>5.6227625033224742</v>
      </c>
      <c r="CC290" s="136">
        <f t="shared" si="598"/>
        <v>6.0218298037101281</v>
      </c>
      <c r="CD290" s="136">
        <f t="shared" si="598"/>
        <v>3.4395880576019433</v>
      </c>
      <c r="CE290" s="136">
        <f t="shared" si="598"/>
        <v>3.6837158986362994</v>
      </c>
      <c r="CF290" s="136">
        <f t="shared" si="598"/>
        <v>3.9451749923408763</v>
      </c>
      <c r="CG290" s="136">
        <f t="shared" si="598"/>
        <v>0</v>
      </c>
      <c r="CH290" s="136">
        <f t="shared" si="598"/>
        <v>0</v>
      </c>
      <c r="CI290" s="136">
        <f t="shared" si="598"/>
        <v>0</v>
      </c>
      <c r="CJ290" s="136">
        <f t="shared" si="598"/>
        <v>0</v>
      </c>
      <c r="CK290" s="136">
        <f t="shared" si="598"/>
        <v>0</v>
      </c>
      <c r="CL290" s="136">
        <f t="shared" si="598"/>
        <v>0</v>
      </c>
      <c r="CM290" s="136">
        <f t="shared" si="598"/>
        <v>0</v>
      </c>
      <c r="CN290" s="136">
        <f t="shared" si="598"/>
        <v>0</v>
      </c>
      <c r="CO290" s="136">
        <f t="shared" si="598"/>
        <v>0</v>
      </c>
      <c r="CP290" s="136">
        <f t="shared" si="598"/>
        <v>0</v>
      </c>
      <c r="CQ290" s="136">
        <f t="shared" si="598"/>
        <v>0</v>
      </c>
      <c r="CR290" s="137">
        <f t="shared" si="560"/>
        <v>45.860089813487882</v>
      </c>
      <c r="CS290" s="26"/>
      <c r="CT290" s="25"/>
    </row>
    <row r="291" spans="1:98" x14ac:dyDescent="0.3">
      <c r="A291" s="104" t="str">
        <f t="shared" ref="A291:I291" si="599">A79</f>
        <v>Opaheke / Drury</v>
      </c>
      <c r="B291" s="104" t="str">
        <f t="shared" si="599"/>
        <v>Drury</v>
      </c>
      <c r="C291" s="104">
        <f t="shared" si="599"/>
        <v>0</v>
      </c>
      <c r="D291" s="104" t="str">
        <f t="shared" si="599"/>
        <v>Drury West (Stage 2)</v>
      </c>
      <c r="E291" s="104">
        <f t="shared" si="599"/>
        <v>0</v>
      </c>
      <c r="F291" s="104">
        <f t="shared" si="599"/>
        <v>0</v>
      </c>
      <c r="G291" s="104">
        <f t="shared" si="599"/>
        <v>0</v>
      </c>
      <c r="H291" s="104">
        <f t="shared" si="599"/>
        <v>0</v>
      </c>
      <c r="I291" s="104">
        <f t="shared" si="599"/>
        <v>0.5</v>
      </c>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4"/>
      <c r="AL291" s="104"/>
      <c r="AM291" s="104"/>
      <c r="AN291" s="104"/>
      <c r="AO291" s="104"/>
      <c r="AP291" s="104"/>
      <c r="AQ291" s="104"/>
      <c r="AR291" s="104"/>
      <c r="AS291" s="104"/>
      <c r="AT291" s="104"/>
      <c r="AU291" s="104"/>
      <c r="AV291" s="104"/>
      <c r="AW291" s="104"/>
      <c r="AX291" s="104"/>
      <c r="AY291" s="104"/>
      <c r="AZ291" s="104"/>
      <c r="BA291" s="104"/>
      <c r="BB291" s="104"/>
      <c r="BC291" s="104"/>
      <c r="BD291" s="104"/>
      <c r="BE291" s="104"/>
      <c r="BF291" s="104"/>
      <c r="BG291" s="104"/>
      <c r="BH291" s="104"/>
      <c r="BI291" s="104"/>
      <c r="BJ291" s="104"/>
      <c r="BK291" s="104"/>
      <c r="BL291" s="136">
        <f t="shared" ref="BL291:CQ291" si="600">BL79+BL194</f>
        <v>0</v>
      </c>
      <c r="BM291" s="136">
        <f t="shared" si="600"/>
        <v>0</v>
      </c>
      <c r="BN291" s="136">
        <f t="shared" si="600"/>
        <v>0</v>
      </c>
      <c r="BO291" s="136">
        <f t="shared" si="600"/>
        <v>0</v>
      </c>
      <c r="BP291" s="136">
        <f t="shared" si="600"/>
        <v>0</v>
      </c>
      <c r="BQ291" s="136">
        <f t="shared" si="600"/>
        <v>0</v>
      </c>
      <c r="BR291" s="136">
        <f t="shared" si="600"/>
        <v>0</v>
      </c>
      <c r="BS291" s="136">
        <f t="shared" si="600"/>
        <v>0</v>
      </c>
      <c r="BT291" s="136">
        <f t="shared" si="600"/>
        <v>0</v>
      </c>
      <c r="BU291" s="136">
        <f t="shared" si="600"/>
        <v>0</v>
      </c>
      <c r="BV291" s="136">
        <f t="shared" si="600"/>
        <v>0</v>
      </c>
      <c r="BW291" s="136">
        <f t="shared" si="600"/>
        <v>0</v>
      </c>
      <c r="BX291" s="136">
        <f t="shared" si="600"/>
        <v>0</v>
      </c>
      <c r="BY291" s="136">
        <f t="shared" si="600"/>
        <v>0</v>
      </c>
      <c r="BZ291" s="136">
        <f t="shared" si="600"/>
        <v>0.33243783445188296</v>
      </c>
      <c r="CA291" s="136">
        <f t="shared" si="600"/>
        <v>0.3557559238033442</v>
      </c>
      <c r="CB291" s="136">
        <f t="shared" si="600"/>
        <v>0.38072332756707761</v>
      </c>
      <c r="CC291" s="136">
        <f t="shared" si="600"/>
        <v>0.40745700912785732</v>
      </c>
      <c r="CD291" s="136">
        <f t="shared" si="600"/>
        <v>0.58144297764817277</v>
      </c>
      <c r="CE291" s="136">
        <f t="shared" si="600"/>
        <v>0.62231087378428485</v>
      </c>
      <c r="CF291" s="136">
        <f t="shared" si="600"/>
        <v>0.66607127032996882</v>
      </c>
      <c r="CG291" s="136">
        <f t="shared" si="600"/>
        <v>0</v>
      </c>
      <c r="CH291" s="136">
        <f t="shared" si="600"/>
        <v>0</v>
      </c>
      <c r="CI291" s="136">
        <f t="shared" si="600"/>
        <v>0</v>
      </c>
      <c r="CJ291" s="136">
        <f t="shared" si="600"/>
        <v>0</v>
      </c>
      <c r="CK291" s="136">
        <f t="shared" si="600"/>
        <v>0</v>
      </c>
      <c r="CL291" s="136">
        <f t="shared" si="600"/>
        <v>0</v>
      </c>
      <c r="CM291" s="136">
        <f t="shared" si="600"/>
        <v>0</v>
      </c>
      <c r="CN291" s="136">
        <f t="shared" si="600"/>
        <v>0</v>
      </c>
      <c r="CO291" s="136">
        <f t="shared" si="600"/>
        <v>0</v>
      </c>
      <c r="CP291" s="136">
        <f t="shared" si="600"/>
        <v>0</v>
      </c>
      <c r="CQ291" s="136">
        <f t="shared" si="600"/>
        <v>0</v>
      </c>
      <c r="CR291" s="137">
        <f t="shared" si="560"/>
        <v>3.3461992167125887</v>
      </c>
      <c r="CS291" s="26"/>
      <c r="CT291" s="25"/>
    </row>
    <row r="292" spans="1:98" x14ac:dyDescent="0.3">
      <c r="A292" s="104" t="str">
        <f t="shared" ref="A292:I292" si="601">A80</f>
        <v>Opaheke / Drury</v>
      </c>
      <c r="B292" s="104" t="str">
        <f t="shared" si="601"/>
        <v>Drury</v>
      </c>
      <c r="C292" s="104">
        <f t="shared" si="601"/>
        <v>0</v>
      </c>
      <c r="D292" s="104" t="str">
        <f t="shared" si="601"/>
        <v>Drury West (Stage 3) (remainder)</v>
      </c>
      <c r="E292" s="104">
        <f t="shared" si="601"/>
        <v>0</v>
      </c>
      <c r="F292" s="104">
        <f t="shared" si="601"/>
        <v>4</v>
      </c>
      <c r="G292" s="104">
        <f t="shared" si="601"/>
        <v>0</v>
      </c>
      <c r="H292" s="104">
        <f t="shared" si="601"/>
        <v>0</v>
      </c>
      <c r="I292" s="104">
        <f t="shared" si="601"/>
        <v>0</v>
      </c>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4"/>
      <c r="AL292" s="104"/>
      <c r="AM292" s="104"/>
      <c r="AN292" s="104"/>
      <c r="AO292" s="104"/>
      <c r="AP292" s="104"/>
      <c r="AQ292" s="104"/>
      <c r="AR292" s="104"/>
      <c r="AS292" s="104"/>
      <c r="AT292" s="104"/>
      <c r="AU292" s="104"/>
      <c r="AV292" s="104"/>
      <c r="AW292" s="104"/>
      <c r="AX292" s="104"/>
      <c r="AY292" s="104"/>
      <c r="AZ292" s="104"/>
      <c r="BA292" s="104"/>
      <c r="BB292" s="104"/>
      <c r="BC292" s="104"/>
      <c r="BD292" s="104"/>
      <c r="BE292" s="104"/>
      <c r="BF292" s="104"/>
      <c r="BG292" s="104"/>
      <c r="BH292" s="104"/>
      <c r="BI292" s="104"/>
      <c r="BJ292" s="104"/>
      <c r="BK292" s="104"/>
      <c r="BL292" s="136">
        <f t="shared" ref="BL292:CQ292" si="602">BL80+BL195</f>
        <v>0</v>
      </c>
      <c r="BM292" s="136">
        <f t="shared" si="602"/>
        <v>0</v>
      </c>
      <c r="BN292" s="136">
        <f t="shared" si="602"/>
        <v>0</v>
      </c>
      <c r="BO292" s="136">
        <f t="shared" si="602"/>
        <v>0</v>
      </c>
      <c r="BP292" s="136">
        <f t="shared" si="602"/>
        <v>0</v>
      </c>
      <c r="BQ292" s="136">
        <f t="shared" si="602"/>
        <v>0</v>
      </c>
      <c r="BR292" s="136">
        <f t="shared" si="602"/>
        <v>0</v>
      </c>
      <c r="BS292" s="136">
        <f t="shared" si="602"/>
        <v>0</v>
      </c>
      <c r="BT292" s="136">
        <f t="shared" si="602"/>
        <v>0</v>
      </c>
      <c r="BU292" s="136">
        <f t="shared" si="602"/>
        <v>0</v>
      </c>
      <c r="BV292" s="136">
        <f t="shared" si="602"/>
        <v>0.54077543399304651</v>
      </c>
      <c r="BW292" s="136">
        <f t="shared" si="602"/>
        <v>0.57875250881937579</v>
      </c>
      <c r="BX292" s="136">
        <f t="shared" si="602"/>
        <v>0.61941676037665672</v>
      </c>
      <c r="BY292" s="136">
        <f t="shared" si="602"/>
        <v>0.66295877590998886</v>
      </c>
      <c r="BZ292" s="136">
        <f t="shared" si="602"/>
        <v>3.1495261160180466</v>
      </c>
      <c r="CA292" s="136">
        <f t="shared" si="602"/>
        <v>3.3724584777082338</v>
      </c>
      <c r="CB292" s="136">
        <f t="shared" si="602"/>
        <v>3.6112039892423886</v>
      </c>
      <c r="CC292" s="136">
        <f t="shared" si="602"/>
        <v>3.8668850532070391</v>
      </c>
      <c r="CD292" s="136">
        <f t="shared" si="602"/>
        <v>9.2015639010871233</v>
      </c>
      <c r="CE292" s="136">
        <f t="shared" si="602"/>
        <v>9.8532167169566751</v>
      </c>
      <c r="CF292" s="136">
        <f t="shared" si="602"/>
        <v>10.551100401888597</v>
      </c>
      <c r="CG292" s="136">
        <f t="shared" si="602"/>
        <v>0</v>
      </c>
      <c r="CH292" s="136">
        <f t="shared" si="602"/>
        <v>0</v>
      </c>
      <c r="CI292" s="136">
        <f t="shared" si="602"/>
        <v>0</v>
      </c>
      <c r="CJ292" s="136">
        <f t="shared" si="602"/>
        <v>0</v>
      </c>
      <c r="CK292" s="136">
        <f t="shared" si="602"/>
        <v>0</v>
      </c>
      <c r="CL292" s="136">
        <f t="shared" si="602"/>
        <v>0</v>
      </c>
      <c r="CM292" s="136">
        <f t="shared" si="602"/>
        <v>0</v>
      </c>
      <c r="CN292" s="136">
        <f t="shared" si="602"/>
        <v>0</v>
      </c>
      <c r="CO292" s="136">
        <f t="shared" si="602"/>
        <v>0</v>
      </c>
      <c r="CP292" s="136">
        <f t="shared" si="602"/>
        <v>0</v>
      </c>
      <c r="CQ292" s="136">
        <f t="shared" si="602"/>
        <v>0</v>
      </c>
      <c r="CR292" s="137">
        <f t="shared" si="560"/>
        <v>46.007858135207172</v>
      </c>
      <c r="CS292" s="26"/>
      <c r="CT292" s="25"/>
    </row>
    <row r="293" spans="1:98" x14ac:dyDescent="0.3">
      <c r="A293" s="104" t="str">
        <f t="shared" ref="A293:I293" si="603">A81</f>
        <v>Opaheke / Drury</v>
      </c>
      <c r="B293" s="104" t="str">
        <f t="shared" si="603"/>
        <v>Drury</v>
      </c>
      <c r="C293" s="104">
        <f t="shared" si="603"/>
        <v>0</v>
      </c>
      <c r="D293" s="104" t="str">
        <f t="shared" si="603"/>
        <v>Drury West (Stage 3) (remainder)</v>
      </c>
      <c r="E293" s="104">
        <f t="shared" si="603"/>
        <v>0</v>
      </c>
      <c r="F293" s="104">
        <f t="shared" si="603"/>
        <v>0</v>
      </c>
      <c r="G293" s="104">
        <f t="shared" si="603"/>
        <v>1</v>
      </c>
      <c r="H293" s="104">
        <f t="shared" si="603"/>
        <v>0</v>
      </c>
      <c r="I293" s="104">
        <f t="shared" si="603"/>
        <v>0</v>
      </c>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4"/>
      <c r="AL293" s="104"/>
      <c r="AM293" s="104"/>
      <c r="AN293" s="104"/>
      <c r="AO293" s="104"/>
      <c r="AP293" s="104"/>
      <c r="AQ293" s="104"/>
      <c r="AR293" s="104"/>
      <c r="AS293" s="104"/>
      <c r="AT293" s="104"/>
      <c r="AU293" s="104"/>
      <c r="AV293" s="104"/>
      <c r="AW293" s="104"/>
      <c r="AX293" s="104"/>
      <c r="AY293" s="104"/>
      <c r="AZ293" s="104"/>
      <c r="BA293" s="104"/>
      <c r="BB293" s="104"/>
      <c r="BC293" s="104"/>
      <c r="BD293" s="104"/>
      <c r="BE293" s="104"/>
      <c r="BF293" s="104"/>
      <c r="BG293" s="104"/>
      <c r="BH293" s="104"/>
      <c r="BI293" s="104"/>
      <c r="BJ293" s="104"/>
      <c r="BK293" s="104"/>
      <c r="BL293" s="136">
        <f t="shared" ref="BL293:CQ293" si="604">BL81+BL196</f>
        <v>0</v>
      </c>
      <c r="BM293" s="136">
        <f t="shared" si="604"/>
        <v>0</v>
      </c>
      <c r="BN293" s="136">
        <f t="shared" si="604"/>
        <v>0</v>
      </c>
      <c r="BO293" s="136">
        <f t="shared" si="604"/>
        <v>0</v>
      </c>
      <c r="BP293" s="136">
        <f t="shared" si="604"/>
        <v>0</v>
      </c>
      <c r="BQ293" s="136">
        <f t="shared" si="604"/>
        <v>0</v>
      </c>
      <c r="BR293" s="136">
        <f t="shared" si="604"/>
        <v>0</v>
      </c>
      <c r="BS293" s="136">
        <f t="shared" si="604"/>
        <v>0.58398179467129352</v>
      </c>
      <c r="BT293" s="136">
        <f t="shared" si="604"/>
        <v>0.62534661084871379</v>
      </c>
      <c r="BU293" s="136">
        <f t="shared" si="604"/>
        <v>0.66964617536735749</v>
      </c>
      <c r="BV293" s="136">
        <f t="shared" si="604"/>
        <v>2.5002308109157565</v>
      </c>
      <c r="BW293" s="136">
        <f t="shared" si="604"/>
        <v>2.6774859603737893</v>
      </c>
      <c r="BX293" s="136">
        <f t="shared" si="604"/>
        <v>2.867320478204769</v>
      </c>
      <c r="BY293" s="136">
        <f t="shared" si="604"/>
        <v>3.0706273731239255</v>
      </c>
      <c r="BZ293" s="136">
        <f t="shared" si="604"/>
        <v>4.902231701022628</v>
      </c>
      <c r="CA293" s="136">
        <f t="shared" si="604"/>
        <v>5.2501476533479234</v>
      </c>
      <c r="CB293" s="136">
        <f t="shared" si="604"/>
        <v>5.6227625033224742</v>
      </c>
      <c r="CC293" s="136">
        <f t="shared" si="604"/>
        <v>6.0218298037101281</v>
      </c>
      <c r="CD293" s="136">
        <f t="shared" si="604"/>
        <v>3.4395880576019433</v>
      </c>
      <c r="CE293" s="136">
        <f t="shared" si="604"/>
        <v>3.6837158986362994</v>
      </c>
      <c r="CF293" s="136">
        <f t="shared" si="604"/>
        <v>3.9451749923408763</v>
      </c>
      <c r="CG293" s="136">
        <f t="shared" si="604"/>
        <v>0</v>
      </c>
      <c r="CH293" s="136">
        <f t="shared" si="604"/>
        <v>0</v>
      </c>
      <c r="CI293" s="136">
        <f t="shared" si="604"/>
        <v>0</v>
      </c>
      <c r="CJ293" s="136">
        <f t="shared" si="604"/>
        <v>0</v>
      </c>
      <c r="CK293" s="136">
        <f t="shared" si="604"/>
        <v>0</v>
      </c>
      <c r="CL293" s="136">
        <f t="shared" si="604"/>
        <v>0</v>
      </c>
      <c r="CM293" s="136">
        <f t="shared" si="604"/>
        <v>0</v>
      </c>
      <c r="CN293" s="136">
        <f t="shared" si="604"/>
        <v>0</v>
      </c>
      <c r="CO293" s="136">
        <f t="shared" si="604"/>
        <v>0</v>
      </c>
      <c r="CP293" s="136">
        <f t="shared" si="604"/>
        <v>0</v>
      </c>
      <c r="CQ293" s="136">
        <f t="shared" si="604"/>
        <v>0</v>
      </c>
      <c r="CR293" s="137">
        <f t="shared" si="560"/>
        <v>45.860089813487882</v>
      </c>
      <c r="CS293" s="26"/>
      <c r="CT293" s="25"/>
    </row>
    <row r="294" spans="1:98" x14ac:dyDescent="0.3">
      <c r="A294" s="104" t="str">
        <f t="shared" ref="A294:I294" si="605">A82</f>
        <v>Opaheke / Drury</v>
      </c>
      <c r="B294" s="104" t="str">
        <f t="shared" si="605"/>
        <v>Rural SE</v>
      </c>
      <c r="C294" s="104">
        <f t="shared" si="605"/>
        <v>0</v>
      </c>
      <c r="D294" s="104" t="str">
        <f t="shared" si="605"/>
        <v>Drury South</v>
      </c>
      <c r="E294" s="104" t="str">
        <f t="shared" si="605"/>
        <v>development progress by sat inspection</v>
      </c>
      <c r="F294" s="104">
        <f t="shared" si="605"/>
        <v>1</v>
      </c>
      <c r="G294" s="104">
        <f t="shared" si="605"/>
        <v>0</v>
      </c>
      <c r="H294" s="104">
        <f t="shared" si="605"/>
        <v>0</v>
      </c>
      <c r="I294" s="104">
        <f t="shared" si="605"/>
        <v>0</v>
      </c>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4"/>
      <c r="AL294" s="104"/>
      <c r="AM294" s="104"/>
      <c r="AN294" s="104"/>
      <c r="AO294" s="104"/>
      <c r="AP294" s="104"/>
      <c r="AQ294" s="104"/>
      <c r="AR294" s="104"/>
      <c r="AS294" s="104"/>
      <c r="AT294" s="104"/>
      <c r="AU294" s="104"/>
      <c r="AV294" s="104"/>
      <c r="AW294" s="104"/>
      <c r="AX294" s="104"/>
      <c r="AY294" s="104"/>
      <c r="AZ294" s="104"/>
      <c r="BA294" s="104"/>
      <c r="BB294" s="104"/>
      <c r="BC294" s="104"/>
      <c r="BD294" s="104"/>
      <c r="BE294" s="104"/>
      <c r="BF294" s="104"/>
      <c r="BG294" s="104"/>
      <c r="BH294" s="104"/>
      <c r="BI294" s="104"/>
      <c r="BJ294" s="104"/>
      <c r="BK294" s="104"/>
      <c r="BL294" s="136">
        <f t="shared" ref="BL294:CQ294" si="606">BL82+BL197</f>
        <v>0</v>
      </c>
      <c r="BM294" s="136">
        <f t="shared" si="606"/>
        <v>0</v>
      </c>
      <c r="BN294" s="136">
        <f t="shared" si="606"/>
        <v>0</v>
      </c>
      <c r="BO294" s="136">
        <f t="shared" si="606"/>
        <v>0</v>
      </c>
      <c r="BP294" s="136">
        <f t="shared" si="606"/>
        <v>0</v>
      </c>
      <c r="BQ294" s="136">
        <f t="shared" si="606"/>
        <v>0</v>
      </c>
      <c r="BR294" s="136">
        <f t="shared" si="606"/>
        <v>0</v>
      </c>
      <c r="BS294" s="136">
        <f t="shared" si="606"/>
        <v>0</v>
      </c>
      <c r="BT294" s="136">
        <f t="shared" si="606"/>
        <v>0.69664444020133665</v>
      </c>
      <c r="BU294" s="136">
        <f t="shared" si="606"/>
        <v>0.74590610575240157</v>
      </c>
      <c r="BV294" s="136">
        <f t="shared" si="606"/>
        <v>3.1946437903364839</v>
      </c>
      <c r="BW294" s="136">
        <f t="shared" si="606"/>
        <v>3.4206275374760202</v>
      </c>
      <c r="BX294" s="136">
        <f t="shared" si="606"/>
        <v>0</v>
      </c>
      <c r="BY294" s="136">
        <f t="shared" si="606"/>
        <v>0</v>
      </c>
      <c r="BZ294" s="136">
        <f t="shared" si="606"/>
        <v>0</v>
      </c>
      <c r="CA294" s="136">
        <f t="shared" si="606"/>
        <v>0</v>
      </c>
      <c r="CB294" s="136">
        <f t="shared" si="606"/>
        <v>0</v>
      </c>
      <c r="CC294" s="136">
        <f t="shared" si="606"/>
        <v>0</v>
      </c>
      <c r="CD294" s="136">
        <f t="shared" si="606"/>
        <v>0</v>
      </c>
      <c r="CE294" s="136">
        <f t="shared" si="606"/>
        <v>0</v>
      </c>
      <c r="CF294" s="136">
        <f t="shared" si="606"/>
        <v>0</v>
      </c>
      <c r="CG294" s="136">
        <f t="shared" si="606"/>
        <v>0</v>
      </c>
      <c r="CH294" s="136">
        <f t="shared" si="606"/>
        <v>0</v>
      </c>
      <c r="CI294" s="136">
        <f t="shared" si="606"/>
        <v>0</v>
      </c>
      <c r="CJ294" s="136">
        <f t="shared" si="606"/>
        <v>0</v>
      </c>
      <c r="CK294" s="136">
        <f t="shared" si="606"/>
        <v>0</v>
      </c>
      <c r="CL294" s="136">
        <f t="shared" si="606"/>
        <v>0</v>
      </c>
      <c r="CM294" s="136">
        <f t="shared" si="606"/>
        <v>0</v>
      </c>
      <c r="CN294" s="136">
        <f t="shared" si="606"/>
        <v>0</v>
      </c>
      <c r="CO294" s="136">
        <f t="shared" si="606"/>
        <v>0</v>
      </c>
      <c r="CP294" s="136">
        <f t="shared" si="606"/>
        <v>0</v>
      </c>
      <c r="CQ294" s="136">
        <f t="shared" si="606"/>
        <v>0</v>
      </c>
      <c r="CR294" s="137">
        <f t="shared" si="560"/>
        <v>8.0578218737662421</v>
      </c>
      <c r="CS294" s="26"/>
      <c r="CT294" s="25"/>
    </row>
    <row r="295" spans="1:98" x14ac:dyDescent="0.3">
      <c r="A295" s="104" t="str">
        <f t="shared" ref="A295:I295" si="607">A83</f>
        <v>Paerata / Pukekohe</v>
      </c>
      <c r="B295" s="104" t="str">
        <f t="shared" si="607"/>
        <v>Pukekohe-Paerata Surrounds</v>
      </c>
      <c r="C295" s="104">
        <f t="shared" si="607"/>
        <v>0</v>
      </c>
      <c r="D295" s="104" t="str">
        <f t="shared" si="607"/>
        <v>Paerata LZ</v>
      </c>
      <c r="E295" s="104" t="str">
        <f t="shared" si="607"/>
        <v>now SULs</v>
      </c>
      <c r="F295" s="104">
        <f t="shared" si="607"/>
        <v>5</v>
      </c>
      <c r="G295" s="104">
        <f t="shared" si="607"/>
        <v>0</v>
      </c>
      <c r="H295" s="104">
        <f t="shared" si="607"/>
        <v>0</v>
      </c>
      <c r="I295" s="104">
        <f t="shared" si="607"/>
        <v>0</v>
      </c>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4"/>
      <c r="AL295" s="104"/>
      <c r="AM295" s="104"/>
      <c r="AN295" s="104"/>
      <c r="AO295" s="104"/>
      <c r="AP295" s="104"/>
      <c r="AQ295" s="104"/>
      <c r="AR295" s="104"/>
      <c r="AS295" s="104"/>
      <c r="AT295" s="104"/>
      <c r="AU295" s="104"/>
      <c r="AV295" s="104"/>
      <c r="AW295" s="104"/>
      <c r="AX295" s="104"/>
      <c r="AY295" s="104"/>
      <c r="AZ295" s="104"/>
      <c r="BA295" s="104"/>
      <c r="BB295" s="104"/>
      <c r="BC295" s="104"/>
      <c r="BD295" s="104"/>
      <c r="BE295" s="104"/>
      <c r="BF295" s="104"/>
      <c r="BG295" s="104"/>
      <c r="BH295" s="104"/>
      <c r="BI295" s="104"/>
      <c r="BJ295" s="104"/>
      <c r="BK295" s="104"/>
      <c r="BL295" s="136">
        <f t="shared" ref="BL295:CQ295" si="608">BL83+BL198</f>
        <v>1.3495763679491675</v>
      </c>
      <c r="BM295" s="136">
        <f t="shared" si="608"/>
        <v>0.74187438502777181</v>
      </c>
      <c r="BN295" s="136">
        <f t="shared" si="608"/>
        <v>0.97772869457327483</v>
      </c>
      <c r="BO295" s="136">
        <f t="shared" si="608"/>
        <v>0.42832110945092811</v>
      </c>
      <c r="BP295" s="136">
        <f t="shared" si="608"/>
        <v>0.73225968077842596</v>
      </c>
      <c r="BQ295" s="136">
        <f t="shared" si="608"/>
        <v>1.8038986176289755</v>
      </c>
      <c r="BR295" s="136">
        <f t="shared" si="608"/>
        <v>1.5830445744908594</v>
      </c>
      <c r="BS295" s="136">
        <f t="shared" si="608"/>
        <v>1.8243663173359701</v>
      </c>
      <c r="BT295" s="136">
        <f t="shared" si="608"/>
        <v>1.5133118373354364</v>
      </c>
      <c r="BU295" s="136">
        <f t="shared" si="608"/>
        <v>0.4745726358258463</v>
      </c>
      <c r="BV295" s="136">
        <f t="shared" si="608"/>
        <v>3.766107374700105</v>
      </c>
      <c r="BW295" s="136">
        <f t="shared" si="608"/>
        <v>4.0819753429863148</v>
      </c>
      <c r="BX295" s="136">
        <f t="shared" si="608"/>
        <v>4.432093713882546</v>
      </c>
      <c r="BY295" s="136">
        <f t="shared" si="608"/>
        <v>4.553294146431571</v>
      </c>
      <c r="BZ295" s="136">
        <f t="shared" si="608"/>
        <v>2.310694650480579</v>
      </c>
      <c r="CA295" s="136">
        <f t="shared" si="608"/>
        <v>2.6598165037686399</v>
      </c>
      <c r="CB295" s="136">
        <f t="shared" si="608"/>
        <v>0.96803048291752958</v>
      </c>
      <c r="CC295" s="136">
        <f t="shared" si="608"/>
        <v>0</v>
      </c>
      <c r="CD295" s="136">
        <f t="shared" si="608"/>
        <v>0</v>
      </c>
      <c r="CE295" s="136">
        <f t="shared" si="608"/>
        <v>0</v>
      </c>
      <c r="CF295" s="136">
        <f t="shared" si="608"/>
        <v>0</v>
      </c>
      <c r="CG295" s="136">
        <f t="shared" si="608"/>
        <v>0</v>
      </c>
      <c r="CH295" s="136">
        <f t="shared" si="608"/>
        <v>0</v>
      </c>
      <c r="CI295" s="136">
        <f t="shared" si="608"/>
        <v>0</v>
      </c>
      <c r="CJ295" s="136">
        <f t="shared" si="608"/>
        <v>0</v>
      </c>
      <c r="CK295" s="136">
        <f t="shared" si="608"/>
        <v>0</v>
      </c>
      <c r="CL295" s="136">
        <f t="shared" si="608"/>
        <v>0</v>
      </c>
      <c r="CM295" s="136">
        <f t="shared" si="608"/>
        <v>0</v>
      </c>
      <c r="CN295" s="136">
        <f t="shared" si="608"/>
        <v>0</v>
      </c>
      <c r="CO295" s="136">
        <f t="shared" si="608"/>
        <v>0</v>
      </c>
      <c r="CP295" s="136">
        <f t="shared" si="608"/>
        <v>0</v>
      </c>
      <c r="CQ295" s="136">
        <f t="shared" si="608"/>
        <v>0</v>
      </c>
      <c r="CR295" s="137">
        <f t="shared" ref="CR295:CR312" si="609">SUM(BL295:CQ295)</f>
        <v>34.200966435563942</v>
      </c>
      <c r="CS295" s="26"/>
      <c r="CT295" s="25"/>
    </row>
    <row r="296" spans="1:98" x14ac:dyDescent="0.3">
      <c r="A296" s="104" t="str">
        <f t="shared" ref="A296:I296" si="610">A84</f>
        <v>Paerata / Pukekohe</v>
      </c>
      <c r="B296" s="104" t="str">
        <f t="shared" si="610"/>
        <v>Pukekohe-Paerata Surrounds</v>
      </c>
      <c r="C296" s="104">
        <f t="shared" si="610"/>
        <v>0</v>
      </c>
      <c r="D296" s="104" t="str">
        <f t="shared" si="610"/>
        <v>Paerata LZ</v>
      </c>
      <c r="E296" s="104" t="str">
        <f t="shared" si="610"/>
        <v>now SULs</v>
      </c>
      <c r="F296" s="104">
        <f t="shared" si="610"/>
        <v>0</v>
      </c>
      <c r="G296" s="104">
        <f t="shared" si="610"/>
        <v>1</v>
      </c>
      <c r="H296" s="104">
        <f t="shared" si="610"/>
        <v>0</v>
      </c>
      <c r="I296" s="104">
        <f t="shared" si="610"/>
        <v>0</v>
      </c>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4"/>
      <c r="AL296" s="104"/>
      <c r="AM296" s="104"/>
      <c r="AN296" s="104"/>
      <c r="AO296" s="104"/>
      <c r="AP296" s="104"/>
      <c r="AQ296" s="104"/>
      <c r="AR296" s="104"/>
      <c r="AS296" s="104"/>
      <c r="AT296" s="104"/>
      <c r="AU296" s="104"/>
      <c r="AV296" s="104"/>
      <c r="AW296" s="104"/>
      <c r="AX296" s="104"/>
      <c r="AY296" s="104"/>
      <c r="AZ296" s="104"/>
      <c r="BA296" s="104"/>
      <c r="BB296" s="104"/>
      <c r="BC296" s="104"/>
      <c r="BD296" s="104"/>
      <c r="BE296" s="104"/>
      <c r="BF296" s="104"/>
      <c r="BG296" s="104"/>
      <c r="BH296" s="104"/>
      <c r="BI296" s="104"/>
      <c r="BJ296" s="104"/>
      <c r="BK296" s="104"/>
      <c r="BL296" s="136">
        <f t="shared" ref="BL296:CQ296" si="611">BL84+BL199</f>
        <v>2.0085716690884143</v>
      </c>
      <c r="BM296" s="136">
        <f t="shared" si="611"/>
        <v>1.1044276778615134</v>
      </c>
      <c r="BN296" s="136">
        <f t="shared" si="611"/>
        <v>1.4556592886959443</v>
      </c>
      <c r="BO296" s="136">
        <f t="shared" si="611"/>
        <v>0.63790917418373472</v>
      </c>
      <c r="BP296" s="136">
        <f t="shared" si="611"/>
        <v>1.0909272155952472</v>
      </c>
      <c r="BQ296" s="136">
        <f t="shared" si="611"/>
        <v>2.6882995377471044</v>
      </c>
      <c r="BR296" s="136">
        <f t="shared" si="611"/>
        <v>2.3598664871721038</v>
      </c>
      <c r="BS296" s="136">
        <f t="shared" si="611"/>
        <v>2.7203779619170598</v>
      </c>
      <c r="BT296" s="136">
        <f t="shared" si="611"/>
        <v>2.2571632155438759</v>
      </c>
      <c r="BU296" s="136">
        <f t="shared" si="611"/>
        <v>0.70802604013718706</v>
      </c>
      <c r="BV296" s="136">
        <f t="shared" si="611"/>
        <v>5.6201272592645672</v>
      </c>
      <c r="BW296" s="136">
        <f t="shared" si="611"/>
        <v>6.0929257157755892</v>
      </c>
      <c r="BX296" s="136">
        <f t="shared" si="611"/>
        <v>6.6170109851110626</v>
      </c>
      <c r="BY296" s="136">
        <f t="shared" si="611"/>
        <v>6.7994159925316735</v>
      </c>
      <c r="BZ296" s="136">
        <f t="shared" si="611"/>
        <v>3.4512563516781132</v>
      </c>
      <c r="CA296" s="136">
        <f t="shared" si="611"/>
        <v>3.9734801933575197</v>
      </c>
      <c r="CB296" s="136">
        <f t="shared" si="611"/>
        <v>1.4464028529678246</v>
      </c>
      <c r="CC296" s="136">
        <f t="shared" si="611"/>
        <v>0</v>
      </c>
      <c r="CD296" s="136">
        <f t="shared" si="611"/>
        <v>0</v>
      </c>
      <c r="CE296" s="136">
        <f t="shared" si="611"/>
        <v>0</v>
      </c>
      <c r="CF296" s="136">
        <f t="shared" si="611"/>
        <v>0</v>
      </c>
      <c r="CG296" s="136">
        <f t="shared" si="611"/>
        <v>0</v>
      </c>
      <c r="CH296" s="136">
        <f t="shared" si="611"/>
        <v>0</v>
      </c>
      <c r="CI296" s="136">
        <f t="shared" si="611"/>
        <v>0</v>
      </c>
      <c r="CJ296" s="136">
        <f t="shared" si="611"/>
        <v>0</v>
      </c>
      <c r="CK296" s="136">
        <f t="shared" si="611"/>
        <v>0</v>
      </c>
      <c r="CL296" s="136">
        <f t="shared" si="611"/>
        <v>0</v>
      </c>
      <c r="CM296" s="136">
        <f t="shared" si="611"/>
        <v>0</v>
      </c>
      <c r="CN296" s="136">
        <f t="shared" si="611"/>
        <v>0</v>
      </c>
      <c r="CO296" s="136">
        <f t="shared" si="611"/>
        <v>0</v>
      </c>
      <c r="CP296" s="136">
        <f t="shared" si="611"/>
        <v>0</v>
      </c>
      <c r="CQ296" s="136">
        <f t="shared" si="611"/>
        <v>0</v>
      </c>
      <c r="CR296" s="137">
        <f t="shared" si="609"/>
        <v>51.031847618628525</v>
      </c>
      <c r="CS296" s="26"/>
      <c r="CT296" s="25"/>
    </row>
    <row r="297" spans="1:98" x14ac:dyDescent="0.3">
      <c r="A297" s="104" t="str">
        <f t="shared" ref="A297:I297" si="612">A85</f>
        <v>Paerata / Pukekohe</v>
      </c>
      <c r="B297" s="104" t="str">
        <f t="shared" si="612"/>
        <v>Pukekohe-Paerata Surrounds</v>
      </c>
      <c r="C297" s="104">
        <f t="shared" si="612"/>
        <v>0</v>
      </c>
      <c r="D297" s="104" t="str">
        <f t="shared" si="612"/>
        <v>Paerata LZ</v>
      </c>
      <c r="E297" s="104" t="str">
        <f t="shared" si="612"/>
        <v>now SULs</v>
      </c>
      <c r="F297" s="104">
        <f t="shared" si="612"/>
        <v>0</v>
      </c>
      <c r="G297" s="104">
        <f t="shared" si="612"/>
        <v>0</v>
      </c>
      <c r="H297" s="104">
        <f t="shared" si="612"/>
        <v>0</v>
      </c>
      <c r="I297" s="104">
        <f t="shared" si="612"/>
        <v>1</v>
      </c>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4"/>
      <c r="AL297" s="104"/>
      <c r="AM297" s="104"/>
      <c r="AN297" s="104"/>
      <c r="AO297" s="104"/>
      <c r="AP297" s="104"/>
      <c r="AQ297" s="104"/>
      <c r="AR297" s="104"/>
      <c r="AS297" s="104"/>
      <c r="AT297" s="104"/>
      <c r="AU297" s="104"/>
      <c r="AV297" s="104"/>
      <c r="AW297" s="104"/>
      <c r="AX297" s="104"/>
      <c r="AY297" s="104"/>
      <c r="AZ297" s="104"/>
      <c r="BA297" s="104"/>
      <c r="BB297" s="104"/>
      <c r="BC297" s="104"/>
      <c r="BD297" s="104"/>
      <c r="BE297" s="104"/>
      <c r="BF297" s="104"/>
      <c r="BG297" s="104"/>
      <c r="BH297" s="104"/>
      <c r="BI297" s="104"/>
      <c r="BJ297" s="104"/>
      <c r="BK297" s="104"/>
      <c r="BL297" s="136">
        <f t="shared" ref="BL297:CQ297" si="613">BL85+BL200</f>
        <v>0.13617247393609652</v>
      </c>
      <c r="BM297" s="136">
        <f t="shared" si="613"/>
        <v>7.4832353862788262E-2</v>
      </c>
      <c r="BN297" s="136">
        <f t="shared" si="613"/>
        <v>9.8613927393017331E-2</v>
      </c>
      <c r="BO297" s="136">
        <f t="shared" si="613"/>
        <v>4.3183840944528012E-2</v>
      </c>
      <c r="BP297" s="136">
        <f t="shared" si="613"/>
        <v>7.379999158341119E-2</v>
      </c>
      <c r="BQ297" s="136">
        <f t="shared" si="613"/>
        <v>0.18173973781646366</v>
      </c>
      <c r="BR297" s="136">
        <f t="shared" si="613"/>
        <v>0.17144242625629177</v>
      </c>
      <c r="BS297" s="136">
        <f t="shared" si="613"/>
        <v>0.1428672147705895</v>
      </c>
      <c r="BT297" s="136">
        <f t="shared" si="613"/>
        <v>4.600580612194155E-2</v>
      </c>
      <c r="BU297" s="136">
        <f t="shared" si="613"/>
        <v>0.3501483793190503</v>
      </c>
      <c r="BV297" s="136">
        <f t="shared" si="613"/>
        <v>0.38344617199921399</v>
      </c>
      <c r="BW297" s="136">
        <f t="shared" si="613"/>
        <v>0.4162128949334391</v>
      </c>
      <c r="BX297" s="136">
        <f t="shared" si="613"/>
        <v>0.42774091329757125</v>
      </c>
      <c r="BY297" s="136">
        <f t="shared" si="613"/>
        <v>0.21938536652041896</v>
      </c>
      <c r="BZ297" s="136">
        <f t="shared" si="613"/>
        <v>0.24945684833034357</v>
      </c>
      <c r="CA297" s="136">
        <f t="shared" si="613"/>
        <v>0.26723123209189792</v>
      </c>
      <c r="CB297" s="136">
        <f t="shared" si="613"/>
        <v>9.7237115323173778E-2</v>
      </c>
      <c r="CC297" s="136">
        <f t="shared" si="613"/>
        <v>0</v>
      </c>
      <c r="CD297" s="136">
        <f t="shared" si="613"/>
        <v>0</v>
      </c>
      <c r="CE297" s="136">
        <f t="shared" si="613"/>
        <v>0</v>
      </c>
      <c r="CF297" s="136">
        <f t="shared" si="613"/>
        <v>0</v>
      </c>
      <c r="CG297" s="136">
        <f t="shared" si="613"/>
        <v>0</v>
      </c>
      <c r="CH297" s="136">
        <f t="shared" si="613"/>
        <v>0</v>
      </c>
      <c r="CI297" s="136">
        <f t="shared" si="613"/>
        <v>0</v>
      </c>
      <c r="CJ297" s="136">
        <f t="shared" si="613"/>
        <v>0</v>
      </c>
      <c r="CK297" s="136">
        <f t="shared" si="613"/>
        <v>0</v>
      </c>
      <c r="CL297" s="136">
        <f t="shared" si="613"/>
        <v>0</v>
      </c>
      <c r="CM297" s="136">
        <f t="shared" si="613"/>
        <v>0</v>
      </c>
      <c r="CN297" s="136">
        <f t="shared" si="613"/>
        <v>0</v>
      </c>
      <c r="CO297" s="136">
        <f t="shared" si="613"/>
        <v>0</v>
      </c>
      <c r="CP297" s="136">
        <f t="shared" si="613"/>
        <v>0</v>
      </c>
      <c r="CQ297" s="136">
        <f t="shared" si="613"/>
        <v>0</v>
      </c>
      <c r="CR297" s="137">
        <f t="shared" si="609"/>
        <v>3.3795166945002371</v>
      </c>
      <c r="CS297" s="26"/>
      <c r="CT297" s="25"/>
    </row>
    <row r="298" spans="1:98" x14ac:dyDescent="0.3">
      <c r="A298" s="104" t="str">
        <f t="shared" ref="A298:I298" si="614">A86</f>
        <v>Paerata / Pukekohe</v>
      </c>
      <c r="B298" s="104" t="str">
        <f t="shared" si="614"/>
        <v>Pukekohe-Paerata Surrounds</v>
      </c>
      <c r="C298" s="104">
        <f t="shared" si="614"/>
        <v>0</v>
      </c>
      <c r="D298" s="104" t="str">
        <f t="shared" si="614"/>
        <v>Paerata West, Pukekohe North-east, North-west, South-east</v>
      </c>
      <c r="E298" s="104">
        <f t="shared" si="614"/>
        <v>0</v>
      </c>
      <c r="F298" s="104">
        <f t="shared" si="614"/>
        <v>14</v>
      </c>
      <c r="G298" s="104">
        <f t="shared" si="614"/>
        <v>0</v>
      </c>
      <c r="H298" s="104">
        <f t="shared" si="614"/>
        <v>0</v>
      </c>
      <c r="I298" s="104">
        <f t="shared" si="614"/>
        <v>0</v>
      </c>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4"/>
      <c r="AL298" s="104"/>
      <c r="AM298" s="104"/>
      <c r="AN298" s="104"/>
      <c r="AO298" s="104"/>
      <c r="AP298" s="104"/>
      <c r="AQ298" s="104"/>
      <c r="AR298" s="104"/>
      <c r="AS298" s="104"/>
      <c r="AT298" s="104"/>
      <c r="AU298" s="104"/>
      <c r="AV298" s="104"/>
      <c r="AW298" s="104"/>
      <c r="AX298" s="104"/>
      <c r="AY298" s="104"/>
      <c r="AZ298" s="104"/>
      <c r="BA298" s="104"/>
      <c r="BB298" s="104"/>
      <c r="BC298" s="104"/>
      <c r="BD298" s="104"/>
      <c r="BE298" s="104"/>
      <c r="BF298" s="104"/>
      <c r="BG298" s="104"/>
      <c r="BH298" s="104"/>
      <c r="BI298" s="104"/>
      <c r="BJ298" s="104"/>
      <c r="BK298" s="104"/>
      <c r="BL298" s="136">
        <f t="shared" ref="BL298:CQ298" si="615">BL86+BL201</f>
        <v>0</v>
      </c>
      <c r="BM298" s="136">
        <f t="shared" si="615"/>
        <v>0</v>
      </c>
      <c r="BN298" s="136">
        <f t="shared" si="615"/>
        <v>0</v>
      </c>
      <c r="BO298" s="136">
        <f t="shared" si="615"/>
        <v>0</v>
      </c>
      <c r="BP298" s="136">
        <f t="shared" si="615"/>
        <v>0</v>
      </c>
      <c r="BQ298" s="136">
        <f t="shared" si="615"/>
        <v>0</v>
      </c>
      <c r="BR298" s="136">
        <f t="shared" si="615"/>
        <v>0</v>
      </c>
      <c r="BS298" s="136">
        <f t="shared" si="615"/>
        <v>0</v>
      </c>
      <c r="BT298" s="136">
        <f t="shared" si="615"/>
        <v>0</v>
      </c>
      <c r="BU298" s="136">
        <f t="shared" si="615"/>
        <v>0</v>
      </c>
      <c r="BV298" s="136">
        <f t="shared" si="615"/>
        <v>0</v>
      </c>
      <c r="BW298" s="136">
        <f t="shared" si="615"/>
        <v>0.80473873727139367</v>
      </c>
      <c r="BX298" s="136">
        <f t="shared" si="615"/>
        <v>0.86038006962653113</v>
      </c>
      <c r="BY298" s="136">
        <f t="shared" si="615"/>
        <v>0.91993904398307835</v>
      </c>
      <c r="BZ298" s="136">
        <f t="shared" si="615"/>
        <v>0.98369308928602794</v>
      </c>
      <c r="CA298" s="136">
        <f t="shared" si="615"/>
        <v>2.576971197386658</v>
      </c>
      <c r="CB298" s="136">
        <f t="shared" si="615"/>
        <v>2.7574895110601556</v>
      </c>
      <c r="CC298" s="136">
        <f t="shared" si="615"/>
        <v>2.950770798894971</v>
      </c>
      <c r="CD298" s="136">
        <f t="shared" si="615"/>
        <v>3.1577200478821483</v>
      </c>
      <c r="CE298" s="136">
        <f t="shared" si="615"/>
        <v>31.049737672499248</v>
      </c>
      <c r="CF298" s="136">
        <f t="shared" si="615"/>
        <v>33.248337590344683</v>
      </c>
      <c r="CG298" s="136">
        <f t="shared" si="615"/>
        <v>35.602907610305309</v>
      </c>
      <c r="CH298" s="136">
        <f t="shared" si="615"/>
        <v>0</v>
      </c>
      <c r="CI298" s="136">
        <f t="shared" si="615"/>
        <v>0</v>
      </c>
      <c r="CJ298" s="136">
        <f t="shared" si="615"/>
        <v>0</v>
      </c>
      <c r="CK298" s="136">
        <f t="shared" si="615"/>
        <v>0</v>
      </c>
      <c r="CL298" s="136">
        <f t="shared" si="615"/>
        <v>0</v>
      </c>
      <c r="CM298" s="136">
        <f t="shared" si="615"/>
        <v>0</v>
      </c>
      <c r="CN298" s="136">
        <f t="shared" si="615"/>
        <v>0</v>
      </c>
      <c r="CO298" s="136">
        <f t="shared" si="615"/>
        <v>0</v>
      </c>
      <c r="CP298" s="136">
        <f t="shared" si="615"/>
        <v>0</v>
      </c>
      <c r="CQ298" s="136">
        <f t="shared" si="615"/>
        <v>0</v>
      </c>
      <c r="CR298" s="137">
        <f t="shared" si="609"/>
        <v>114.91268536854021</v>
      </c>
      <c r="CS298" s="26"/>
      <c r="CT298" s="25"/>
    </row>
    <row r="299" spans="1:98" x14ac:dyDescent="0.3">
      <c r="A299" s="104" t="str">
        <f t="shared" ref="A299:I299" si="616">A87</f>
        <v>Paerata / Pukekohe</v>
      </c>
      <c r="B299" s="104" t="str">
        <f t="shared" si="616"/>
        <v>Pukekohe-Paerata Surrounds</v>
      </c>
      <c r="C299" s="104">
        <f t="shared" si="616"/>
        <v>0</v>
      </c>
      <c r="D299" s="104" t="str">
        <f t="shared" si="616"/>
        <v>Paerata West, Pukekohe North-east, North-west, South-east</v>
      </c>
      <c r="E299" s="104">
        <f t="shared" si="616"/>
        <v>0</v>
      </c>
      <c r="F299" s="104">
        <f t="shared" si="616"/>
        <v>0</v>
      </c>
      <c r="G299" s="104">
        <f t="shared" si="616"/>
        <v>2</v>
      </c>
      <c r="H299" s="104">
        <f t="shared" si="616"/>
        <v>0</v>
      </c>
      <c r="I299" s="104">
        <f t="shared" si="616"/>
        <v>0</v>
      </c>
      <c r="J299" s="104"/>
      <c r="K299" s="104"/>
      <c r="L299" s="104"/>
      <c r="M299" s="104"/>
      <c r="N299" s="104"/>
      <c r="O299" s="104"/>
      <c r="P299" s="104"/>
      <c r="Q299" s="104"/>
      <c r="R299" s="104"/>
      <c r="S299" s="104"/>
      <c r="T299" s="104"/>
      <c r="U299" s="104"/>
      <c r="V299" s="104"/>
      <c r="W299" s="104"/>
      <c r="X299" s="104"/>
      <c r="Y299" s="104"/>
      <c r="Z299" s="104"/>
      <c r="AA299" s="104"/>
      <c r="AB299" s="104"/>
      <c r="AC299" s="104"/>
      <c r="AD299" s="104"/>
      <c r="AE299" s="104"/>
      <c r="AF299" s="104"/>
      <c r="AG299" s="104"/>
      <c r="AH299" s="104"/>
      <c r="AI299" s="104"/>
      <c r="AJ299" s="104"/>
      <c r="AK299" s="104"/>
      <c r="AL299" s="104"/>
      <c r="AM299" s="104"/>
      <c r="AN299" s="104"/>
      <c r="AO299" s="104"/>
      <c r="AP299" s="104"/>
      <c r="AQ299" s="104"/>
      <c r="AR299" s="104"/>
      <c r="AS299" s="104"/>
      <c r="AT299" s="104"/>
      <c r="AU299" s="104"/>
      <c r="AV299" s="104"/>
      <c r="AW299" s="104"/>
      <c r="AX299" s="104"/>
      <c r="AY299" s="104"/>
      <c r="AZ299" s="104"/>
      <c r="BA299" s="104"/>
      <c r="BB299" s="104"/>
      <c r="BC299" s="104"/>
      <c r="BD299" s="104"/>
      <c r="BE299" s="104"/>
      <c r="BF299" s="104"/>
      <c r="BG299" s="104"/>
      <c r="BH299" s="104"/>
      <c r="BI299" s="104"/>
      <c r="BJ299" s="104"/>
      <c r="BK299" s="104"/>
      <c r="BL299" s="136">
        <f t="shared" ref="BL299:CQ299" si="617">BL87+BL202</f>
        <v>0</v>
      </c>
      <c r="BM299" s="136">
        <f t="shared" si="617"/>
        <v>0</v>
      </c>
      <c r="BN299" s="136">
        <f t="shared" si="617"/>
        <v>0</v>
      </c>
      <c r="BO299" s="136">
        <f t="shared" si="617"/>
        <v>0</v>
      </c>
      <c r="BP299" s="136">
        <f t="shared" si="617"/>
        <v>0</v>
      </c>
      <c r="BQ299" s="136">
        <f t="shared" si="617"/>
        <v>0</v>
      </c>
      <c r="BR299" s="136">
        <f t="shared" si="617"/>
        <v>0</v>
      </c>
      <c r="BS299" s="136">
        <f t="shared" si="617"/>
        <v>0</v>
      </c>
      <c r="BT299" s="136">
        <f t="shared" si="617"/>
        <v>0.49753315935117881</v>
      </c>
      <c r="BU299" s="136">
        <f t="shared" si="617"/>
        <v>0.53265792396188261</v>
      </c>
      <c r="BV299" s="136">
        <f t="shared" si="617"/>
        <v>0.57027214488647526</v>
      </c>
      <c r="BW299" s="136">
        <f t="shared" si="617"/>
        <v>2.084717339685735</v>
      </c>
      <c r="BX299" s="136">
        <f t="shared" si="617"/>
        <v>2.2321983000923038</v>
      </c>
      <c r="BY299" s="136">
        <f t="shared" si="617"/>
        <v>2.3901386613320939</v>
      </c>
      <c r="BZ299" s="136">
        <f t="shared" si="617"/>
        <v>2.5592807824224408</v>
      </c>
      <c r="CA299" s="136">
        <f t="shared" si="617"/>
        <v>2.2622297043814181</v>
      </c>
      <c r="CB299" s="136">
        <f t="shared" si="617"/>
        <v>2.4225567465661948</v>
      </c>
      <c r="CC299" s="136">
        <f t="shared" si="617"/>
        <v>2.5942606008759115</v>
      </c>
      <c r="CD299" s="136">
        <f t="shared" si="617"/>
        <v>2.7781488799982959</v>
      </c>
      <c r="CE299" s="136">
        <f t="shared" si="617"/>
        <v>6.6310344750906456</v>
      </c>
      <c r="CF299" s="136">
        <f t="shared" si="617"/>
        <v>7.1016684526248808</v>
      </c>
      <c r="CG299" s="136">
        <f t="shared" si="617"/>
        <v>7.6057137142197071</v>
      </c>
      <c r="CH299" s="136">
        <f t="shared" si="617"/>
        <v>0</v>
      </c>
      <c r="CI299" s="136">
        <f t="shared" si="617"/>
        <v>0</v>
      </c>
      <c r="CJ299" s="136">
        <f t="shared" si="617"/>
        <v>0</v>
      </c>
      <c r="CK299" s="136">
        <f t="shared" si="617"/>
        <v>0</v>
      </c>
      <c r="CL299" s="136">
        <f t="shared" si="617"/>
        <v>0</v>
      </c>
      <c r="CM299" s="136">
        <f t="shared" si="617"/>
        <v>0</v>
      </c>
      <c r="CN299" s="136">
        <f t="shared" si="617"/>
        <v>0</v>
      </c>
      <c r="CO299" s="136">
        <f t="shared" si="617"/>
        <v>0</v>
      </c>
      <c r="CP299" s="136">
        <f t="shared" si="617"/>
        <v>0</v>
      </c>
      <c r="CQ299" s="136">
        <f t="shared" si="617"/>
        <v>0</v>
      </c>
      <c r="CR299" s="137">
        <f t="shared" si="609"/>
        <v>42.26241088548916</v>
      </c>
      <c r="CS299" s="26"/>
      <c r="CT299" s="25"/>
    </row>
    <row r="300" spans="1:98" x14ac:dyDescent="0.3">
      <c r="A300" s="104" t="str">
        <f t="shared" ref="A300:I300" si="618">A88</f>
        <v>Paerata / Pukekohe</v>
      </c>
      <c r="B300" s="104" t="str">
        <f t="shared" si="618"/>
        <v>Pukekohe-Paerata Surrounds</v>
      </c>
      <c r="C300" s="104">
        <f t="shared" si="618"/>
        <v>0</v>
      </c>
      <c r="D300" s="104" t="str">
        <f t="shared" si="618"/>
        <v>Paerata West, Pukekohe North-east, North-west, South-east</v>
      </c>
      <c r="E300" s="104">
        <f t="shared" si="618"/>
        <v>0</v>
      </c>
      <c r="F300" s="104">
        <f t="shared" si="618"/>
        <v>0</v>
      </c>
      <c r="G300" s="104">
        <f t="shared" si="618"/>
        <v>0</v>
      </c>
      <c r="H300" s="104">
        <f t="shared" si="618"/>
        <v>0</v>
      </c>
      <c r="I300" s="104">
        <f t="shared" si="618"/>
        <v>0.5</v>
      </c>
      <c r="J300" s="104"/>
      <c r="K300" s="104"/>
      <c r="L300" s="104"/>
      <c r="M300" s="104"/>
      <c r="N300" s="104"/>
      <c r="O300" s="104"/>
      <c r="P300" s="104"/>
      <c r="Q300" s="104"/>
      <c r="R300" s="104"/>
      <c r="S300" s="104"/>
      <c r="T300" s="104"/>
      <c r="U300" s="104"/>
      <c r="V300" s="104"/>
      <c r="W300" s="104"/>
      <c r="X300" s="104"/>
      <c r="Y300" s="104"/>
      <c r="Z300" s="104"/>
      <c r="AA300" s="104"/>
      <c r="AB300" s="104"/>
      <c r="AC300" s="104"/>
      <c r="AD300" s="104"/>
      <c r="AE300" s="104"/>
      <c r="AF300" s="104"/>
      <c r="AG300" s="104"/>
      <c r="AH300" s="104"/>
      <c r="AI300" s="104"/>
      <c r="AJ300" s="104"/>
      <c r="AK300" s="104"/>
      <c r="AL300" s="104"/>
      <c r="AM300" s="104"/>
      <c r="AN300" s="104"/>
      <c r="AO300" s="104"/>
      <c r="AP300" s="104"/>
      <c r="AQ300" s="104"/>
      <c r="AR300" s="104"/>
      <c r="AS300" s="104"/>
      <c r="AT300" s="104"/>
      <c r="AU300" s="104"/>
      <c r="AV300" s="104"/>
      <c r="AW300" s="104"/>
      <c r="AX300" s="104"/>
      <c r="AY300" s="104"/>
      <c r="AZ300" s="104"/>
      <c r="BA300" s="104"/>
      <c r="BB300" s="104"/>
      <c r="BC300" s="104"/>
      <c r="BD300" s="104"/>
      <c r="BE300" s="104"/>
      <c r="BF300" s="104"/>
      <c r="BG300" s="104"/>
      <c r="BH300" s="104"/>
      <c r="BI300" s="104"/>
      <c r="BJ300" s="104"/>
      <c r="BK300" s="104"/>
      <c r="BL300" s="136">
        <f t="shared" ref="BL300:CQ300" si="619">BL88+BL203</f>
        <v>0</v>
      </c>
      <c r="BM300" s="136">
        <f t="shared" si="619"/>
        <v>0</v>
      </c>
      <c r="BN300" s="136">
        <f t="shared" si="619"/>
        <v>0</v>
      </c>
      <c r="BO300" s="136">
        <f t="shared" si="619"/>
        <v>0</v>
      </c>
      <c r="BP300" s="136">
        <f t="shared" si="619"/>
        <v>0</v>
      </c>
      <c r="BQ300" s="136">
        <f t="shared" si="619"/>
        <v>0</v>
      </c>
      <c r="BR300" s="136">
        <f t="shared" si="619"/>
        <v>0</v>
      </c>
      <c r="BS300" s="136">
        <f t="shared" si="619"/>
        <v>0</v>
      </c>
      <c r="BT300" s="136">
        <f t="shared" si="619"/>
        <v>0</v>
      </c>
      <c r="BU300" s="136">
        <f t="shared" si="619"/>
        <v>0</v>
      </c>
      <c r="BV300" s="136">
        <f t="shared" si="619"/>
        <v>0</v>
      </c>
      <c r="BW300" s="136">
        <f t="shared" si="619"/>
        <v>0</v>
      </c>
      <c r="BX300" s="136">
        <f t="shared" si="619"/>
        <v>0</v>
      </c>
      <c r="BY300" s="136">
        <f t="shared" si="619"/>
        <v>0</v>
      </c>
      <c r="BZ300" s="136">
        <f t="shared" si="619"/>
        <v>0</v>
      </c>
      <c r="CA300" s="136">
        <f t="shared" si="619"/>
        <v>8.1153737059529954E-2</v>
      </c>
      <c r="CB300" s="136">
        <f t="shared" si="619"/>
        <v>8.6624385564452455E-2</v>
      </c>
      <c r="CC300" s="136">
        <f t="shared" si="619"/>
        <v>9.2477042243045773E-2</v>
      </c>
      <c r="CD300" s="136">
        <f t="shared" si="619"/>
        <v>9.873868870249658E-2</v>
      </c>
      <c r="CE300" s="136">
        <f t="shared" si="619"/>
        <v>0.56094443026912211</v>
      </c>
      <c r="CF300" s="136">
        <f t="shared" si="619"/>
        <v>0.60034780932522946</v>
      </c>
      <c r="CG300" s="136">
        <f t="shared" si="619"/>
        <v>0.64253950743347443</v>
      </c>
      <c r="CH300" s="136">
        <f t="shared" si="619"/>
        <v>0</v>
      </c>
      <c r="CI300" s="136">
        <f t="shared" si="619"/>
        <v>0</v>
      </c>
      <c r="CJ300" s="136">
        <f t="shared" si="619"/>
        <v>0</v>
      </c>
      <c r="CK300" s="136">
        <f t="shared" si="619"/>
        <v>0</v>
      </c>
      <c r="CL300" s="136">
        <f t="shared" si="619"/>
        <v>0</v>
      </c>
      <c r="CM300" s="136">
        <f t="shared" si="619"/>
        <v>0</v>
      </c>
      <c r="CN300" s="136">
        <f t="shared" si="619"/>
        <v>0</v>
      </c>
      <c r="CO300" s="136">
        <f t="shared" si="619"/>
        <v>0</v>
      </c>
      <c r="CP300" s="136">
        <f t="shared" si="619"/>
        <v>0</v>
      </c>
      <c r="CQ300" s="136">
        <f t="shared" si="619"/>
        <v>0</v>
      </c>
      <c r="CR300" s="137">
        <f t="shared" si="609"/>
        <v>2.1628256005973507</v>
      </c>
      <c r="CS300" s="26"/>
      <c r="CT300" s="25"/>
    </row>
    <row r="301" spans="1:98" x14ac:dyDescent="0.3">
      <c r="A301" s="104" t="str">
        <f t="shared" ref="A301:I301" si="620">A89</f>
        <v>Paerata / Pukekohe</v>
      </c>
      <c r="B301" s="104" t="str">
        <f t="shared" si="620"/>
        <v>Pukekohe-Paerata Surrounds</v>
      </c>
      <c r="C301" s="104">
        <f t="shared" si="620"/>
        <v>0</v>
      </c>
      <c r="D301" s="104" t="str">
        <f t="shared" si="620"/>
        <v>Paerata South</v>
      </c>
      <c r="E301" s="104">
        <f t="shared" si="620"/>
        <v>0</v>
      </c>
      <c r="F301" s="104">
        <f t="shared" si="620"/>
        <v>3</v>
      </c>
      <c r="G301" s="104">
        <f t="shared" si="620"/>
        <v>0</v>
      </c>
      <c r="H301" s="104">
        <f t="shared" si="620"/>
        <v>0</v>
      </c>
      <c r="I301" s="104">
        <f t="shared" si="620"/>
        <v>0</v>
      </c>
      <c r="J301" s="104"/>
      <c r="K301" s="104"/>
      <c r="L301" s="104"/>
      <c r="M301" s="104"/>
      <c r="N301" s="104"/>
      <c r="O301" s="104"/>
      <c r="P301" s="104"/>
      <c r="Q301" s="104"/>
      <c r="R301" s="104"/>
      <c r="S301" s="104"/>
      <c r="T301" s="104"/>
      <c r="U301" s="104"/>
      <c r="V301" s="104"/>
      <c r="W301" s="104"/>
      <c r="X301" s="104"/>
      <c r="Y301" s="104"/>
      <c r="Z301" s="104"/>
      <c r="AA301" s="104"/>
      <c r="AB301" s="104"/>
      <c r="AC301" s="104"/>
      <c r="AD301" s="104"/>
      <c r="AE301" s="104"/>
      <c r="AF301" s="104"/>
      <c r="AG301" s="104"/>
      <c r="AH301" s="104"/>
      <c r="AI301" s="104"/>
      <c r="AJ301" s="104"/>
      <c r="AK301" s="104"/>
      <c r="AL301" s="104"/>
      <c r="AM301" s="104"/>
      <c r="AN301" s="104"/>
      <c r="AO301" s="104"/>
      <c r="AP301" s="104"/>
      <c r="AQ301" s="104"/>
      <c r="AR301" s="104"/>
      <c r="AS301" s="104"/>
      <c r="AT301" s="104"/>
      <c r="AU301" s="104"/>
      <c r="AV301" s="104"/>
      <c r="AW301" s="104"/>
      <c r="AX301" s="104"/>
      <c r="AY301" s="104"/>
      <c r="AZ301" s="104"/>
      <c r="BA301" s="104"/>
      <c r="BB301" s="104"/>
      <c r="BC301" s="104"/>
      <c r="BD301" s="104"/>
      <c r="BE301" s="104"/>
      <c r="BF301" s="104"/>
      <c r="BG301" s="104"/>
      <c r="BH301" s="104"/>
      <c r="BI301" s="104"/>
      <c r="BJ301" s="104"/>
      <c r="BK301" s="104"/>
      <c r="BL301" s="136">
        <f t="shared" ref="BL301:CQ301" si="621">BL89+BL204</f>
        <v>0</v>
      </c>
      <c r="BM301" s="136">
        <f t="shared" si="621"/>
        <v>0</v>
      </c>
      <c r="BN301" s="136">
        <f t="shared" si="621"/>
        <v>0</v>
      </c>
      <c r="BO301" s="136">
        <f t="shared" si="621"/>
        <v>0</v>
      </c>
      <c r="BP301" s="136">
        <f t="shared" si="621"/>
        <v>0</v>
      </c>
      <c r="BQ301" s="136">
        <f t="shared" si="621"/>
        <v>0</v>
      </c>
      <c r="BR301" s="136">
        <f t="shared" si="621"/>
        <v>0.20058353428548359</v>
      </c>
      <c r="BS301" s="136">
        <f t="shared" si="621"/>
        <v>0.21453761323078524</v>
      </c>
      <c r="BT301" s="136">
        <f t="shared" si="621"/>
        <v>0.22947611003744608</v>
      </c>
      <c r="BU301" s="136">
        <f t="shared" si="621"/>
        <v>1.0075992376944187</v>
      </c>
      <c r="BV301" s="136">
        <f t="shared" si="621"/>
        <v>1.6182480690835064</v>
      </c>
      <c r="BW301" s="136">
        <f t="shared" si="621"/>
        <v>1.7326734533778612</v>
      </c>
      <c r="BX301" s="136">
        <f t="shared" si="621"/>
        <v>1.8552126949276826</v>
      </c>
      <c r="BY301" s="136">
        <f t="shared" si="621"/>
        <v>1.9864416500074615</v>
      </c>
      <c r="BZ301" s="136">
        <f t="shared" si="621"/>
        <v>4.7266156792892939</v>
      </c>
      <c r="CA301" s="136">
        <f t="shared" si="621"/>
        <v>5.0610654049403436</v>
      </c>
      <c r="CB301" s="136">
        <f t="shared" si="621"/>
        <v>5.4192359813858904</v>
      </c>
      <c r="CC301" s="136">
        <f t="shared" si="621"/>
        <v>0</v>
      </c>
      <c r="CD301" s="136">
        <f t="shared" si="621"/>
        <v>0</v>
      </c>
      <c r="CE301" s="136">
        <f t="shared" si="621"/>
        <v>0</v>
      </c>
      <c r="CF301" s="136">
        <f t="shared" si="621"/>
        <v>0</v>
      </c>
      <c r="CG301" s="136">
        <f t="shared" si="621"/>
        <v>0</v>
      </c>
      <c r="CH301" s="136">
        <f t="shared" si="621"/>
        <v>0</v>
      </c>
      <c r="CI301" s="136">
        <f t="shared" si="621"/>
        <v>0</v>
      </c>
      <c r="CJ301" s="136">
        <f t="shared" si="621"/>
        <v>0</v>
      </c>
      <c r="CK301" s="136">
        <f t="shared" si="621"/>
        <v>0</v>
      </c>
      <c r="CL301" s="136">
        <f t="shared" si="621"/>
        <v>0</v>
      </c>
      <c r="CM301" s="136">
        <f t="shared" si="621"/>
        <v>0</v>
      </c>
      <c r="CN301" s="136">
        <f t="shared" si="621"/>
        <v>0</v>
      </c>
      <c r="CO301" s="136">
        <f t="shared" si="621"/>
        <v>0</v>
      </c>
      <c r="CP301" s="136">
        <f t="shared" si="621"/>
        <v>0</v>
      </c>
      <c r="CQ301" s="136">
        <f t="shared" si="621"/>
        <v>0</v>
      </c>
      <c r="CR301" s="137">
        <f t="shared" si="609"/>
        <v>24.051689428260175</v>
      </c>
      <c r="CS301" s="26"/>
      <c r="CT301" s="25"/>
    </row>
    <row r="302" spans="1:98" x14ac:dyDescent="0.3">
      <c r="A302" s="104" t="str">
        <f t="shared" ref="A302:I302" si="622">A90</f>
        <v>Paerata / Pukekohe</v>
      </c>
      <c r="B302" s="104" t="str">
        <f t="shared" si="622"/>
        <v>Pukekohe-Paerata Surrounds</v>
      </c>
      <c r="C302" s="104">
        <f t="shared" si="622"/>
        <v>0</v>
      </c>
      <c r="D302" s="104" t="str">
        <f t="shared" si="622"/>
        <v>Paerata South</v>
      </c>
      <c r="E302" s="104">
        <f t="shared" si="622"/>
        <v>0</v>
      </c>
      <c r="F302" s="104">
        <f t="shared" si="622"/>
        <v>0</v>
      </c>
      <c r="G302" s="104">
        <f t="shared" si="622"/>
        <v>1</v>
      </c>
      <c r="H302" s="104">
        <f t="shared" si="622"/>
        <v>0</v>
      </c>
      <c r="I302" s="104">
        <f t="shared" si="622"/>
        <v>0</v>
      </c>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4"/>
      <c r="AL302" s="104"/>
      <c r="AM302" s="104"/>
      <c r="AN302" s="104"/>
      <c r="AO302" s="104"/>
      <c r="AP302" s="104"/>
      <c r="AQ302" s="104"/>
      <c r="AR302" s="104"/>
      <c r="AS302" s="104"/>
      <c r="AT302" s="104"/>
      <c r="AU302" s="104"/>
      <c r="AV302" s="104"/>
      <c r="AW302" s="104"/>
      <c r="AX302" s="104"/>
      <c r="AY302" s="104"/>
      <c r="AZ302" s="104"/>
      <c r="BA302" s="104"/>
      <c r="BB302" s="104"/>
      <c r="BC302" s="104"/>
      <c r="BD302" s="104"/>
      <c r="BE302" s="104"/>
      <c r="BF302" s="104"/>
      <c r="BG302" s="104"/>
      <c r="BH302" s="104"/>
      <c r="BI302" s="104"/>
      <c r="BJ302" s="104"/>
      <c r="BK302" s="104"/>
      <c r="BL302" s="136">
        <f t="shared" ref="BL302:CQ302" si="623">BL90+BL205</f>
        <v>0.2141891070674431</v>
      </c>
      <c r="BM302" s="136">
        <f t="shared" si="623"/>
        <v>0.16063196419601536</v>
      </c>
      <c r="BN302" s="136">
        <f t="shared" si="623"/>
        <v>0.21170104083492791</v>
      </c>
      <c r="BO302" s="136">
        <f t="shared" si="623"/>
        <v>9.2744285381128569E-2</v>
      </c>
      <c r="BP302" s="136">
        <f t="shared" si="623"/>
        <v>0.15856059358439756</v>
      </c>
      <c r="BQ302" s="136">
        <f t="shared" si="623"/>
        <v>0.64425970089890328</v>
      </c>
      <c r="BR302" s="136">
        <f t="shared" si="623"/>
        <v>0.56546720895717628</v>
      </c>
      <c r="BS302" s="136">
        <f t="shared" si="623"/>
        <v>0.65176165622711357</v>
      </c>
      <c r="BT302" s="136">
        <f t="shared" si="623"/>
        <v>0.54071054768156801</v>
      </c>
      <c r="BU302" s="136">
        <f t="shared" si="623"/>
        <v>0.70802604013718706</v>
      </c>
      <c r="BV302" s="136">
        <f t="shared" si="623"/>
        <v>5.6201272592645681</v>
      </c>
      <c r="BW302" s="136">
        <f t="shared" si="623"/>
        <v>6.0929257157755892</v>
      </c>
      <c r="BX302" s="136">
        <f t="shared" si="623"/>
        <v>6.6170109851110626</v>
      </c>
      <c r="BY302" s="136">
        <f t="shared" si="623"/>
        <v>6.7994159925316735</v>
      </c>
      <c r="BZ302" s="136">
        <f t="shared" si="623"/>
        <v>3.4512563516781132</v>
      </c>
      <c r="CA302" s="136">
        <f t="shared" si="623"/>
        <v>3.9734801933575197</v>
      </c>
      <c r="CB302" s="136">
        <f t="shared" si="623"/>
        <v>1.4464028529678243</v>
      </c>
      <c r="CC302" s="136">
        <f t="shared" si="623"/>
        <v>0</v>
      </c>
      <c r="CD302" s="136">
        <f t="shared" si="623"/>
        <v>0</v>
      </c>
      <c r="CE302" s="136">
        <f t="shared" si="623"/>
        <v>0</v>
      </c>
      <c r="CF302" s="136">
        <f t="shared" si="623"/>
        <v>0</v>
      </c>
      <c r="CG302" s="136">
        <f t="shared" si="623"/>
        <v>0</v>
      </c>
      <c r="CH302" s="136">
        <f t="shared" si="623"/>
        <v>0</v>
      </c>
      <c r="CI302" s="136">
        <f t="shared" si="623"/>
        <v>0</v>
      </c>
      <c r="CJ302" s="136">
        <f t="shared" si="623"/>
        <v>0</v>
      </c>
      <c r="CK302" s="136">
        <f t="shared" si="623"/>
        <v>0</v>
      </c>
      <c r="CL302" s="136">
        <f t="shared" si="623"/>
        <v>0</v>
      </c>
      <c r="CM302" s="136">
        <f t="shared" si="623"/>
        <v>0</v>
      </c>
      <c r="CN302" s="136">
        <f t="shared" si="623"/>
        <v>0</v>
      </c>
      <c r="CO302" s="136">
        <f t="shared" si="623"/>
        <v>0</v>
      </c>
      <c r="CP302" s="136">
        <f t="shared" si="623"/>
        <v>0</v>
      </c>
      <c r="CQ302" s="136">
        <f t="shared" si="623"/>
        <v>0</v>
      </c>
      <c r="CR302" s="137">
        <f t="shared" si="609"/>
        <v>37.948671495652206</v>
      </c>
      <c r="CS302" s="26"/>
      <c r="CT302" s="25"/>
    </row>
    <row r="303" spans="1:98" x14ac:dyDescent="0.3">
      <c r="A303" s="104" t="str">
        <f t="shared" ref="A303:I303" si="624">A91</f>
        <v>Paerata / Pukekohe</v>
      </c>
      <c r="B303" s="104" t="str">
        <f t="shared" si="624"/>
        <v>Pukekohe-Paerata Surrounds</v>
      </c>
      <c r="C303" s="104">
        <f t="shared" si="624"/>
        <v>0</v>
      </c>
      <c r="D303" s="104" t="str">
        <f t="shared" si="624"/>
        <v>Pukekohe East, South-west</v>
      </c>
      <c r="E303" s="104" t="str">
        <f t="shared" si="624"/>
        <v>and 1 in Puke-West</v>
      </c>
      <c r="F303" s="104">
        <f t="shared" si="624"/>
        <v>11</v>
      </c>
      <c r="G303" s="104">
        <f t="shared" si="624"/>
        <v>0</v>
      </c>
      <c r="H303" s="104">
        <f t="shared" si="624"/>
        <v>0</v>
      </c>
      <c r="I303" s="104">
        <f t="shared" si="624"/>
        <v>0</v>
      </c>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4"/>
      <c r="AL303" s="104"/>
      <c r="AM303" s="104"/>
      <c r="AN303" s="104"/>
      <c r="AO303" s="104"/>
      <c r="AP303" s="104"/>
      <c r="AQ303" s="104"/>
      <c r="AR303" s="104"/>
      <c r="AS303" s="104"/>
      <c r="AT303" s="104"/>
      <c r="AU303" s="104"/>
      <c r="AV303" s="104"/>
      <c r="AW303" s="104"/>
      <c r="AX303" s="104"/>
      <c r="AY303" s="104"/>
      <c r="AZ303" s="104"/>
      <c r="BA303" s="104"/>
      <c r="BB303" s="104"/>
      <c r="BC303" s="104"/>
      <c r="BD303" s="104"/>
      <c r="BE303" s="104"/>
      <c r="BF303" s="104"/>
      <c r="BG303" s="104"/>
      <c r="BH303" s="104"/>
      <c r="BI303" s="104"/>
      <c r="BJ303" s="104"/>
      <c r="BK303" s="104"/>
      <c r="BL303" s="136">
        <f t="shared" ref="BL303:CQ303" si="625">BL91+BL206</f>
        <v>0</v>
      </c>
      <c r="BM303" s="136">
        <f t="shared" si="625"/>
        <v>0</v>
      </c>
      <c r="BN303" s="136">
        <f t="shared" si="625"/>
        <v>0</v>
      </c>
      <c r="BO303" s="136">
        <f t="shared" si="625"/>
        <v>0</v>
      </c>
      <c r="BP303" s="136">
        <f t="shared" si="625"/>
        <v>0</v>
      </c>
      <c r="BQ303" s="136">
        <f t="shared" si="625"/>
        <v>0</v>
      </c>
      <c r="BR303" s="136">
        <f t="shared" si="625"/>
        <v>0</v>
      </c>
      <c r="BS303" s="136">
        <f t="shared" si="625"/>
        <v>0.48432955226005181</v>
      </c>
      <c r="BT303" s="136">
        <f t="shared" si="625"/>
        <v>0.51764014678385728</v>
      </c>
      <c r="BU303" s="136">
        <f t="shared" si="625"/>
        <v>0.55329210383774663</v>
      </c>
      <c r="BV303" s="136">
        <f t="shared" si="625"/>
        <v>0.96283119207062995</v>
      </c>
      <c r="BW303" s="136">
        <f t="shared" si="625"/>
        <v>1.5450641384893624</v>
      </c>
      <c r="BX303" s="136">
        <f t="shared" si="625"/>
        <v>1.6530015889754164</v>
      </c>
      <c r="BY303" s="136">
        <f t="shared" si="625"/>
        <v>1.7685638321723529</v>
      </c>
      <c r="BZ303" s="136">
        <f t="shared" si="625"/>
        <v>7.7989158708273356</v>
      </c>
      <c r="CA303" s="136">
        <f t="shared" si="625"/>
        <v>18.557239818114592</v>
      </c>
      <c r="CB303" s="136">
        <f t="shared" si="625"/>
        <v>19.870531931748268</v>
      </c>
      <c r="CC303" s="136">
        <f t="shared" si="625"/>
        <v>21.276973803353979</v>
      </c>
      <c r="CD303" s="136">
        <f t="shared" si="625"/>
        <v>0</v>
      </c>
      <c r="CE303" s="136">
        <f t="shared" si="625"/>
        <v>0</v>
      </c>
      <c r="CF303" s="136">
        <f t="shared" si="625"/>
        <v>0</v>
      </c>
      <c r="CG303" s="136">
        <f t="shared" si="625"/>
        <v>0</v>
      </c>
      <c r="CH303" s="136">
        <f t="shared" si="625"/>
        <v>0</v>
      </c>
      <c r="CI303" s="136">
        <f t="shared" si="625"/>
        <v>0</v>
      </c>
      <c r="CJ303" s="136">
        <f t="shared" si="625"/>
        <v>0</v>
      </c>
      <c r="CK303" s="136">
        <f t="shared" si="625"/>
        <v>0</v>
      </c>
      <c r="CL303" s="136">
        <f t="shared" si="625"/>
        <v>0</v>
      </c>
      <c r="CM303" s="136">
        <f t="shared" si="625"/>
        <v>0</v>
      </c>
      <c r="CN303" s="136">
        <f t="shared" si="625"/>
        <v>0</v>
      </c>
      <c r="CO303" s="136">
        <f t="shared" si="625"/>
        <v>0</v>
      </c>
      <c r="CP303" s="136">
        <f t="shared" si="625"/>
        <v>0</v>
      </c>
      <c r="CQ303" s="136">
        <f t="shared" si="625"/>
        <v>0</v>
      </c>
      <c r="CR303" s="137">
        <f t="shared" si="609"/>
        <v>74.988383978633593</v>
      </c>
      <c r="CS303" s="26"/>
      <c r="CT303" s="25"/>
    </row>
    <row r="304" spans="1:98" x14ac:dyDescent="0.3">
      <c r="A304" s="104" t="str">
        <f t="shared" ref="A304:I304" si="626">A92</f>
        <v>Paerata / Pukekohe</v>
      </c>
      <c r="B304" s="104" t="str">
        <f t="shared" si="626"/>
        <v>Pukekohe-Paerata Surrounds</v>
      </c>
      <c r="C304" s="104">
        <f t="shared" si="626"/>
        <v>0</v>
      </c>
      <c r="D304" s="104" t="str">
        <f t="shared" si="626"/>
        <v>Pukekohe East, South-west</v>
      </c>
      <c r="E304" s="104">
        <f t="shared" si="626"/>
        <v>0</v>
      </c>
      <c r="F304" s="104">
        <f t="shared" si="626"/>
        <v>0</v>
      </c>
      <c r="G304" s="104">
        <f t="shared" si="626"/>
        <v>1</v>
      </c>
      <c r="H304" s="104">
        <f t="shared" si="626"/>
        <v>0</v>
      </c>
      <c r="I304" s="104">
        <f t="shared" si="626"/>
        <v>0</v>
      </c>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4"/>
      <c r="AL304" s="104"/>
      <c r="AM304" s="104"/>
      <c r="AN304" s="104"/>
      <c r="AO304" s="104"/>
      <c r="AP304" s="104"/>
      <c r="AQ304" s="104"/>
      <c r="AR304" s="104"/>
      <c r="AS304" s="104"/>
      <c r="AT304" s="104"/>
      <c r="AU304" s="104"/>
      <c r="AV304" s="104"/>
      <c r="AW304" s="104"/>
      <c r="AX304" s="104"/>
      <c r="AY304" s="104"/>
      <c r="AZ304" s="104"/>
      <c r="BA304" s="104"/>
      <c r="BB304" s="104"/>
      <c r="BC304" s="104"/>
      <c r="BD304" s="104"/>
      <c r="BE304" s="104"/>
      <c r="BF304" s="104"/>
      <c r="BG304" s="104"/>
      <c r="BH304" s="104"/>
      <c r="BI304" s="104"/>
      <c r="BJ304" s="104"/>
      <c r="BK304" s="104"/>
      <c r="BL304" s="136">
        <f t="shared" ref="BL304:CQ304" si="627">BL92+BL207</f>
        <v>0</v>
      </c>
      <c r="BM304" s="136">
        <f t="shared" si="627"/>
        <v>0</v>
      </c>
      <c r="BN304" s="136">
        <f t="shared" si="627"/>
        <v>0</v>
      </c>
      <c r="BO304" s="136">
        <f t="shared" si="627"/>
        <v>0</v>
      </c>
      <c r="BP304" s="136">
        <f t="shared" si="627"/>
        <v>0</v>
      </c>
      <c r="BQ304" s="136">
        <f t="shared" si="627"/>
        <v>0</v>
      </c>
      <c r="BR304" s="136">
        <f t="shared" si="627"/>
        <v>0.29629776424216298</v>
      </c>
      <c r="BS304" s="136">
        <f t="shared" si="627"/>
        <v>0.31723912150703404</v>
      </c>
      <c r="BT304" s="136">
        <f t="shared" si="627"/>
        <v>0.33966520788979182</v>
      </c>
      <c r="BU304" s="136">
        <f t="shared" si="627"/>
        <v>0.9092034819958803</v>
      </c>
      <c r="BV304" s="136">
        <f t="shared" si="627"/>
        <v>1.6065354960119254</v>
      </c>
      <c r="BW304" s="136">
        <f t="shared" si="627"/>
        <v>1.7203382781117864</v>
      </c>
      <c r="BX304" s="136">
        <f t="shared" si="627"/>
        <v>1.8422153105021635</v>
      </c>
      <c r="BY304" s="136">
        <f t="shared" si="627"/>
        <v>0.98636986925721781</v>
      </c>
      <c r="BZ304" s="136">
        <f t="shared" si="627"/>
        <v>4.4122993440781428</v>
      </c>
      <c r="CA304" s="136">
        <f t="shared" si="627"/>
        <v>4.7254300990603806</v>
      </c>
      <c r="CB304" s="136">
        <f t="shared" si="627"/>
        <v>5.0607900026805153</v>
      </c>
      <c r="CC304" s="136">
        <f t="shared" si="627"/>
        <v>2.890643869612048</v>
      </c>
      <c r="CD304" s="136">
        <f t="shared" si="627"/>
        <v>3.0957984580772213</v>
      </c>
      <c r="CE304" s="136">
        <f t="shared" si="627"/>
        <v>3.3155172375453228</v>
      </c>
      <c r="CF304" s="136">
        <f t="shared" si="627"/>
        <v>0</v>
      </c>
      <c r="CG304" s="136">
        <f t="shared" si="627"/>
        <v>0</v>
      </c>
      <c r="CH304" s="136">
        <f t="shared" si="627"/>
        <v>0</v>
      </c>
      <c r="CI304" s="136">
        <f t="shared" si="627"/>
        <v>0</v>
      </c>
      <c r="CJ304" s="136">
        <f t="shared" si="627"/>
        <v>0</v>
      </c>
      <c r="CK304" s="136">
        <f t="shared" si="627"/>
        <v>0</v>
      </c>
      <c r="CL304" s="136">
        <f t="shared" si="627"/>
        <v>0</v>
      </c>
      <c r="CM304" s="136">
        <f t="shared" si="627"/>
        <v>0</v>
      </c>
      <c r="CN304" s="136">
        <f t="shared" si="627"/>
        <v>0</v>
      </c>
      <c r="CO304" s="136">
        <f t="shared" si="627"/>
        <v>0</v>
      </c>
      <c r="CP304" s="136">
        <f t="shared" si="627"/>
        <v>0</v>
      </c>
      <c r="CQ304" s="136">
        <f t="shared" si="627"/>
        <v>0</v>
      </c>
      <c r="CR304" s="137">
        <f t="shared" si="609"/>
        <v>31.518343540571593</v>
      </c>
      <c r="CS304" s="26"/>
      <c r="CT304" s="25"/>
    </row>
    <row r="305" spans="1:98" x14ac:dyDescent="0.3">
      <c r="A305" s="104" t="str">
        <f t="shared" ref="A305:I305" si="628">A93</f>
        <v>Paerata / Pukekohe</v>
      </c>
      <c r="B305" s="104" t="str">
        <f t="shared" si="628"/>
        <v>Rural SW</v>
      </c>
      <c r="C305" s="104">
        <f t="shared" si="628"/>
        <v>0</v>
      </c>
      <c r="D305" s="104" t="str">
        <f t="shared" si="628"/>
        <v>Karaka North LZ</v>
      </c>
      <c r="E305" s="104" t="str">
        <f t="shared" si="628"/>
        <v>land prog by sat inspection</v>
      </c>
      <c r="F305" s="104">
        <f t="shared" si="628"/>
        <v>1</v>
      </c>
      <c r="G305" s="104">
        <f t="shared" si="628"/>
        <v>0</v>
      </c>
      <c r="H305" s="104">
        <f t="shared" si="628"/>
        <v>0</v>
      </c>
      <c r="I305" s="104">
        <f t="shared" si="628"/>
        <v>0</v>
      </c>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4"/>
      <c r="AL305" s="104"/>
      <c r="AM305" s="104"/>
      <c r="AN305" s="104"/>
      <c r="AO305" s="104"/>
      <c r="AP305" s="104"/>
      <c r="AQ305" s="104"/>
      <c r="AR305" s="104"/>
      <c r="AS305" s="104"/>
      <c r="AT305" s="104"/>
      <c r="AU305" s="104"/>
      <c r="AV305" s="104"/>
      <c r="AW305" s="104"/>
      <c r="AX305" s="104"/>
      <c r="AY305" s="104"/>
      <c r="AZ305" s="104"/>
      <c r="BA305" s="104"/>
      <c r="BB305" s="104"/>
      <c r="BC305" s="104"/>
      <c r="BD305" s="104"/>
      <c r="BE305" s="104"/>
      <c r="BF305" s="104"/>
      <c r="BG305" s="104"/>
      <c r="BH305" s="104"/>
      <c r="BI305" s="104"/>
      <c r="BJ305" s="104"/>
      <c r="BK305" s="104"/>
      <c r="BL305" s="136">
        <f t="shared" ref="BL305:CQ305" si="629">BL93+BL208</f>
        <v>0</v>
      </c>
      <c r="BM305" s="136">
        <f t="shared" si="629"/>
        <v>0</v>
      </c>
      <c r="BN305" s="136">
        <f t="shared" si="629"/>
        <v>0</v>
      </c>
      <c r="BO305" s="136">
        <f t="shared" si="629"/>
        <v>0</v>
      </c>
      <c r="BP305" s="136">
        <f t="shared" si="629"/>
        <v>0</v>
      </c>
      <c r="BQ305" s="136">
        <f t="shared" si="629"/>
        <v>0</v>
      </c>
      <c r="BR305" s="136">
        <f t="shared" si="629"/>
        <v>0</v>
      </c>
      <c r="BS305" s="136">
        <f t="shared" si="629"/>
        <v>0</v>
      </c>
      <c r="BT305" s="136">
        <f t="shared" si="629"/>
        <v>0</v>
      </c>
      <c r="BU305" s="136">
        <f t="shared" si="629"/>
        <v>0</v>
      </c>
      <c r="BV305" s="136">
        <f t="shared" si="629"/>
        <v>1.798053410092785</v>
      </c>
      <c r="BW305" s="136">
        <f t="shared" si="629"/>
        <v>1.9251927259754011</v>
      </c>
      <c r="BX305" s="136">
        <f t="shared" si="629"/>
        <v>2.0613474388085362</v>
      </c>
      <c r="BY305" s="136">
        <f t="shared" si="629"/>
        <v>2.2071573888971789</v>
      </c>
      <c r="BZ305" s="136">
        <f t="shared" si="629"/>
        <v>0</v>
      </c>
      <c r="CA305" s="136">
        <f t="shared" si="629"/>
        <v>0</v>
      </c>
      <c r="CB305" s="136">
        <f t="shared" si="629"/>
        <v>0</v>
      </c>
      <c r="CC305" s="136">
        <f t="shared" si="629"/>
        <v>0</v>
      </c>
      <c r="CD305" s="136">
        <f t="shared" si="629"/>
        <v>0</v>
      </c>
      <c r="CE305" s="136">
        <f t="shared" si="629"/>
        <v>0</v>
      </c>
      <c r="CF305" s="136">
        <f t="shared" si="629"/>
        <v>0</v>
      </c>
      <c r="CG305" s="136">
        <f t="shared" si="629"/>
        <v>0</v>
      </c>
      <c r="CH305" s="136">
        <f t="shared" si="629"/>
        <v>0</v>
      </c>
      <c r="CI305" s="136">
        <f t="shared" si="629"/>
        <v>0</v>
      </c>
      <c r="CJ305" s="136">
        <f t="shared" si="629"/>
        <v>0</v>
      </c>
      <c r="CK305" s="136">
        <f t="shared" si="629"/>
        <v>0</v>
      </c>
      <c r="CL305" s="136">
        <f t="shared" si="629"/>
        <v>0</v>
      </c>
      <c r="CM305" s="136">
        <f t="shared" si="629"/>
        <v>0</v>
      </c>
      <c r="CN305" s="136">
        <f t="shared" si="629"/>
        <v>0</v>
      </c>
      <c r="CO305" s="136">
        <f t="shared" si="629"/>
        <v>0</v>
      </c>
      <c r="CP305" s="136">
        <f t="shared" si="629"/>
        <v>0</v>
      </c>
      <c r="CQ305" s="136">
        <f t="shared" si="629"/>
        <v>0</v>
      </c>
      <c r="CR305" s="137">
        <f t="shared" si="609"/>
        <v>7.9917509637739013</v>
      </c>
      <c r="CS305" s="26"/>
      <c r="CT305" s="25"/>
    </row>
    <row r="306" spans="1:98" x14ac:dyDescent="0.3">
      <c r="A306" s="104" t="str">
        <f t="shared" ref="A306:I306" si="630">A94</f>
        <v>Paerata / Pukekohe</v>
      </c>
      <c r="B306" s="104" t="str">
        <f t="shared" si="630"/>
        <v>Rural SW</v>
      </c>
      <c r="C306" s="104">
        <f t="shared" si="630"/>
        <v>0</v>
      </c>
      <c r="D306" s="104" t="str">
        <f t="shared" si="630"/>
        <v>Karaka North LZ</v>
      </c>
      <c r="E306" s="142" t="str">
        <f t="shared" si="630"/>
        <v>negotiatingbut no price; maybe FY25 or FY26</v>
      </c>
      <c r="F306" s="142">
        <f t="shared" si="630"/>
        <v>1.25</v>
      </c>
      <c r="G306" s="104">
        <f t="shared" si="630"/>
        <v>0</v>
      </c>
      <c r="H306" s="104">
        <f t="shared" si="630"/>
        <v>0</v>
      </c>
      <c r="I306" s="104">
        <f t="shared" si="630"/>
        <v>0</v>
      </c>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4"/>
      <c r="AL306" s="104"/>
      <c r="AM306" s="104"/>
      <c r="AN306" s="104"/>
      <c r="AO306" s="104"/>
      <c r="AP306" s="104"/>
      <c r="AQ306" s="104"/>
      <c r="AR306" s="104"/>
      <c r="AS306" s="104"/>
      <c r="AT306" s="104"/>
      <c r="AU306" s="104"/>
      <c r="AV306" s="104"/>
      <c r="AW306" s="104"/>
      <c r="AX306" s="104"/>
      <c r="AY306" s="104"/>
      <c r="AZ306" s="104"/>
      <c r="BA306" s="104"/>
      <c r="BB306" s="104"/>
      <c r="BC306" s="104"/>
      <c r="BD306" s="104"/>
      <c r="BE306" s="104"/>
      <c r="BF306" s="104"/>
      <c r="BG306" s="104"/>
      <c r="BH306" s="104"/>
      <c r="BI306" s="104"/>
      <c r="BJ306" s="104"/>
      <c r="BK306" s="104"/>
      <c r="BL306" s="157">
        <f t="shared" ref="BL306:CQ306" si="631">BL94+BL209</f>
        <v>1.1649039464250002</v>
      </c>
      <c r="BM306" s="157">
        <f t="shared" si="631"/>
        <v>0.49845451066280999</v>
      </c>
      <c r="BN306" s="157">
        <f t="shared" si="631"/>
        <v>0</v>
      </c>
      <c r="BO306" s="157">
        <f t="shared" si="631"/>
        <v>0</v>
      </c>
      <c r="BP306" s="157">
        <f t="shared" si="631"/>
        <v>0</v>
      </c>
      <c r="BQ306" s="157">
        <f t="shared" si="631"/>
        <v>0</v>
      </c>
      <c r="BR306" s="157">
        <f t="shared" si="631"/>
        <v>0</v>
      </c>
      <c r="BS306" s="157">
        <f t="shared" si="631"/>
        <v>0</v>
      </c>
      <c r="BT306" s="157">
        <f t="shared" si="631"/>
        <v>0</v>
      </c>
      <c r="BU306" s="157">
        <f t="shared" si="631"/>
        <v>0</v>
      </c>
      <c r="BV306" s="157">
        <f t="shared" si="631"/>
        <v>5.8367427756162211</v>
      </c>
      <c r="BW306" s="157">
        <f t="shared" si="631"/>
        <v>0</v>
      </c>
      <c r="BX306" s="157">
        <f t="shared" si="631"/>
        <v>0</v>
      </c>
      <c r="BY306" s="157">
        <f t="shared" si="631"/>
        <v>0</v>
      </c>
      <c r="BZ306" s="157">
        <f t="shared" si="631"/>
        <v>0</v>
      </c>
      <c r="CA306" s="157">
        <f t="shared" si="631"/>
        <v>0</v>
      </c>
      <c r="CB306" s="157">
        <f t="shared" si="631"/>
        <v>0</v>
      </c>
      <c r="CC306" s="157">
        <f t="shared" si="631"/>
        <v>0</v>
      </c>
      <c r="CD306" s="157">
        <f t="shared" si="631"/>
        <v>0</v>
      </c>
      <c r="CE306" s="157">
        <f t="shared" si="631"/>
        <v>0</v>
      </c>
      <c r="CF306" s="157">
        <f t="shared" si="631"/>
        <v>0</v>
      </c>
      <c r="CG306" s="157">
        <f t="shared" si="631"/>
        <v>0</v>
      </c>
      <c r="CH306" s="157">
        <f t="shared" si="631"/>
        <v>0</v>
      </c>
      <c r="CI306" s="157">
        <f t="shared" si="631"/>
        <v>0</v>
      </c>
      <c r="CJ306" s="157">
        <f t="shared" si="631"/>
        <v>0</v>
      </c>
      <c r="CK306" s="157">
        <f t="shared" si="631"/>
        <v>0</v>
      </c>
      <c r="CL306" s="157">
        <f t="shared" si="631"/>
        <v>0</v>
      </c>
      <c r="CM306" s="157">
        <f t="shared" si="631"/>
        <v>0</v>
      </c>
      <c r="CN306" s="157">
        <f t="shared" si="631"/>
        <v>0</v>
      </c>
      <c r="CO306" s="157">
        <f t="shared" si="631"/>
        <v>0</v>
      </c>
      <c r="CP306" s="157">
        <f t="shared" si="631"/>
        <v>0</v>
      </c>
      <c r="CQ306" s="157">
        <f t="shared" si="631"/>
        <v>0</v>
      </c>
      <c r="CR306" s="158">
        <f t="shared" si="609"/>
        <v>7.5001012327040311</v>
      </c>
      <c r="CS306" s="26"/>
      <c r="CT306" s="25"/>
    </row>
    <row r="307" spans="1:98" x14ac:dyDescent="0.3">
      <c r="A307" s="104" t="str">
        <f t="shared" ref="A307:I307" si="632">A95</f>
        <v>Glenbrook, Clarks Beach</v>
      </c>
      <c r="B307" s="104" t="str">
        <f t="shared" si="632"/>
        <v>Rural SW</v>
      </c>
      <c r="C307" s="104">
        <f t="shared" si="632"/>
        <v>0</v>
      </c>
      <c r="D307" s="104" t="str">
        <f t="shared" si="632"/>
        <v>Kingseat</v>
      </c>
      <c r="E307" s="142" t="str">
        <f t="shared" si="632"/>
        <v>9 mcRobie, land prog by sat inspection</v>
      </c>
      <c r="F307" s="142">
        <f t="shared" si="632"/>
        <v>0.85</v>
      </c>
      <c r="G307" s="104">
        <f t="shared" si="632"/>
        <v>0</v>
      </c>
      <c r="H307" s="104">
        <f t="shared" si="632"/>
        <v>0</v>
      </c>
      <c r="I307" s="104">
        <f t="shared" si="632"/>
        <v>0</v>
      </c>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4"/>
      <c r="AY307" s="104"/>
      <c r="AZ307" s="104"/>
      <c r="BA307" s="104"/>
      <c r="BB307" s="104"/>
      <c r="BC307" s="104"/>
      <c r="BD307" s="104"/>
      <c r="BE307" s="104"/>
      <c r="BF307" s="104"/>
      <c r="BG307" s="104"/>
      <c r="BH307" s="104"/>
      <c r="BI307" s="104"/>
      <c r="BJ307" s="104"/>
      <c r="BK307" s="104"/>
      <c r="BL307" s="136">
        <f t="shared" ref="BL307:CQ307" si="633">BL95+BL210</f>
        <v>0</v>
      </c>
      <c r="BM307" s="136">
        <f t="shared" si="633"/>
        <v>0</v>
      </c>
      <c r="BN307" s="136">
        <f t="shared" si="633"/>
        <v>0</v>
      </c>
      <c r="BO307" s="136">
        <f t="shared" si="633"/>
        <v>0</v>
      </c>
      <c r="BP307" s="136">
        <f t="shared" si="633"/>
        <v>0</v>
      </c>
      <c r="BQ307" s="136">
        <f t="shared" si="633"/>
        <v>0</v>
      </c>
      <c r="BR307" s="136">
        <f t="shared" si="633"/>
        <v>0</v>
      </c>
      <c r="BS307" s="136">
        <f t="shared" si="633"/>
        <v>0</v>
      </c>
      <c r="BT307" s="136">
        <f t="shared" si="633"/>
        <v>0.41774164320555029</v>
      </c>
      <c r="BU307" s="136">
        <f t="shared" si="633"/>
        <v>0.44721371577636637</v>
      </c>
      <c r="BV307" s="136">
        <f t="shared" si="633"/>
        <v>0.47877417864958116</v>
      </c>
      <c r="BW307" s="136">
        <f t="shared" si="633"/>
        <v>0.51257121674596229</v>
      </c>
      <c r="BX307" s="136">
        <f t="shared" si="633"/>
        <v>1.2194745202627915</v>
      </c>
      <c r="BY307" s="136">
        <f t="shared" si="633"/>
        <v>1.3056024461458138</v>
      </c>
      <c r="BZ307" s="136">
        <f t="shared" si="633"/>
        <v>1.3978354499353067</v>
      </c>
      <c r="CA307" s="136">
        <f t="shared" si="633"/>
        <v>0</v>
      </c>
      <c r="CB307" s="136">
        <f t="shared" si="633"/>
        <v>0</v>
      </c>
      <c r="CC307" s="136">
        <f t="shared" si="633"/>
        <v>0</v>
      </c>
      <c r="CD307" s="136">
        <f t="shared" si="633"/>
        <v>0</v>
      </c>
      <c r="CE307" s="136">
        <f t="shared" si="633"/>
        <v>0</v>
      </c>
      <c r="CF307" s="136">
        <f t="shared" si="633"/>
        <v>0</v>
      </c>
      <c r="CG307" s="136">
        <f t="shared" si="633"/>
        <v>0</v>
      </c>
      <c r="CH307" s="136">
        <f t="shared" si="633"/>
        <v>0</v>
      </c>
      <c r="CI307" s="136">
        <f t="shared" si="633"/>
        <v>0</v>
      </c>
      <c r="CJ307" s="136">
        <f t="shared" si="633"/>
        <v>0</v>
      </c>
      <c r="CK307" s="136">
        <f t="shared" si="633"/>
        <v>0</v>
      </c>
      <c r="CL307" s="136">
        <f t="shared" si="633"/>
        <v>0</v>
      </c>
      <c r="CM307" s="136">
        <f t="shared" si="633"/>
        <v>0</v>
      </c>
      <c r="CN307" s="136">
        <f t="shared" si="633"/>
        <v>0</v>
      </c>
      <c r="CO307" s="136">
        <f t="shared" si="633"/>
        <v>0</v>
      </c>
      <c r="CP307" s="136">
        <f t="shared" si="633"/>
        <v>0</v>
      </c>
      <c r="CQ307" s="136">
        <f t="shared" si="633"/>
        <v>0</v>
      </c>
      <c r="CR307" s="137">
        <f t="shared" si="609"/>
        <v>5.7792131707213716</v>
      </c>
      <c r="CS307" s="26"/>
      <c r="CT307" s="25"/>
    </row>
    <row r="308" spans="1:98" x14ac:dyDescent="0.3">
      <c r="A308" s="104" t="str">
        <f t="shared" ref="A308:I308" si="634">A96</f>
        <v>Glenbrook, Clarks Beach</v>
      </c>
      <c r="B308" s="104" t="str">
        <f t="shared" si="634"/>
        <v>Rural SW</v>
      </c>
      <c r="C308" s="104">
        <f t="shared" si="634"/>
        <v>0</v>
      </c>
      <c r="D308" s="104" t="str">
        <f t="shared" si="634"/>
        <v>Kingseat</v>
      </c>
      <c r="E308" s="104" t="str">
        <f t="shared" si="634"/>
        <v>2 other NHPs, unknown, land progress by sat inspection</v>
      </c>
      <c r="F308" s="104">
        <f t="shared" si="634"/>
        <v>2</v>
      </c>
      <c r="G308" s="104">
        <f t="shared" si="634"/>
        <v>0</v>
      </c>
      <c r="H308" s="104">
        <f t="shared" si="634"/>
        <v>0</v>
      </c>
      <c r="I308" s="104">
        <f t="shared" si="634"/>
        <v>0</v>
      </c>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4"/>
      <c r="AY308" s="104"/>
      <c r="AZ308" s="104"/>
      <c r="BA308" s="104"/>
      <c r="BB308" s="104"/>
      <c r="BC308" s="104"/>
      <c r="BD308" s="104"/>
      <c r="BE308" s="104"/>
      <c r="BF308" s="104"/>
      <c r="BG308" s="104"/>
      <c r="BH308" s="104"/>
      <c r="BI308" s="104"/>
      <c r="BJ308" s="104"/>
      <c r="BK308" s="104"/>
      <c r="BL308" s="136">
        <f t="shared" ref="BL308:CQ308" si="635">BL96+BL211</f>
        <v>0</v>
      </c>
      <c r="BM308" s="136">
        <f t="shared" si="635"/>
        <v>0</v>
      </c>
      <c r="BN308" s="136">
        <f t="shared" si="635"/>
        <v>0</v>
      </c>
      <c r="BO308" s="136">
        <f t="shared" si="635"/>
        <v>0</v>
      </c>
      <c r="BP308" s="136">
        <f t="shared" si="635"/>
        <v>0</v>
      </c>
      <c r="BQ308" s="136">
        <f t="shared" si="635"/>
        <v>0</v>
      </c>
      <c r="BR308" s="136">
        <f t="shared" si="635"/>
        <v>0</v>
      </c>
      <c r="BS308" s="136">
        <f t="shared" si="635"/>
        <v>0</v>
      </c>
      <c r="BT308" s="136">
        <f t="shared" si="635"/>
        <v>0</v>
      </c>
      <c r="BU308" s="136">
        <f t="shared" si="635"/>
        <v>1.0508866953664284</v>
      </c>
      <c r="BV308" s="136">
        <f t="shared" si="635"/>
        <v>1.1251162288436307</v>
      </c>
      <c r="BW308" s="136">
        <f t="shared" si="635"/>
        <v>1.2046076239160499</v>
      </c>
      <c r="BX308" s="136">
        <f t="shared" si="635"/>
        <v>1.2897342871807504</v>
      </c>
      <c r="BY308" s="136">
        <f t="shared" si="635"/>
        <v>3.0686580733789151</v>
      </c>
      <c r="BZ308" s="136">
        <f t="shared" si="635"/>
        <v>3.2856032568150981</v>
      </c>
      <c r="CA308" s="136">
        <f t="shared" si="635"/>
        <v>3.5179310984002283</v>
      </c>
      <c r="CB308" s="136">
        <f t="shared" si="635"/>
        <v>0</v>
      </c>
      <c r="CC308" s="136">
        <f t="shared" si="635"/>
        <v>0</v>
      </c>
      <c r="CD308" s="136">
        <f t="shared" si="635"/>
        <v>0</v>
      </c>
      <c r="CE308" s="136">
        <f t="shared" si="635"/>
        <v>0</v>
      </c>
      <c r="CF308" s="136">
        <f t="shared" si="635"/>
        <v>0</v>
      </c>
      <c r="CG308" s="136">
        <f t="shared" si="635"/>
        <v>0</v>
      </c>
      <c r="CH308" s="136">
        <f t="shared" si="635"/>
        <v>0</v>
      </c>
      <c r="CI308" s="136">
        <f t="shared" si="635"/>
        <v>0</v>
      </c>
      <c r="CJ308" s="136">
        <f t="shared" si="635"/>
        <v>0</v>
      </c>
      <c r="CK308" s="136">
        <f t="shared" si="635"/>
        <v>0</v>
      </c>
      <c r="CL308" s="136">
        <f t="shared" si="635"/>
        <v>0</v>
      </c>
      <c r="CM308" s="136">
        <f t="shared" si="635"/>
        <v>0</v>
      </c>
      <c r="CN308" s="136">
        <f t="shared" si="635"/>
        <v>0</v>
      </c>
      <c r="CO308" s="136">
        <f t="shared" si="635"/>
        <v>0</v>
      </c>
      <c r="CP308" s="136">
        <f t="shared" si="635"/>
        <v>0</v>
      </c>
      <c r="CQ308" s="136">
        <f t="shared" si="635"/>
        <v>0</v>
      </c>
      <c r="CR308" s="137">
        <f t="shared" si="609"/>
        <v>14.542537263901103</v>
      </c>
      <c r="CS308" s="26"/>
      <c r="CT308" s="25"/>
    </row>
    <row r="309" spans="1:98" x14ac:dyDescent="0.3">
      <c r="A309" s="104" t="str">
        <f t="shared" ref="A309:I309" si="636">A97</f>
        <v>Glenbrook, Clarks Beach</v>
      </c>
      <c r="B309" s="104" t="str">
        <f t="shared" si="636"/>
        <v>Rural SW</v>
      </c>
      <c r="C309" s="104">
        <f t="shared" si="636"/>
        <v>0</v>
      </c>
      <c r="D309" s="104" t="str">
        <f t="shared" si="636"/>
        <v>Clarks Beach</v>
      </c>
      <c r="E309" s="104" t="str">
        <f t="shared" si="636"/>
        <v>2 other NHPs, unknown</v>
      </c>
      <c r="F309" s="104">
        <f t="shared" si="636"/>
        <v>2</v>
      </c>
      <c r="G309" s="104">
        <f t="shared" si="636"/>
        <v>0</v>
      </c>
      <c r="H309" s="104">
        <f t="shared" si="636"/>
        <v>0</v>
      </c>
      <c r="I309" s="104">
        <f t="shared" si="636"/>
        <v>0</v>
      </c>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4"/>
      <c r="AL309" s="104"/>
      <c r="AM309" s="104"/>
      <c r="AN309" s="104"/>
      <c r="AO309" s="104"/>
      <c r="AP309" s="104"/>
      <c r="AQ309" s="104"/>
      <c r="AR309" s="104"/>
      <c r="AS309" s="104"/>
      <c r="AT309" s="104"/>
      <c r="AU309" s="104"/>
      <c r="AV309" s="104"/>
      <c r="AW309" s="104"/>
      <c r="AX309" s="104"/>
      <c r="AY309" s="104"/>
      <c r="AZ309" s="104"/>
      <c r="BA309" s="104"/>
      <c r="BB309" s="104"/>
      <c r="BC309" s="104"/>
      <c r="BD309" s="104"/>
      <c r="BE309" s="104"/>
      <c r="BF309" s="104"/>
      <c r="BG309" s="104"/>
      <c r="BH309" s="104"/>
      <c r="BI309" s="104"/>
      <c r="BJ309" s="104"/>
      <c r="BK309" s="104"/>
      <c r="BL309" s="136">
        <f t="shared" ref="BL309:CQ309" si="637">BL97+BL212</f>
        <v>0</v>
      </c>
      <c r="BM309" s="136">
        <f t="shared" si="637"/>
        <v>0</v>
      </c>
      <c r="BN309" s="136">
        <f t="shared" si="637"/>
        <v>0</v>
      </c>
      <c r="BO309" s="136">
        <f t="shared" si="637"/>
        <v>0</v>
      </c>
      <c r="BP309" s="136">
        <f t="shared" si="637"/>
        <v>0</v>
      </c>
      <c r="BQ309" s="136">
        <f t="shared" si="637"/>
        <v>0</v>
      </c>
      <c r="BR309" s="136">
        <f t="shared" si="637"/>
        <v>0</v>
      </c>
      <c r="BS309" s="136">
        <f t="shared" si="637"/>
        <v>0</v>
      </c>
      <c r="BT309" s="136">
        <f t="shared" si="637"/>
        <v>0</v>
      </c>
      <c r="BU309" s="136">
        <f t="shared" si="637"/>
        <v>1.0508866953664284</v>
      </c>
      <c r="BV309" s="136">
        <f t="shared" si="637"/>
        <v>1.1251162288436307</v>
      </c>
      <c r="BW309" s="136">
        <f t="shared" si="637"/>
        <v>1.2046076239160499</v>
      </c>
      <c r="BX309" s="136">
        <f t="shared" si="637"/>
        <v>1.2897342871807507</v>
      </c>
      <c r="BY309" s="136">
        <f t="shared" si="637"/>
        <v>3.0686580733789151</v>
      </c>
      <c r="BZ309" s="136">
        <f t="shared" si="637"/>
        <v>3.2856032568150986</v>
      </c>
      <c r="CA309" s="136">
        <f t="shared" si="637"/>
        <v>3.5179310984002292</v>
      </c>
      <c r="CB309" s="136">
        <f t="shared" si="637"/>
        <v>0</v>
      </c>
      <c r="CC309" s="136">
        <f t="shared" si="637"/>
        <v>0</v>
      </c>
      <c r="CD309" s="136">
        <f t="shared" si="637"/>
        <v>0</v>
      </c>
      <c r="CE309" s="136">
        <f t="shared" si="637"/>
        <v>0</v>
      </c>
      <c r="CF309" s="136">
        <f t="shared" si="637"/>
        <v>0</v>
      </c>
      <c r="CG309" s="136">
        <f t="shared" si="637"/>
        <v>0</v>
      </c>
      <c r="CH309" s="136">
        <f t="shared" si="637"/>
        <v>0</v>
      </c>
      <c r="CI309" s="136">
        <f t="shared" si="637"/>
        <v>0</v>
      </c>
      <c r="CJ309" s="136">
        <f t="shared" si="637"/>
        <v>0</v>
      </c>
      <c r="CK309" s="136">
        <f t="shared" si="637"/>
        <v>0</v>
      </c>
      <c r="CL309" s="136">
        <f t="shared" si="637"/>
        <v>0</v>
      </c>
      <c r="CM309" s="136">
        <f t="shared" si="637"/>
        <v>0</v>
      </c>
      <c r="CN309" s="136">
        <f t="shared" si="637"/>
        <v>0</v>
      </c>
      <c r="CO309" s="136">
        <f t="shared" si="637"/>
        <v>0</v>
      </c>
      <c r="CP309" s="136">
        <f t="shared" si="637"/>
        <v>0</v>
      </c>
      <c r="CQ309" s="136">
        <f t="shared" si="637"/>
        <v>0</v>
      </c>
      <c r="CR309" s="137">
        <f t="shared" si="609"/>
        <v>14.542537263901103</v>
      </c>
      <c r="CS309" s="26"/>
      <c r="CT309" s="25"/>
    </row>
    <row r="310" spans="1:98" x14ac:dyDescent="0.3">
      <c r="A310" s="104" t="str">
        <f t="shared" ref="A310:I310" si="638">A98</f>
        <v>Glenbrook, Clarks Beach</v>
      </c>
      <c r="B310" s="104" t="str">
        <f t="shared" si="638"/>
        <v>Rural SW</v>
      </c>
      <c r="C310" s="104">
        <f t="shared" si="638"/>
        <v>0</v>
      </c>
      <c r="D310" s="104" t="str">
        <f t="shared" si="638"/>
        <v>Glenbrook Beach</v>
      </c>
      <c r="E310" s="142" t="str">
        <f t="shared" si="638"/>
        <v>McLarin dr, 5000m2 sought</v>
      </c>
      <c r="F310" s="142">
        <f t="shared" si="638"/>
        <v>1.25</v>
      </c>
      <c r="G310" s="104">
        <f t="shared" si="638"/>
        <v>0</v>
      </c>
      <c r="H310" s="104">
        <f t="shared" si="638"/>
        <v>0</v>
      </c>
      <c r="I310" s="104">
        <f t="shared" si="638"/>
        <v>0</v>
      </c>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4"/>
      <c r="AY310" s="104"/>
      <c r="AZ310" s="104"/>
      <c r="BA310" s="104"/>
      <c r="BB310" s="104"/>
      <c r="BC310" s="104"/>
      <c r="BD310" s="104"/>
      <c r="BE310" s="104"/>
      <c r="BF310" s="104"/>
      <c r="BG310" s="104"/>
      <c r="BH310" s="104"/>
      <c r="BI310" s="104"/>
      <c r="BJ310" s="104"/>
      <c r="BK310" s="104"/>
      <c r="BL310" s="136">
        <f t="shared" ref="BL310:CQ310" si="639">BL98+BL213</f>
        <v>0</v>
      </c>
      <c r="BM310" s="136">
        <f t="shared" si="639"/>
        <v>0</v>
      </c>
      <c r="BN310" s="136">
        <f t="shared" si="639"/>
        <v>0</v>
      </c>
      <c r="BO310" s="136">
        <f t="shared" si="639"/>
        <v>0</v>
      </c>
      <c r="BP310" s="136">
        <f t="shared" si="639"/>
        <v>0</v>
      </c>
      <c r="BQ310" s="136">
        <f t="shared" si="639"/>
        <v>0</v>
      </c>
      <c r="BR310" s="136">
        <f t="shared" si="639"/>
        <v>0</v>
      </c>
      <c r="BS310" s="136">
        <f t="shared" si="639"/>
        <v>0</v>
      </c>
      <c r="BT310" s="136">
        <f t="shared" si="639"/>
        <v>8.7757543358828655E-2</v>
      </c>
      <c r="BU310" s="136">
        <f t="shared" si="639"/>
        <v>0.34977390268157915</v>
      </c>
      <c r="BV310" s="136">
        <f t="shared" si="639"/>
        <v>0.37450560393362076</v>
      </c>
      <c r="BW310" s="136">
        <f t="shared" si="639"/>
        <v>0.40099100656611358</v>
      </c>
      <c r="BX310" s="136">
        <f t="shared" si="639"/>
        <v>0.64403186083512587</v>
      </c>
      <c r="BY310" s="136">
        <f t="shared" si="639"/>
        <v>0.68959440753439083</v>
      </c>
      <c r="BZ310" s="136">
        <f t="shared" si="639"/>
        <v>0.73838829331006317</v>
      </c>
      <c r="CA310" s="136">
        <f t="shared" si="639"/>
        <v>0.79064286399830419</v>
      </c>
      <c r="CB310" s="136">
        <f t="shared" si="639"/>
        <v>1.8813416605475579</v>
      </c>
      <c r="CC310" s="136">
        <f t="shared" si="639"/>
        <v>2.0145200188511243</v>
      </c>
      <c r="CD310" s="136">
        <f t="shared" si="639"/>
        <v>2.1571453088031469</v>
      </c>
      <c r="CE310" s="136">
        <f t="shared" si="639"/>
        <v>0</v>
      </c>
      <c r="CF310" s="136">
        <f t="shared" si="639"/>
        <v>0</v>
      </c>
      <c r="CG310" s="136">
        <f t="shared" si="639"/>
        <v>0</v>
      </c>
      <c r="CH310" s="136">
        <f t="shared" si="639"/>
        <v>0</v>
      </c>
      <c r="CI310" s="136">
        <f t="shared" si="639"/>
        <v>0</v>
      </c>
      <c r="CJ310" s="136">
        <f t="shared" si="639"/>
        <v>0</v>
      </c>
      <c r="CK310" s="136">
        <f t="shared" si="639"/>
        <v>0</v>
      </c>
      <c r="CL310" s="136">
        <f t="shared" si="639"/>
        <v>0</v>
      </c>
      <c r="CM310" s="136">
        <f t="shared" si="639"/>
        <v>0</v>
      </c>
      <c r="CN310" s="136">
        <f t="shared" si="639"/>
        <v>0</v>
      </c>
      <c r="CO310" s="136">
        <f t="shared" si="639"/>
        <v>0</v>
      </c>
      <c r="CP310" s="136">
        <f t="shared" si="639"/>
        <v>0</v>
      </c>
      <c r="CQ310" s="136">
        <f t="shared" si="639"/>
        <v>0</v>
      </c>
      <c r="CR310" s="137">
        <f t="shared" si="609"/>
        <v>10.128692470419855</v>
      </c>
      <c r="CS310" s="26"/>
      <c r="CT310" s="25"/>
    </row>
    <row r="311" spans="1:98" x14ac:dyDescent="0.3">
      <c r="A311" s="104" t="str">
        <f t="shared" ref="A311:I311" si="640">A99</f>
        <v>Maraetai/Clevedon</v>
      </c>
      <c r="B311" s="104" t="str">
        <f t="shared" si="640"/>
        <v>Rural SE</v>
      </c>
      <c r="C311" s="104">
        <f t="shared" si="640"/>
        <v>0</v>
      </c>
      <c r="D311" s="104" t="str">
        <f t="shared" si="640"/>
        <v>Maraetai/Clevedon</v>
      </c>
      <c r="E311" s="104">
        <f t="shared" si="640"/>
        <v>0</v>
      </c>
      <c r="F311" s="104">
        <f t="shared" si="640"/>
        <v>2</v>
      </c>
      <c r="G311" s="104">
        <f t="shared" si="640"/>
        <v>0</v>
      </c>
      <c r="H311" s="104">
        <f t="shared" si="640"/>
        <v>0</v>
      </c>
      <c r="I311" s="104">
        <f t="shared" si="640"/>
        <v>0</v>
      </c>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4"/>
      <c r="AL311" s="104"/>
      <c r="AM311" s="104"/>
      <c r="AN311" s="104"/>
      <c r="AO311" s="104"/>
      <c r="AP311" s="104"/>
      <c r="AQ311" s="104"/>
      <c r="AR311" s="104"/>
      <c r="AS311" s="104"/>
      <c r="AT311" s="104"/>
      <c r="AU311" s="104"/>
      <c r="AV311" s="104"/>
      <c r="AW311" s="104"/>
      <c r="AX311" s="104"/>
      <c r="AY311" s="104"/>
      <c r="AZ311" s="104"/>
      <c r="BA311" s="104"/>
      <c r="BB311" s="104"/>
      <c r="BC311" s="104"/>
      <c r="BD311" s="104"/>
      <c r="BE311" s="104"/>
      <c r="BF311" s="104"/>
      <c r="BG311" s="104"/>
      <c r="BH311" s="104"/>
      <c r="BI311" s="104"/>
      <c r="BJ311" s="104"/>
      <c r="BK311" s="104"/>
      <c r="BL311" s="136">
        <f t="shared" ref="BL311:CQ311" si="641">BL99+BL214</f>
        <v>0</v>
      </c>
      <c r="BM311" s="136">
        <f t="shared" si="641"/>
        <v>0</v>
      </c>
      <c r="BN311" s="136">
        <f t="shared" si="641"/>
        <v>0</v>
      </c>
      <c r="BO311" s="136">
        <f t="shared" si="641"/>
        <v>0</v>
      </c>
      <c r="BP311" s="136">
        <f t="shared" si="641"/>
        <v>0</v>
      </c>
      <c r="BQ311" s="136">
        <f t="shared" si="641"/>
        <v>0</v>
      </c>
      <c r="BR311" s="136">
        <f t="shared" si="641"/>
        <v>0</v>
      </c>
      <c r="BS311" s="136">
        <f t="shared" si="641"/>
        <v>0</v>
      </c>
      <c r="BT311" s="136">
        <f t="shared" si="641"/>
        <v>0.11924185832241624</v>
      </c>
      <c r="BU311" s="136">
        <f t="shared" si="641"/>
        <v>0.12750794056007789</v>
      </c>
      <c r="BV311" s="136">
        <f t="shared" si="641"/>
        <v>0.22272396686831883</v>
      </c>
      <c r="BW311" s="136">
        <f t="shared" si="641"/>
        <v>0.2383283780223811</v>
      </c>
      <c r="BX311" s="136">
        <f t="shared" si="641"/>
        <v>0.38255415686628413</v>
      </c>
      <c r="BY311" s="136">
        <f t="shared" si="641"/>
        <v>0.40938807116373255</v>
      </c>
      <c r="BZ311" s="136">
        <f t="shared" si="641"/>
        <v>1.5972315837740121</v>
      </c>
      <c r="CA311" s="136">
        <f t="shared" si="641"/>
        <v>1.7102930299484203</v>
      </c>
      <c r="CB311" s="136">
        <f t="shared" si="641"/>
        <v>4.0697206997404285</v>
      </c>
      <c r="CC311" s="136">
        <f t="shared" si="641"/>
        <v>4.3578770702313783</v>
      </c>
      <c r="CD311" s="136">
        <f t="shared" si="641"/>
        <v>4.6664750794449912</v>
      </c>
      <c r="CE311" s="136">
        <f t="shared" si="641"/>
        <v>0</v>
      </c>
      <c r="CF311" s="136">
        <f t="shared" si="641"/>
        <v>0</v>
      </c>
      <c r="CG311" s="136">
        <f t="shared" si="641"/>
        <v>0</v>
      </c>
      <c r="CH311" s="136">
        <f t="shared" si="641"/>
        <v>0</v>
      </c>
      <c r="CI311" s="136">
        <f t="shared" si="641"/>
        <v>0</v>
      </c>
      <c r="CJ311" s="136">
        <f t="shared" si="641"/>
        <v>0</v>
      </c>
      <c r="CK311" s="136">
        <f t="shared" si="641"/>
        <v>0</v>
      </c>
      <c r="CL311" s="136">
        <f t="shared" si="641"/>
        <v>0</v>
      </c>
      <c r="CM311" s="136">
        <f t="shared" si="641"/>
        <v>0</v>
      </c>
      <c r="CN311" s="136">
        <f t="shared" si="641"/>
        <v>0</v>
      </c>
      <c r="CO311" s="136">
        <f t="shared" si="641"/>
        <v>0</v>
      </c>
      <c r="CP311" s="136">
        <f t="shared" si="641"/>
        <v>0</v>
      </c>
      <c r="CQ311" s="136">
        <f t="shared" si="641"/>
        <v>0</v>
      </c>
      <c r="CR311" s="137">
        <f t="shared" si="609"/>
        <v>17.901341834942443</v>
      </c>
      <c r="CS311" s="26"/>
      <c r="CT311" s="25"/>
    </row>
    <row r="312" spans="1:98" x14ac:dyDescent="0.3">
      <c r="A312" s="104" t="str">
        <f t="shared" ref="A312:I312" si="642">A100</f>
        <v>Maraetai/Clevedon</v>
      </c>
      <c r="B312" s="104" t="str">
        <f t="shared" si="642"/>
        <v>Rural SE</v>
      </c>
      <c r="C312" s="104">
        <f t="shared" si="642"/>
        <v>0</v>
      </c>
      <c r="D312" s="104" t="str">
        <f t="shared" si="642"/>
        <v>Clevedon</v>
      </c>
      <c r="E312" s="104" t="str">
        <f t="shared" si="642"/>
        <v>phased by sat inspectn</v>
      </c>
      <c r="F312" s="104">
        <f t="shared" si="642"/>
        <v>2</v>
      </c>
      <c r="G312" s="104">
        <f t="shared" si="642"/>
        <v>0</v>
      </c>
      <c r="H312" s="104">
        <f t="shared" si="642"/>
        <v>0</v>
      </c>
      <c r="I312" s="104">
        <f t="shared" si="642"/>
        <v>0</v>
      </c>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4"/>
      <c r="AL312" s="104"/>
      <c r="AM312" s="104"/>
      <c r="AN312" s="104"/>
      <c r="AO312" s="104"/>
      <c r="AP312" s="104"/>
      <c r="AQ312" s="104"/>
      <c r="AR312" s="104"/>
      <c r="AS312" s="104"/>
      <c r="AT312" s="104"/>
      <c r="AU312" s="104"/>
      <c r="AV312" s="104"/>
      <c r="AW312" s="104"/>
      <c r="AX312" s="104"/>
      <c r="AY312" s="104"/>
      <c r="AZ312" s="104"/>
      <c r="BA312" s="104"/>
      <c r="BB312" s="104"/>
      <c r="BC312" s="104"/>
      <c r="BD312" s="104"/>
      <c r="BE312" s="104"/>
      <c r="BF312" s="104"/>
      <c r="BG312" s="104"/>
      <c r="BH312" s="104"/>
      <c r="BI312" s="104"/>
      <c r="BJ312" s="104"/>
      <c r="BK312" s="104"/>
      <c r="BL312" s="136">
        <f t="shared" ref="BL312:CQ312" si="643">BL100+BL215</f>
        <v>0</v>
      </c>
      <c r="BM312" s="136">
        <f t="shared" si="643"/>
        <v>0</v>
      </c>
      <c r="BN312" s="136">
        <f t="shared" si="643"/>
        <v>0</v>
      </c>
      <c r="BO312" s="136">
        <f t="shared" si="643"/>
        <v>0</v>
      </c>
      <c r="BP312" s="136">
        <f t="shared" si="643"/>
        <v>0</v>
      </c>
      <c r="BQ312" s="136">
        <f t="shared" si="643"/>
        <v>0</v>
      </c>
      <c r="BR312" s="136">
        <f t="shared" si="643"/>
        <v>0</v>
      </c>
      <c r="BS312" s="136">
        <f t="shared" si="643"/>
        <v>0</v>
      </c>
      <c r="BT312" s="136">
        <f t="shared" si="643"/>
        <v>0</v>
      </c>
      <c r="BU312" s="136">
        <f t="shared" si="643"/>
        <v>1.4185053222031048</v>
      </c>
      <c r="BV312" s="136">
        <f t="shared" si="643"/>
        <v>1.5188357781857109</v>
      </c>
      <c r="BW312" s="136">
        <f t="shared" si="643"/>
        <v>1.6262812612614179</v>
      </c>
      <c r="BX312" s="136">
        <f t="shared" si="643"/>
        <v>1.7413467527776396</v>
      </c>
      <c r="BY312" s="136">
        <f t="shared" si="643"/>
        <v>4.1434957414995113</v>
      </c>
      <c r="BZ312" s="136">
        <f t="shared" si="643"/>
        <v>4.4367543993722567</v>
      </c>
      <c r="CA312" s="136">
        <f t="shared" si="643"/>
        <v>4.7508139720789453</v>
      </c>
      <c r="CB312" s="136">
        <f t="shared" si="643"/>
        <v>0</v>
      </c>
      <c r="CC312" s="136">
        <f t="shared" si="643"/>
        <v>0</v>
      </c>
      <c r="CD312" s="136">
        <f t="shared" si="643"/>
        <v>0</v>
      </c>
      <c r="CE312" s="136">
        <f t="shared" si="643"/>
        <v>0</v>
      </c>
      <c r="CF312" s="136">
        <f t="shared" si="643"/>
        <v>0</v>
      </c>
      <c r="CG312" s="136">
        <f t="shared" si="643"/>
        <v>0</v>
      </c>
      <c r="CH312" s="136">
        <f t="shared" si="643"/>
        <v>0</v>
      </c>
      <c r="CI312" s="136">
        <f t="shared" si="643"/>
        <v>0</v>
      </c>
      <c r="CJ312" s="136">
        <f t="shared" si="643"/>
        <v>0</v>
      </c>
      <c r="CK312" s="136">
        <f t="shared" si="643"/>
        <v>0</v>
      </c>
      <c r="CL312" s="136">
        <f t="shared" si="643"/>
        <v>0</v>
      </c>
      <c r="CM312" s="136">
        <f t="shared" si="643"/>
        <v>0</v>
      </c>
      <c r="CN312" s="136">
        <f t="shared" si="643"/>
        <v>0</v>
      </c>
      <c r="CO312" s="136">
        <f t="shared" si="643"/>
        <v>0</v>
      </c>
      <c r="CP312" s="136">
        <f t="shared" si="643"/>
        <v>0</v>
      </c>
      <c r="CQ312" s="136">
        <f t="shared" si="643"/>
        <v>0</v>
      </c>
      <c r="CR312" s="137">
        <f t="shared" si="609"/>
        <v>19.636033227378586</v>
      </c>
      <c r="CS312" s="26"/>
      <c r="CT312" s="25"/>
    </row>
    <row r="313" spans="1:98" x14ac:dyDescent="0.3">
      <c r="A313" s="122" t="s">
        <v>350</v>
      </c>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4"/>
      <c r="AL313" s="104"/>
      <c r="AM313" s="104"/>
      <c r="AN313" s="104"/>
      <c r="AO313" s="104"/>
      <c r="AP313" s="104"/>
      <c r="AQ313" s="104"/>
      <c r="AR313" s="104"/>
      <c r="AS313" s="104"/>
      <c r="AT313" s="104"/>
      <c r="AU313" s="104"/>
      <c r="AV313" s="104"/>
      <c r="AW313" s="104"/>
      <c r="AX313" s="104"/>
      <c r="AY313" s="104"/>
      <c r="AZ313" s="104"/>
      <c r="BA313" s="104"/>
      <c r="BB313" s="104"/>
      <c r="BC313" s="104"/>
      <c r="BD313" s="104"/>
      <c r="BE313" s="104"/>
      <c r="BF313" s="104"/>
      <c r="BG313" s="104"/>
      <c r="BH313" s="104"/>
      <c r="BI313" s="104"/>
      <c r="BJ313" s="104"/>
      <c r="BK313" s="104"/>
      <c r="BL313" s="139">
        <f t="shared" ref="BL313:CR313" si="644">SUM(BL220:BL312)</f>
        <v>33.453160580000002</v>
      </c>
      <c r="BM313" s="139">
        <f t="shared" si="644"/>
        <v>24.039469839999988</v>
      </c>
      <c r="BN313" s="139">
        <f t="shared" si="644"/>
        <v>25.906675280000009</v>
      </c>
      <c r="BO313" s="139">
        <f t="shared" si="644"/>
        <v>30.168247410000003</v>
      </c>
      <c r="BP313" s="139">
        <f t="shared" si="644"/>
        <v>37.667599000000024</v>
      </c>
      <c r="BQ313" s="139">
        <f t="shared" si="644"/>
        <v>61.372845659999982</v>
      </c>
      <c r="BR313" s="139">
        <f t="shared" si="644"/>
        <v>51.777209506680123</v>
      </c>
      <c r="BS313" s="139">
        <f t="shared" si="644"/>
        <v>50.058611997174225</v>
      </c>
      <c r="BT313" s="139">
        <f t="shared" si="644"/>
        <v>45.234530705513116</v>
      </c>
      <c r="BU313" s="139">
        <f t="shared" si="644"/>
        <v>37.056189959999998</v>
      </c>
      <c r="BV313" s="139">
        <f t="shared" si="644"/>
        <v>154.2569354139998</v>
      </c>
      <c r="BW313" s="139">
        <f t="shared" si="644"/>
        <v>165.20951034614257</v>
      </c>
      <c r="BX313" s="139">
        <f t="shared" si="644"/>
        <v>176.9394565818036</v>
      </c>
      <c r="BY313" s="139">
        <f t="shared" si="644"/>
        <v>189.50217013823828</v>
      </c>
      <c r="BZ313" s="139">
        <f t="shared" si="644"/>
        <v>202.95996706989624</v>
      </c>
      <c r="CA313" s="139">
        <f t="shared" si="644"/>
        <v>217.3742818673561</v>
      </c>
      <c r="CB313" s="139">
        <f t="shared" si="644"/>
        <v>212.90811821771672</v>
      </c>
      <c r="CC313" s="139">
        <f t="shared" si="644"/>
        <v>163.32173981385782</v>
      </c>
      <c r="CD313" s="139">
        <f t="shared" si="644"/>
        <v>113.43728210682605</v>
      </c>
      <c r="CE313" s="139">
        <f t="shared" si="644"/>
        <v>151.60990706327732</v>
      </c>
      <c r="CF313" s="139">
        <f t="shared" si="644"/>
        <v>133.01545341524985</v>
      </c>
      <c r="CG313" s="139">
        <f t="shared" si="644"/>
        <v>145.5764820936123</v>
      </c>
      <c r="CH313" s="139">
        <f t="shared" si="644"/>
        <v>89.873140630305997</v>
      </c>
      <c r="CI313" s="139">
        <f t="shared" si="644"/>
        <v>96.236699078269012</v>
      </c>
      <c r="CJ313" s="139">
        <f t="shared" si="644"/>
        <v>118.31824956456752</v>
      </c>
      <c r="CK313" s="139">
        <f t="shared" si="644"/>
        <v>143.92650794912515</v>
      </c>
      <c r="CL313" s="139">
        <f t="shared" si="644"/>
        <v>154.12175506035223</v>
      </c>
      <c r="CM313" s="139">
        <f t="shared" si="644"/>
        <v>129.89804231913203</v>
      </c>
      <c r="CN313" s="139">
        <f t="shared" si="644"/>
        <v>139.10045708913617</v>
      </c>
      <c r="CO313" s="139">
        <f t="shared" si="644"/>
        <v>601.95470451661492</v>
      </c>
      <c r="CP313" s="139">
        <f t="shared" si="644"/>
        <v>644.65093323673022</v>
      </c>
      <c r="CQ313" s="139">
        <f t="shared" si="644"/>
        <v>690.3776579793614</v>
      </c>
      <c r="CR313" s="140">
        <f t="shared" si="644"/>
        <v>5231.3039914909368</v>
      </c>
      <c r="CS313" s="26"/>
      <c r="CT313" s="25"/>
    </row>
    <row r="314" spans="1:98" x14ac:dyDescent="0.3">
      <c r="A314" s="104"/>
      <c r="B314" s="104"/>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4"/>
      <c r="AL314" s="104"/>
      <c r="AM314" s="104"/>
      <c r="AN314" s="104"/>
      <c r="AO314" s="104"/>
      <c r="AP314" s="104"/>
      <c r="AQ314" s="104"/>
      <c r="AR314" s="104"/>
      <c r="AS314" s="104"/>
      <c r="AT314" s="104"/>
      <c r="AU314" s="104"/>
      <c r="AV314" s="104"/>
      <c r="AW314" s="104"/>
      <c r="AX314" s="104"/>
      <c r="AY314" s="104"/>
      <c r="AZ314" s="104"/>
      <c r="BA314" s="104"/>
      <c r="BB314" s="104"/>
      <c r="BC314" s="104"/>
      <c r="BD314" s="104"/>
      <c r="BE314" s="104"/>
      <c r="BF314" s="104"/>
      <c r="BG314" s="104"/>
      <c r="BH314" s="104"/>
      <c r="BI314" s="104"/>
      <c r="BJ314" s="104"/>
      <c r="BK314" s="104"/>
      <c r="BL314" s="104"/>
      <c r="BM314" s="104"/>
      <c r="BN314" s="104"/>
      <c r="BO314" s="104"/>
      <c r="BP314" s="104"/>
      <c r="BQ314" s="104"/>
      <c r="BR314" s="104"/>
      <c r="BS314" s="104"/>
      <c r="BT314" s="104"/>
      <c r="BU314" s="104"/>
      <c r="BV314" s="104"/>
      <c r="BW314" s="104"/>
      <c r="BX314" s="104"/>
      <c r="BY314" s="104"/>
      <c r="BZ314" s="104"/>
      <c r="CA314" s="104"/>
      <c r="CB314" s="104"/>
      <c r="CC314" s="104"/>
      <c r="CD314" s="104"/>
      <c r="CE314" s="104"/>
      <c r="CF314" s="104"/>
      <c r="CG314" s="104"/>
      <c r="CH314" s="104"/>
      <c r="CI314" s="104"/>
      <c r="CJ314" s="104"/>
      <c r="CK314" s="104"/>
      <c r="CL314" s="104"/>
      <c r="CM314" s="104"/>
      <c r="CN314" s="104"/>
      <c r="CO314" s="104"/>
      <c r="CP314" s="104"/>
      <c r="CQ314" s="104"/>
      <c r="CR314" s="141">
        <f>CR120+CR216</f>
        <v>5231.3039914909386</v>
      </c>
      <c r="CS314" s="26"/>
    </row>
    <row r="315" spans="1:98" x14ac:dyDescent="0.3">
      <c r="L315" s="37">
        <v>0.711860292938581</v>
      </c>
      <c r="N315" s="36"/>
      <c r="AB315" s="27" t="s">
        <v>341</v>
      </c>
    </row>
    <row r="316" spans="1:98" x14ac:dyDescent="0.3">
      <c r="A316" s="27" t="s">
        <v>349</v>
      </c>
      <c r="B316" s="27"/>
      <c r="C316" s="28"/>
      <c r="J316" s="2" t="s">
        <v>351</v>
      </c>
      <c r="K316" s="2" t="s">
        <v>358</v>
      </c>
      <c r="L316" s="2" t="s">
        <v>266</v>
      </c>
      <c r="M316" s="2" t="s">
        <v>365</v>
      </c>
      <c r="V316" s="27" t="s">
        <v>295</v>
      </c>
      <c r="W316" s="27"/>
      <c r="X316" s="27"/>
      <c r="Y316" s="27"/>
      <c r="Z316" s="27"/>
      <c r="AA316" s="27"/>
      <c r="AB316" s="27">
        <f t="shared" ref="AB316:BG316" si="645">AB7</f>
        <v>2025</v>
      </c>
      <c r="AC316" s="27">
        <f t="shared" si="645"/>
        <v>2026</v>
      </c>
      <c r="AD316" s="27">
        <f t="shared" si="645"/>
        <v>2027</v>
      </c>
      <c r="AE316" s="27">
        <f t="shared" si="645"/>
        <v>2028</v>
      </c>
      <c r="AF316" s="27">
        <f t="shared" si="645"/>
        <v>2029</v>
      </c>
      <c r="AG316" s="27">
        <f t="shared" si="645"/>
        <v>2030</v>
      </c>
      <c r="AH316" s="27">
        <f t="shared" si="645"/>
        <v>2031</v>
      </c>
      <c r="AI316" s="27">
        <f t="shared" si="645"/>
        <v>2032</v>
      </c>
      <c r="AJ316" s="27">
        <f t="shared" si="645"/>
        <v>2033</v>
      </c>
      <c r="AK316" s="27">
        <f t="shared" si="645"/>
        <v>2034</v>
      </c>
      <c r="AL316" s="27">
        <f t="shared" si="645"/>
        <v>2035</v>
      </c>
      <c r="AM316" s="27">
        <f t="shared" si="645"/>
        <v>2036</v>
      </c>
      <c r="AN316" s="27">
        <f t="shared" si="645"/>
        <v>2037</v>
      </c>
      <c r="AO316" s="27">
        <f t="shared" si="645"/>
        <v>2038</v>
      </c>
      <c r="AP316" s="27">
        <f t="shared" si="645"/>
        <v>2039</v>
      </c>
      <c r="AQ316" s="27">
        <f t="shared" si="645"/>
        <v>2040</v>
      </c>
      <c r="AR316" s="27">
        <f t="shared" si="645"/>
        <v>2041</v>
      </c>
      <c r="AS316" s="27">
        <f t="shared" si="645"/>
        <v>2042</v>
      </c>
      <c r="AT316" s="27">
        <f t="shared" si="645"/>
        <v>2043</v>
      </c>
      <c r="AU316" s="27">
        <f t="shared" si="645"/>
        <v>2044</v>
      </c>
      <c r="AV316" s="27">
        <f t="shared" si="645"/>
        <v>2045</v>
      </c>
      <c r="AW316" s="27">
        <f t="shared" si="645"/>
        <v>2046</v>
      </c>
      <c r="AX316" s="27">
        <f t="shared" si="645"/>
        <v>2047</v>
      </c>
      <c r="AY316" s="27">
        <f t="shared" si="645"/>
        <v>2048</v>
      </c>
      <c r="AZ316" s="27">
        <f t="shared" si="645"/>
        <v>2049</v>
      </c>
      <c r="BA316" s="27">
        <f t="shared" si="645"/>
        <v>2050</v>
      </c>
      <c r="BB316" s="27">
        <f t="shared" si="645"/>
        <v>2051</v>
      </c>
      <c r="BC316" s="27">
        <f t="shared" si="645"/>
        <v>2052</v>
      </c>
      <c r="BD316" s="27">
        <f t="shared" si="645"/>
        <v>2053</v>
      </c>
      <c r="BE316" s="27">
        <f t="shared" si="645"/>
        <v>2054</v>
      </c>
      <c r="BF316" s="27">
        <f t="shared" si="645"/>
        <v>2055</v>
      </c>
      <c r="BG316" s="27">
        <f t="shared" si="645"/>
        <v>2056</v>
      </c>
      <c r="BH316" s="27"/>
      <c r="BI316" s="34" t="s">
        <v>284</v>
      </c>
      <c r="BJ316" s="34"/>
    </row>
    <row r="317" spans="1:98" x14ac:dyDescent="0.3">
      <c r="B317" s="29" t="s">
        <v>181</v>
      </c>
      <c r="C317" s="22"/>
      <c r="D317" s="22"/>
      <c r="E317" s="30">
        <f t="shared" ref="E317:E346" si="646">SUMIF($B$8:$B$100,$B317,BK$8:BK$100)</f>
        <v>16000</v>
      </c>
      <c r="F317" s="31">
        <f t="shared" ref="F317:I346" si="647">SUMIF($B$220:$B$312,$B317,F$220:F$312)</f>
        <v>4</v>
      </c>
      <c r="G317" s="31">
        <f t="shared" si="647"/>
        <v>0</v>
      </c>
      <c r="H317" s="31">
        <f t="shared" si="647"/>
        <v>0</v>
      </c>
      <c r="I317" s="31">
        <f t="shared" si="647"/>
        <v>0</v>
      </c>
      <c r="J317" s="22"/>
      <c r="K317" s="22">
        <v>0.3</v>
      </c>
      <c r="L317" s="22">
        <f>K317*V317*$L$315</f>
        <v>2.0614236497755116</v>
      </c>
      <c r="M317" s="40">
        <f>L317/V317</f>
        <v>0.21355808788157429</v>
      </c>
      <c r="N317" s="35"/>
      <c r="O317" s="22"/>
      <c r="P317" s="22"/>
      <c r="Q317" s="22"/>
      <c r="R317" s="22"/>
      <c r="S317" s="22"/>
      <c r="T317" s="22"/>
      <c r="U317" s="22"/>
      <c r="V317" s="33">
        <f t="shared" ref="V317:V347" si="648">SUM(AB317:AK317)</f>
        <v>9.6527538255476699</v>
      </c>
      <c r="W317" s="33"/>
      <c r="X317" s="33"/>
      <c r="Y317" s="33"/>
      <c r="Z317" s="33"/>
      <c r="AA317" s="33"/>
      <c r="AB317" s="32">
        <v>0.15625499999999998</v>
      </c>
      <c r="AC317" s="32">
        <v>0.26114802162270001</v>
      </c>
      <c r="AD317" s="32">
        <v>0.27741622197336246</v>
      </c>
      <c r="AE317" s="32">
        <v>0.29652744733614789</v>
      </c>
      <c r="AF317" s="32">
        <v>1.4397251459922324</v>
      </c>
      <c r="AG317" s="32">
        <v>1.7264641716592957</v>
      </c>
      <c r="AH317" s="32">
        <v>1.8881386365501869</v>
      </c>
      <c r="AI317" s="32">
        <v>0.37958055961643788</v>
      </c>
      <c r="AJ317" s="32">
        <v>0.40457295446437203</v>
      </c>
      <c r="AK317" s="32">
        <v>2.8229256663329347</v>
      </c>
      <c r="AL317" s="32">
        <v>3.023353388642573</v>
      </c>
      <c r="AM317" s="32">
        <v>3.2380114792361954</v>
      </c>
      <c r="AN317" s="32">
        <v>0</v>
      </c>
      <c r="AO317" s="32">
        <v>0</v>
      </c>
      <c r="AP317" s="32">
        <v>0</v>
      </c>
      <c r="AQ317" s="32">
        <v>0</v>
      </c>
      <c r="AR317" s="32">
        <v>0</v>
      </c>
      <c r="AS317" s="32">
        <v>0</v>
      </c>
      <c r="AT317" s="32">
        <v>0</v>
      </c>
      <c r="AU317" s="32">
        <v>0</v>
      </c>
      <c r="AV317" s="32">
        <v>0</v>
      </c>
      <c r="AW317" s="32">
        <v>0</v>
      </c>
      <c r="AX317" s="32">
        <v>0</v>
      </c>
      <c r="AY317" s="32">
        <v>0</v>
      </c>
      <c r="AZ317" s="32">
        <v>0</v>
      </c>
      <c r="BA317" s="32">
        <v>0</v>
      </c>
      <c r="BB317" s="32">
        <v>0</v>
      </c>
      <c r="BC317" s="32">
        <v>0</v>
      </c>
      <c r="BD317" s="32">
        <v>0</v>
      </c>
      <c r="BE317" s="32">
        <v>0</v>
      </c>
      <c r="BF317" s="32">
        <v>0</v>
      </c>
      <c r="BG317" s="32">
        <v>0</v>
      </c>
      <c r="BH317" s="32"/>
      <c r="BI317" s="33">
        <f>SUM(AB317:BG317)</f>
        <v>15.914118693426438</v>
      </c>
      <c r="BJ317" s="33"/>
    </row>
    <row r="318" spans="1:98" x14ac:dyDescent="0.3">
      <c r="B318" s="29" t="s">
        <v>22</v>
      </c>
      <c r="C318" s="22"/>
      <c r="E318" s="30">
        <f t="shared" si="646"/>
        <v>132000</v>
      </c>
      <c r="F318" s="31">
        <f t="shared" si="647"/>
        <v>18</v>
      </c>
      <c r="G318" s="31">
        <f t="shared" si="647"/>
        <v>2</v>
      </c>
      <c r="H318" s="31">
        <f t="shared" si="647"/>
        <v>0</v>
      </c>
      <c r="I318" s="31">
        <f t="shared" si="647"/>
        <v>0</v>
      </c>
      <c r="J318" s="22"/>
      <c r="K318" s="22">
        <v>1</v>
      </c>
      <c r="L318" s="22">
        <f t="shared" ref="L318:L345" si="649">K318*V318*$L$315</f>
        <v>4.7381243299543616</v>
      </c>
      <c r="M318" s="40">
        <f t="shared" ref="M318:M345" si="650">L318/V318</f>
        <v>0.711860292938581</v>
      </c>
      <c r="N318" s="35"/>
      <c r="O318" s="22"/>
      <c r="P318" s="22"/>
      <c r="Q318" s="22"/>
      <c r="R318" s="22"/>
      <c r="S318" s="22"/>
      <c r="T318" s="22"/>
      <c r="U318" s="22"/>
      <c r="V318" s="33">
        <f t="shared" si="648"/>
        <v>6.6559750234069659</v>
      </c>
      <c r="W318" s="33"/>
      <c r="X318" s="33"/>
      <c r="Y318" s="33"/>
      <c r="Z318" s="33"/>
      <c r="AA318" s="33"/>
      <c r="AB318" s="32">
        <v>5.4168400000000005E-2</v>
      </c>
      <c r="AC318" s="32">
        <v>0.15133098826999999</v>
      </c>
      <c r="AD318" s="32">
        <v>0.19271008324490946</v>
      </c>
      <c r="AE318" s="32">
        <v>0.21801540904500255</v>
      </c>
      <c r="AF318" s="32">
        <v>0.23229809593106904</v>
      </c>
      <c r="AG318" s="32">
        <v>1.0054324467670797</v>
      </c>
      <c r="AH318" s="32">
        <v>1.8030851379254704</v>
      </c>
      <c r="AI318" s="32">
        <v>1.931104182718179</v>
      </c>
      <c r="AJ318" s="32">
        <v>0.96996885640571406</v>
      </c>
      <c r="AK318" s="32">
        <v>9.7861423099541725E-2</v>
      </c>
      <c r="AL318" s="32">
        <v>0.27814851175511668</v>
      </c>
      <c r="AM318" s="32">
        <v>0.66370988046734847</v>
      </c>
      <c r="AN318" s="32">
        <v>0.70940936008421462</v>
      </c>
      <c r="AO318" s="32">
        <v>1.3154419652453437</v>
      </c>
      <c r="AP318" s="32">
        <v>3.6622603586878562</v>
      </c>
      <c r="AQ318" s="32">
        <v>4.6550458389352221</v>
      </c>
      <c r="AR318" s="32">
        <v>7.9968240502630117</v>
      </c>
      <c r="AS318" s="32">
        <v>5.3020392806024841</v>
      </c>
      <c r="AT318" s="32">
        <v>5.6736164928883728</v>
      </c>
      <c r="AU318" s="32">
        <v>15.631143721064454</v>
      </c>
      <c r="AV318" s="32">
        <v>17.66745051818322</v>
      </c>
      <c r="AW318" s="32">
        <v>19.102460841150066</v>
      </c>
      <c r="AX318" s="32">
        <v>6.678026393124286</v>
      </c>
      <c r="AY318" s="32">
        <v>7.1431211117630955</v>
      </c>
      <c r="AZ318" s="32">
        <v>28.960958767870856</v>
      </c>
      <c r="BA318" s="32">
        <v>31.017186840389687</v>
      </c>
      <c r="BB318" s="32">
        <v>33.219407106057353</v>
      </c>
      <c r="BC318" s="32">
        <v>0</v>
      </c>
      <c r="BD318" s="32">
        <v>0</v>
      </c>
      <c r="BE318" s="32">
        <v>0</v>
      </c>
      <c r="BF318" s="32">
        <v>0</v>
      </c>
      <c r="BG318" s="32">
        <v>0</v>
      </c>
      <c r="BH318" s="32"/>
      <c r="BI318" s="33">
        <f t="shared" ref="BI318:BI345" si="651">SUM(AB318:BG318)</f>
        <v>196.33222606193894</v>
      </c>
      <c r="BJ318" s="33"/>
    </row>
    <row r="319" spans="1:98" x14ac:dyDescent="0.3">
      <c r="B319" s="29" t="s">
        <v>183</v>
      </c>
      <c r="C319" s="22"/>
      <c r="E319" s="30">
        <f t="shared" si="646"/>
        <v>18015</v>
      </c>
      <c r="F319" s="31">
        <f t="shared" si="647"/>
        <v>4.5037500000000001</v>
      </c>
      <c r="G319" s="31">
        <f t="shared" si="647"/>
        <v>0</v>
      </c>
      <c r="H319" s="31">
        <f t="shared" si="647"/>
        <v>0</v>
      </c>
      <c r="I319" s="31">
        <f t="shared" si="647"/>
        <v>0</v>
      </c>
      <c r="J319" s="22" t="s">
        <v>356</v>
      </c>
      <c r="K319" s="22">
        <v>1</v>
      </c>
      <c r="L319" s="22">
        <f t="shared" si="649"/>
        <v>7.5885272872380236</v>
      </c>
      <c r="M319" s="40">
        <f t="shared" si="650"/>
        <v>0.711860292938581</v>
      </c>
      <c r="N319" s="35"/>
      <c r="O319" s="22"/>
      <c r="P319" s="22"/>
      <c r="Q319" s="22"/>
      <c r="R319" s="22"/>
      <c r="S319" s="22"/>
      <c r="T319" s="22"/>
      <c r="U319" s="22"/>
      <c r="V319" s="33">
        <f t="shared" si="648"/>
        <v>10.660135650932785</v>
      </c>
      <c r="W319" s="33"/>
      <c r="X319" s="33"/>
      <c r="Y319" s="33"/>
      <c r="Z319" s="33"/>
      <c r="AA319" s="33"/>
      <c r="AB319" s="32">
        <v>1.3389596809333333</v>
      </c>
      <c r="AC319" s="32">
        <v>1.4061810180774668</v>
      </c>
      <c r="AD319" s="32">
        <v>1.4942870344221872</v>
      </c>
      <c r="AE319" s="32">
        <v>1.9952225336780356</v>
      </c>
      <c r="AF319" s="32">
        <v>2.1368833335691759</v>
      </c>
      <c r="AG319" s="32">
        <v>2.2886020502525874</v>
      </c>
      <c r="AH319" s="32">
        <v>0</v>
      </c>
      <c r="AI319" s="32">
        <v>0</v>
      </c>
      <c r="AJ319" s="32">
        <v>0</v>
      </c>
      <c r="AK319" s="32">
        <v>0</v>
      </c>
      <c r="AL319" s="32">
        <v>0</v>
      </c>
      <c r="AM319" s="32">
        <v>0</v>
      </c>
      <c r="AN319" s="32">
        <v>0</v>
      </c>
      <c r="AO319" s="32">
        <v>0</v>
      </c>
      <c r="AP319" s="32">
        <v>0</v>
      </c>
      <c r="AQ319" s="32">
        <v>0</v>
      </c>
      <c r="AR319" s="32">
        <v>0</v>
      </c>
      <c r="AS319" s="32">
        <v>0</v>
      </c>
      <c r="AT319" s="32">
        <v>0</v>
      </c>
      <c r="AU319" s="32">
        <v>0</v>
      </c>
      <c r="AV319" s="32">
        <v>0</v>
      </c>
      <c r="AW319" s="32">
        <v>0</v>
      </c>
      <c r="AX319" s="32">
        <v>0</v>
      </c>
      <c r="AY319" s="32">
        <v>0</v>
      </c>
      <c r="AZ319" s="32">
        <v>0</v>
      </c>
      <c r="BA319" s="32">
        <v>0</v>
      </c>
      <c r="BB319" s="32">
        <v>0</v>
      </c>
      <c r="BC319" s="32">
        <v>0</v>
      </c>
      <c r="BD319" s="32">
        <v>0</v>
      </c>
      <c r="BE319" s="32">
        <v>0</v>
      </c>
      <c r="BF319" s="32">
        <v>0</v>
      </c>
      <c r="BG319" s="32">
        <v>0</v>
      </c>
      <c r="BH319" s="32"/>
      <c r="BI319" s="33">
        <f t="shared" si="651"/>
        <v>10.660135650932785</v>
      </c>
      <c r="BJ319" s="33"/>
    </row>
    <row r="320" spans="1:98" x14ac:dyDescent="0.3">
      <c r="B320" s="29" t="s">
        <v>184</v>
      </c>
      <c r="C320" s="22"/>
      <c r="E320" s="30">
        <f t="shared" si="646"/>
        <v>58000</v>
      </c>
      <c r="F320" s="31">
        <f t="shared" si="647"/>
        <v>7</v>
      </c>
      <c r="G320" s="31">
        <f t="shared" si="647"/>
        <v>1</v>
      </c>
      <c r="H320" s="31">
        <f t="shared" si="647"/>
        <v>0</v>
      </c>
      <c r="I320" s="31">
        <f t="shared" si="647"/>
        <v>0</v>
      </c>
      <c r="J320" s="22" t="s">
        <v>356</v>
      </c>
      <c r="K320" s="22">
        <v>1</v>
      </c>
      <c r="L320" s="22">
        <f t="shared" si="649"/>
        <v>54.708747568846157</v>
      </c>
      <c r="M320" s="40">
        <f t="shared" si="650"/>
        <v>0.711860292938581</v>
      </c>
      <c r="N320" s="35"/>
      <c r="O320" s="22"/>
      <c r="P320" s="22"/>
      <c r="Q320" s="22"/>
      <c r="R320" s="22"/>
      <c r="S320" s="22"/>
      <c r="T320" s="22"/>
      <c r="U320" s="22"/>
      <c r="V320" s="33">
        <f t="shared" si="648"/>
        <v>76.853208574124537</v>
      </c>
      <c r="W320" s="33"/>
      <c r="X320" s="33"/>
      <c r="Y320" s="33"/>
      <c r="Z320" s="33"/>
      <c r="AA320" s="33"/>
      <c r="AB320" s="32">
        <v>24.257082095199998</v>
      </c>
      <c r="AC320" s="32">
        <v>25.4877462363416</v>
      </c>
      <c r="AD320" s="32">
        <v>27.108380242582939</v>
      </c>
      <c r="AE320" s="32">
        <v>0</v>
      </c>
      <c r="AF320" s="32">
        <v>0</v>
      </c>
      <c r="AG320" s="32">
        <v>0</v>
      </c>
      <c r="AH320" s="32">
        <v>0</v>
      </c>
      <c r="AI320" s="32">
        <v>0</v>
      </c>
      <c r="AJ320" s="32">
        <v>0</v>
      </c>
      <c r="AK320" s="32">
        <v>0</v>
      </c>
      <c r="AL320" s="32">
        <v>0</v>
      </c>
      <c r="AM320" s="32">
        <v>0</v>
      </c>
      <c r="AN320" s="32">
        <v>0</v>
      </c>
      <c r="AO320" s="32">
        <v>0</v>
      </c>
      <c r="AP320" s="32">
        <v>0</v>
      </c>
      <c r="AQ320" s="32">
        <v>0</v>
      </c>
      <c r="AR320" s="32">
        <v>0</v>
      </c>
      <c r="AS320" s="32">
        <v>0</v>
      </c>
      <c r="AT320" s="32">
        <v>0</v>
      </c>
      <c r="AU320" s="32">
        <v>0</v>
      </c>
      <c r="AV320" s="32">
        <v>0</v>
      </c>
      <c r="AW320" s="32">
        <v>0</v>
      </c>
      <c r="AX320" s="32">
        <v>0</v>
      </c>
      <c r="AY320" s="32">
        <v>0</v>
      </c>
      <c r="AZ320" s="32">
        <v>0</v>
      </c>
      <c r="BA320" s="32">
        <v>0</v>
      </c>
      <c r="BB320" s="32">
        <v>0</v>
      </c>
      <c r="BC320" s="32">
        <v>0</v>
      </c>
      <c r="BD320" s="32">
        <v>0</v>
      </c>
      <c r="BE320" s="32">
        <v>0</v>
      </c>
      <c r="BF320" s="32">
        <v>0</v>
      </c>
      <c r="BG320" s="32">
        <v>0</v>
      </c>
      <c r="BH320" s="32"/>
      <c r="BI320" s="33">
        <f t="shared" si="651"/>
        <v>76.853208574124537</v>
      </c>
      <c r="BJ320" s="33"/>
    </row>
    <row r="321" spans="2:62" x14ac:dyDescent="0.3">
      <c r="B321" s="29" t="s">
        <v>185</v>
      </c>
      <c r="C321" s="22"/>
      <c r="D321" s="22"/>
      <c r="E321" s="30">
        <f t="shared" si="646"/>
        <v>436000</v>
      </c>
      <c r="F321" s="31">
        <f t="shared" si="647"/>
        <v>49</v>
      </c>
      <c r="G321" s="31">
        <f t="shared" si="647"/>
        <v>8</v>
      </c>
      <c r="H321" s="31">
        <f t="shared" si="647"/>
        <v>0</v>
      </c>
      <c r="I321" s="31">
        <f t="shared" si="647"/>
        <v>0</v>
      </c>
      <c r="J321" s="22" t="s">
        <v>352</v>
      </c>
      <c r="K321" s="22">
        <v>0.3</v>
      </c>
      <c r="L321" s="22">
        <f t="shared" si="649"/>
        <v>1.7294495726942041</v>
      </c>
      <c r="M321" s="40">
        <f t="shared" si="650"/>
        <v>0.21355808788157427</v>
      </c>
      <c r="N321" s="35"/>
      <c r="O321" s="22"/>
      <c r="P321" s="22"/>
      <c r="Q321" s="22"/>
      <c r="R321" s="22"/>
      <c r="S321" s="22"/>
      <c r="T321" s="22"/>
      <c r="U321" s="22"/>
      <c r="V321" s="33">
        <f t="shared" si="648"/>
        <v>8.098263052688722</v>
      </c>
      <c r="W321" s="33"/>
      <c r="X321" s="33"/>
      <c r="Y321" s="33"/>
      <c r="Z321" s="33"/>
      <c r="AA321" s="33"/>
      <c r="AB321" s="32">
        <v>0</v>
      </c>
      <c r="AC321" s="32">
        <v>0</v>
      </c>
      <c r="AD321" s="32">
        <v>0</v>
      </c>
      <c r="AE321" s="32">
        <v>0.15899429565246842</v>
      </c>
      <c r="AF321" s="32">
        <v>0.17028289064379368</v>
      </c>
      <c r="AG321" s="32">
        <v>0.18237297587950305</v>
      </c>
      <c r="AH321" s="32">
        <v>1.7061903758406904</v>
      </c>
      <c r="AI321" s="32">
        <v>1.8273298925253796</v>
      </c>
      <c r="AJ321" s="32">
        <v>1.9570703148946815</v>
      </c>
      <c r="AK321" s="32">
        <v>2.0960223072522037</v>
      </c>
      <c r="AL321" s="32">
        <v>2.9628863208697211</v>
      </c>
      <c r="AM321" s="32">
        <v>3.2749599565311609</v>
      </c>
      <c r="AN321" s="32">
        <v>3.5024983868077686</v>
      </c>
      <c r="AO321" s="32">
        <v>3.7460824036479989</v>
      </c>
      <c r="AP321" s="32">
        <v>15.911341167362155</v>
      </c>
      <c r="AQ321" s="32">
        <v>17.041046390244865</v>
      </c>
      <c r="AR321" s="32">
        <v>18.25096068395225</v>
      </c>
      <c r="AS321" s="32">
        <v>0</v>
      </c>
      <c r="AT321" s="32">
        <v>3.1140217788398381</v>
      </c>
      <c r="AU321" s="32">
        <v>3.3351173251374666</v>
      </c>
      <c r="AV321" s="32">
        <v>3.5719106552222271</v>
      </c>
      <c r="AW321" s="32">
        <v>33.609893310313545</v>
      </c>
      <c r="AX321" s="32">
        <v>35.996195735345808</v>
      </c>
      <c r="AY321" s="32">
        <v>38.55192563255536</v>
      </c>
      <c r="AZ321" s="32">
        <v>41.289112352466788</v>
      </c>
      <c r="BA321" s="32">
        <v>58.707075456083025</v>
      </c>
      <c r="BB321" s="32">
        <v>63.882194490820723</v>
      </c>
      <c r="BC321" s="32">
        <v>68.368491382478567</v>
      </c>
      <c r="BD321" s="32">
        <v>73.172229897265908</v>
      </c>
      <c r="BE321" s="32">
        <v>317.57138930797265</v>
      </c>
      <c r="BF321" s="32">
        <v>340.11895794883873</v>
      </c>
      <c r="BG321" s="32">
        <v>364.26740396320622</v>
      </c>
      <c r="BH321" s="32"/>
      <c r="BI321" s="33">
        <f t="shared" si="651"/>
        <v>1518.3439575986513</v>
      </c>
      <c r="BJ321" s="33"/>
    </row>
    <row r="322" spans="2:62" x14ac:dyDescent="0.3">
      <c r="B322" s="29" t="s">
        <v>25</v>
      </c>
      <c r="C322" s="22"/>
      <c r="D322" s="22"/>
      <c r="E322" s="30">
        <f t="shared" si="646"/>
        <v>4000</v>
      </c>
      <c r="F322" s="31">
        <f t="shared" si="647"/>
        <v>1</v>
      </c>
      <c r="G322" s="31">
        <f t="shared" si="647"/>
        <v>0</v>
      </c>
      <c r="H322" s="31">
        <f t="shared" si="647"/>
        <v>0</v>
      </c>
      <c r="I322" s="31">
        <f t="shared" si="647"/>
        <v>0</v>
      </c>
      <c r="J322" s="22" t="s">
        <v>353</v>
      </c>
      <c r="K322" s="22">
        <v>0.3</v>
      </c>
      <c r="L322" s="22">
        <f t="shared" si="649"/>
        <v>1.7923068506837374</v>
      </c>
      <c r="M322" s="40">
        <f t="shared" si="650"/>
        <v>0.21355808788157429</v>
      </c>
      <c r="N322" s="35"/>
      <c r="O322" s="22"/>
      <c r="P322" s="22"/>
      <c r="Q322" s="22"/>
      <c r="R322" s="22"/>
      <c r="S322" s="22"/>
      <c r="T322" s="22"/>
      <c r="U322" s="22"/>
      <c r="V322" s="33">
        <f t="shared" si="648"/>
        <v>8.3925964521542102</v>
      </c>
      <c r="W322" s="33"/>
      <c r="X322" s="33"/>
      <c r="Y322" s="33"/>
      <c r="Z322" s="33"/>
      <c r="AA322" s="33"/>
      <c r="AB322" s="32">
        <v>0.27344625</v>
      </c>
      <c r="AC322" s="32">
        <v>0.29891235504269997</v>
      </c>
      <c r="AD322" s="32">
        <v>0.31758614343221647</v>
      </c>
      <c r="AE322" s="32">
        <v>0.33954943321858055</v>
      </c>
      <c r="AF322" s="32">
        <v>2.2259201391345584</v>
      </c>
      <c r="AG322" s="32">
        <v>2.3839604690131115</v>
      </c>
      <c r="AH322" s="32">
        <v>2.5532216623130428</v>
      </c>
      <c r="AI322" s="32">
        <v>0</v>
      </c>
      <c r="AJ322" s="32">
        <v>0</v>
      </c>
      <c r="AK322" s="32">
        <v>0</v>
      </c>
      <c r="AL322" s="32">
        <v>0</v>
      </c>
      <c r="AM322" s="32">
        <v>0</v>
      </c>
      <c r="AN322" s="32">
        <v>0</v>
      </c>
      <c r="AO322" s="32">
        <v>0</v>
      </c>
      <c r="AP322" s="32">
        <v>0</v>
      </c>
      <c r="AQ322" s="32">
        <v>0</v>
      </c>
      <c r="AR322" s="32">
        <v>0</v>
      </c>
      <c r="AS322" s="32">
        <v>0</v>
      </c>
      <c r="AT322" s="32">
        <v>0</v>
      </c>
      <c r="AU322" s="32">
        <v>0</v>
      </c>
      <c r="AV322" s="32">
        <v>0</v>
      </c>
      <c r="AW322" s="32">
        <v>0</v>
      </c>
      <c r="AX322" s="32">
        <v>0</v>
      </c>
      <c r="AY322" s="32">
        <v>0</v>
      </c>
      <c r="AZ322" s="32">
        <v>0</v>
      </c>
      <c r="BA322" s="32">
        <v>0</v>
      </c>
      <c r="BB322" s="32">
        <v>0</v>
      </c>
      <c r="BC322" s="32">
        <v>0</v>
      </c>
      <c r="BD322" s="32">
        <v>0</v>
      </c>
      <c r="BE322" s="32">
        <v>0</v>
      </c>
      <c r="BF322" s="32">
        <v>0</v>
      </c>
      <c r="BG322" s="32">
        <v>0</v>
      </c>
      <c r="BH322" s="32"/>
      <c r="BI322" s="33">
        <f t="shared" si="651"/>
        <v>8.3925964521542102</v>
      </c>
      <c r="BJ322" s="33"/>
    </row>
    <row r="323" spans="2:62" x14ac:dyDescent="0.3">
      <c r="B323" s="29" t="s">
        <v>182</v>
      </c>
      <c r="C323" s="22"/>
      <c r="D323" s="22"/>
      <c r="E323" s="30">
        <f t="shared" si="646"/>
        <v>12000</v>
      </c>
      <c r="F323" s="31">
        <f t="shared" si="647"/>
        <v>3</v>
      </c>
      <c r="G323" s="31">
        <f t="shared" si="647"/>
        <v>0</v>
      </c>
      <c r="H323" s="31">
        <f t="shared" si="647"/>
        <v>0</v>
      </c>
      <c r="I323" s="31">
        <f t="shared" si="647"/>
        <v>0</v>
      </c>
      <c r="J323" s="22" t="s">
        <v>352</v>
      </c>
      <c r="K323" s="22">
        <v>0.3</v>
      </c>
      <c r="L323" s="22">
        <f t="shared" si="649"/>
        <v>0.11346732956844957</v>
      </c>
      <c r="M323" s="40">
        <f t="shared" si="650"/>
        <v>0.21355808788157429</v>
      </c>
      <c r="N323" s="35"/>
      <c r="O323" s="22"/>
      <c r="P323" s="22"/>
      <c r="Q323" s="22"/>
      <c r="R323" s="22"/>
      <c r="S323" s="22"/>
      <c r="T323" s="22"/>
      <c r="U323" s="22"/>
      <c r="V323" s="33">
        <f t="shared" si="648"/>
        <v>0.53131834384737198</v>
      </c>
      <c r="W323" s="33"/>
      <c r="X323" s="33"/>
      <c r="Y323" s="33"/>
      <c r="Z323" s="33"/>
      <c r="AA323" s="33"/>
      <c r="AB323" s="32">
        <v>0</v>
      </c>
      <c r="AC323" s="32">
        <v>0</v>
      </c>
      <c r="AD323" s="32">
        <v>0</v>
      </c>
      <c r="AE323" s="32">
        <v>0</v>
      </c>
      <c r="AF323" s="32">
        <v>0</v>
      </c>
      <c r="AG323" s="32">
        <v>0</v>
      </c>
      <c r="AH323" s="32">
        <v>0.11949077379625039</v>
      </c>
      <c r="AI323" s="32">
        <v>0.12797461873578417</v>
      </c>
      <c r="AJ323" s="32">
        <v>0.13706081666602482</v>
      </c>
      <c r="AK323" s="32">
        <v>0.14679213464931259</v>
      </c>
      <c r="AL323" s="32">
        <v>0.3900125871348919</v>
      </c>
      <c r="AM323" s="32">
        <v>0.46129292662705046</v>
      </c>
      <c r="AN323" s="32">
        <v>0.4919088415730975</v>
      </c>
      <c r="AO323" s="32">
        <v>0.52465149705773551</v>
      </c>
      <c r="AP323" s="32">
        <v>4.773402350208646</v>
      </c>
      <c r="AQ323" s="32">
        <v>5.1123139170734593</v>
      </c>
      <c r="AR323" s="32">
        <v>5.4752882051856755</v>
      </c>
      <c r="AS323" s="32">
        <v>0</v>
      </c>
      <c r="AT323" s="32">
        <v>0</v>
      </c>
      <c r="AU323" s="32">
        <v>0</v>
      </c>
      <c r="AV323" s="32">
        <v>0</v>
      </c>
      <c r="AW323" s="32">
        <v>0</v>
      </c>
      <c r="AX323" s="32">
        <v>0</v>
      </c>
      <c r="AY323" s="32">
        <v>0</v>
      </c>
      <c r="AZ323" s="32">
        <v>0</v>
      </c>
      <c r="BA323" s="32">
        <v>0</v>
      </c>
      <c r="BB323" s="32">
        <v>0</v>
      </c>
      <c r="BC323" s="32">
        <v>0</v>
      </c>
      <c r="BD323" s="32">
        <v>0</v>
      </c>
      <c r="BE323" s="32">
        <v>0</v>
      </c>
      <c r="BF323" s="32">
        <v>0</v>
      </c>
      <c r="BG323" s="32">
        <v>0</v>
      </c>
      <c r="BH323" s="32"/>
      <c r="BI323" s="33">
        <f t="shared" si="651"/>
        <v>17.760188668707926</v>
      </c>
      <c r="BJ323" s="33"/>
    </row>
    <row r="324" spans="2:62" x14ac:dyDescent="0.3">
      <c r="B324" s="29" t="s">
        <v>338</v>
      </c>
      <c r="C324" s="22"/>
      <c r="D324" s="22"/>
      <c r="E324" s="30">
        <f t="shared" si="646"/>
        <v>0</v>
      </c>
      <c r="F324" s="31">
        <f t="shared" si="647"/>
        <v>0</v>
      </c>
      <c r="G324" s="31">
        <f t="shared" si="647"/>
        <v>0</v>
      </c>
      <c r="H324" s="31">
        <f t="shared" si="647"/>
        <v>0</v>
      </c>
      <c r="I324" s="31">
        <f t="shared" si="647"/>
        <v>0</v>
      </c>
      <c r="J324" s="22"/>
      <c r="K324" s="22"/>
      <c r="L324" s="22">
        <f t="shared" si="649"/>
        <v>0</v>
      </c>
      <c r="M324" s="40" t="e">
        <f t="shared" si="650"/>
        <v>#DIV/0!</v>
      </c>
      <c r="N324" s="35"/>
      <c r="O324" s="22"/>
      <c r="P324" s="22"/>
      <c r="Q324" s="22"/>
      <c r="R324" s="22"/>
      <c r="S324" s="22"/>
      <c r="T324" s="22"/>
      <c r="U324" s="22"/>
      <c r="V324" s="33">
        <f t="shared" si="648"/>
        <v>0</v>
      </c>
      <c r="W324" s="33"/>
      <c r="X324" s="33"/>
      <c r="Y324" s="33"/>
      <c r="Z324" s="33"/>
      <c r="AA324" s="33"/>
      <c r="AB324" s="32">
        <v>0</v>
      </c>
      <c r="AC324" s="32">
        <v>0</v>
      </c>
      <c r="AD324" s="32">
        <v>0</v>
      </c>
      <c r="AE324" s="32">
        <v>0</v>
      </c>
      <c r="AF324" s="32">
        <v>0</v>
      </c>
      <c r="AG324" s="32">
        <v>0</v>
      </c>
      <c r="AH324" s="32">
        <v>0</v>
      </c>
      <c r="AI324" s="32">
        <v>0</v>
      </c>
      <c r="AJ324" s="32">
        <v>0</v>
      </c>
      <c r="AK324" s="32">
        <v>0</v>
      </c>
      <c r="AL324" s="32">
        <v>0</v>
      </c>
      <c r="AM324" s="32">
        <v>0</v>
      </c>
      <c r="AN324" s="32">
        <v>0</v>
      </c>
      <c r="AO324" s="32">
        <v>0</v>
      </c>
      <c r="AP324" s="32">
        <v>0</v>
      </c>
      <c r="AQ324" s="32">
        <v>0</v>
      </c>
      <c r="AR324" s="32">
        <v>0</v>
      </c>
      <c r="AS324" s="32">
        <v>0</v>
      </c>
      <c r="AT324" s="32">
        <v>0</v>
      </c>
      <c r="AU324" s="32">
        <v>0</v>
      </c>
      <c r="AV324" s="32">
        <v>0</v>
      </c>
      <c r="AW324" s="32">
        <v>0</v>
      </c>
      <c r="AX324" s="32">
        <v>0</v>
      </c>
      <c r="AY324" s="32">
        <v>0</v>
      </c>
      <c r="AZ324" s="32">
        <v>0</v>
      </c>
      <c r="BA324" s="32">
        <v>0</v>
      </c>
      <c r="BB324" s="32">
        <v>0</v>
      </c>
      <c r="BC324" s="32">
        <v>0</v>
      </c>
      <c r="BD324" s="32">
        <v>0</v>
      </c>
      <c r="BE324" s="32">
        <v>0</v>
      </c>
      <c r="BF324" s="32">
        <v>0</v>
      </c>
      <c r="BG324" s="32">
        <v>0</v>
      </c>
      <c r="BH324" s="32"/>
      <c r="BI324" s="33">
        <f t="shared" si="651"/>
        <v>0</v>
      </c>
      <c r="BJ324" s="33"/>
    </row>
    <row r="325" spans="2:62" x14ac:dyDescent="0.3">
      <c r="B325" s="29" t="s">
        <v>337</v>
      </c>
      <c r="C325" s="22"/>
      <c r="D325" s="22"/>
      <c r="E325" s="30">
        <f t="shared" si="646"/>
        <v>234000</v>
      </c>
      <c r="F325" s="31">
        <f t="shared" si="647"/>
        <v>21</v>
      </c>
      <c r="G325" s="31">
        <f t="shared" si="647"/>
        <v>5</v>
      </c>
      <c r="H325" s="31">
        <f t="shared" si="647"/>
        <v>0</v>
      </c>
      <c r="I325" s="31">
        <f t="shared" si="647"/>
        <v>0</v>
      </c>
      <c r="J325" s="22"/>
      <c r="K325" s="22"/>
      <c r="L325" s="22">
        <f t="shared" si="649"/>
        <v>0</v>
      </c>
      <c r="M325" s="40" t="e">
        <f t="shared" si="650"/>
        <v>#DIV/0!</v>
      </c>
      <c r="N325" s="35"/>
      <c r="O325" s="22"/>
      <c r="P325" s="22"/>
      <c r="Q325" s="22"/>
      <c r="R325" s="22"/>
      <c r="S325" s="22"/>
      <c r="T325" s="22"/>
      <c r="U325" s="22"/>
      <c r="V325" s="33">
        <f t="shared" si="648"/>
        <v>0</v>
      </c>
      <c r="W325" s="33"/>
      <c r="X325" s="33"/>
      <c r="Y325" s="33"/>
      <c r="Z325" s="33"/>
      <c r="AA325" s="33"/>
      <c r="AB325" s="32">
        <v>0</v>
      </c>
      <c r="AC325" s="32">
        <v>0</v>
      </c>
      <c r="AD325" s="32">
        <v>0</v>
      </c>
      <c r="AE325" s="32">
        <v>0</v>
      </c>
      <c r="AF325" s="32">
        <v>0</v>
      </c>
      <c r="AG325" s="32">
        <v>0</v>
      </c>
      <c r="AH325" s="32">
        <v>0</v>
      </c>
      <c r="AI325" s="32">
        <v>0</v>
      </c>
      <c r="AJ325" s="32">
        <v>0</v>
      </c>
      <c r="AK325" s="32">
        <v>0</v>
      </c>
      <c r="AL325" s="32">
        <v>0</v>
      </c>
      <c r="AM325" s="32">
        <v>0</v>
      </c>
      <c r="AN325" s="32">
        <v>0</v>
      </c>
      <c r="AO325" s="32">
        <v>0</v>
      </c>
      <c r="AP325" s="32">
        <v>0</v>
      </c>
      <c r="AQ325" s="32">
        <v>0</v>
      </c>
      <c r="AR325" s="32">
        <v>0</v>
      </c>
      <c r="AS325" s="32">
        <v>0</v>
      </c>
      <c r="AT325" s="32">
        <v>3.6635550339292218</v>
      </c>
      <c r="AU325" s="32">
        <v>3.9236674413381962</v>
      </c>
      <c r="AV325" s="32">
        <v>4.2022478296732082</v>
      </c>
      <c r="AW325" s="32">
        <v>27.051865347325538</v>
      </c>
      <c r="AX325" s="32">
        <v>28.97254778698565</v>
      </c>
      <c r="AY325" s="32">
        <v>31.029598679861632</v>
      </c>
      <c r="AZ325" s="32">
        <v>33.232700186131808</v>
      </c>
      <c r="BA325" s="32">
        <v>36.24358282299535</v>
      </c>
      <c r="BB325" s="32">
        <v>39.340473875653032</v>
      </c>
      <c r="BC325" s="32">
        <v>42.107991283885376</v>
      </c>
      <c r="BD325" s="32">
        <v>45.071437990889549</v>
      </c>
      <c r="BE325" s="32">
        <v>186.79578798664045</v>
      </c>
      <c r="BF325" s="32">
        <v>200.05828893369193</v>
      </c>
      <c r="BG325" s="32">
        <v>214.26242744798401</v>
      </c>
      <c r="BH325" s="32"/>
      <c r="BI325" s="33">
        <f t="shared" si="651"/>
        <v>895.9561726469849</v>
      </c>
      <c r="BJ325" s="33"/>
    </row>
    <row r="326" spans="2:62" x14ac:dyDescent="0.3">
      <c r="B326" s="29" t="s">
        <v>28</v>
      </c>
      <c r="C326" s="22"/>
      <c r="D326" s="22"/>
      <c r="E326" s="30">
        <f t="shared" si="646"/>
        <v>157445</v>
      </c>
      <c r="F326" s="31">
        <f t="shared" si="647"/>
        <v>17</v>
      </c>
      <c r="G326" s="31">
        <f t="shared" si="647"/>
        <v>2.9148333333333332</v>
      </c>
      <c r="H326" s="31">
        <f t="shared" si="647"/>
        <v>0</v>
      </c>
      <c r="I326" s="31">
        <f t="shared" si="647"/>
        <v>1</v>
      </c>
      <c r="J326" s="22" t="s">
        <v>354</v>
      </c>
      <c r="K326" s="22">
        <v>1</v>
      </c>
      <c r="L326" s="22">
        <f t="shared" si="649"/>
        <v>10.538842255767012</v>
      </c>
      <c r="M326" s="40">
        <f t="shared" si="650"/>
        <v>0.711860292938581</v>
      </c>
      <c r="N326" s="35"/>
      <c r="O326" s="22"/>
      <c r="P326" s="22"/>
      <c r="Q326" s="22"/>
      <c r="R326" s="22"/>
      <c r="S326" s="22"/>
      <c r="T326" s="22"/>
      <c r="U326" s="22"/>
      <c r="V326" s="33">
        <f t="shared" si="648"/>
        <v>14.804649676781871</v>
      </c>
      <c r="W326" s="33"/>
      <c r="X326" s="33"/>
      <c r="Y326" s="33"/>
      <c r="Z326" s="33"/>
      <c r="AA326" s="33"/>
      <c r="AB326" s="32">
        <v>1.0876285952333333</v>
      </c>
      <c r="AC326" s="32">
        <v>1.1426806742093669</v>
      </c>
      <c r="AD326" s="32">
        <v>1.2151025045298001</v>
      </c>
      <c r="AE326" s="32">
        <v>0.42780376903745054</v>
      </c>
      <c r="AF326" s="32">
        <v>0.4581778366391096</v>
      </c>
      <c r="AG326" s="32">
        <v>0.49070846304048632</v>
      </c>
      <c r="AH326" s="32">
        <v>2.2450238712187738</v>
      </c>
      <c r="AI326" s="32">
        <v>2.4044205660753071</v>
      </c>
      <c r="AJ326" s="32">
        <v>2.5751344262666538</v>
      </c>
      <c r="AK326" s="32">
        <v>2.7579689705315866</v>
      </c>
      <c r="AL326" s="32">
        <v>3.0012514156410175</v>
      </c>
      <c r="AM326" s="32">
        <v>3.2724595272256369</v>
      </c>
      <c r="AN326" s="32">
        <v>3.501956309866026</v>
      </c>
      <c r="AO326" s="32">
        <v>3.7476847115104452</v>
      </c>
      <c r="AP326" s="32">
        <v>11.539236100845354</v>
      </c>
      <c r="AQ326" s="32">
        <v>12.358521864005372</v>
      </c>
      <c r="AR326" s="32">
        <v>13.235976916349752</v>
      </c>
      <c r="AS326" s="32">
        <v>0</v>
      </c>
      <c r="AT326" s="32">
        <v>0</v>
      </c>
      <c r="AU326" s="32">
        <v>0</v>
      </c>
      <c r="AV326" s="32">
        <v>0</v>
      </c>
      <c r="AW326" s="32">
        <v>0</v>
      </c>
      <c r="AX326" s="32">
        <v>0</v>
      </c>
      <c r="AY326" s="32">
        <v>0</v>
      </c>
      <c r="AZ326" s="32">
        <v>0</v>
      </c>
      <c r="BA326" s="32">
        <v>0</v>
      </c>
      <c r="BB326" s="32">
        <v>0</v>
      </c>
      <c r="BC326" s="32">
        <v>0</v>
      </c>
      <c r="BD326" s="32">
        <v>0</v>
      </c>
      <c r="BE326" s="32">
        <v>0</v>
      </c>
      <c r="BF326" s="32">
        <v>0</v>
      </c>
      <c r="BG326" s="32">
        <v>0</v>
      </c>
      <c r="BH326" s="32"/>
      <c r="BI326" s="33">
        <f t="shared" si="651"/>
        <v>65.461736522225479</v>
      </c>
      <c r="BJ326" s="33"/>
    </row>
    <row r="327" spans="2:62" x14ac:dyDescent="0.3">
      <c r="B327" s="29" t="s">
        <v>357</v>
      </c>
      <c r="C327" s="22"/>
      <c r="D327" s="22"/>
      <c r="E327" s="30">
        <f t="shared" si="646"/>
        <v>0</v>
      </c>
      <c r="F327" s="31">
        <f t="shared" si="647"/>
        <v>0</v>
      </c>
      <c r="G327" s="31">
        <f t="shared" si="647"/>
        <v>0</v>
      </c>
      <c r="H327" s="31">
        <f t="shared" si="647"/>
        <v>0</v>
      </c>
      <c r="I327" s="31">
        <f t="shared" si="647"/>
        <v>0</v>
      </c>
      <c r="J327" s="22"/>
      <c r="K327" s="22">
        <v>1</v>
      </c>
      <c r="L327" s="22">
        <f t="shared" si="649"/>
        <v>19.053487023927033</v>
      </c>
      <c r="M327" s="40">
        <f t="shared" si="650"/>
        <v>0.711860292938581</v>
      </c>
      <c r="O327" s="22"/>
      <c r="P327" s="22"/>
      <c r="Q327" s="22"/>
      <c r="R327" s="22"/>
      <c r="S327" s="22"/>
      <c r="T327" s="22"/>
      <c r="U327" s="22"/>
      <c r="V327" s="33">
        <f t="shared" si="648"/>
        <v>26.765767402580721</v>
      </c>
      <c r="W327" s="33"/>
      <c r="X327" s="33"/>
      <c r="Y327" s="33"/>
      <c r="Z327" s="33"/>
      <c r="AA327" s="33"/>
      <c r="AB327" s="32">
        <v>0</v>
      </c>
      <c r="AC327" s="32">
        <v>0</v>
      </c>
      <c r="AD327" s="32">
        <v>0</v>
      </c>
      <c r="AE327" s="32">
        <v>0.93526056266157886</v>
      </c>
      <c r="AF327" s="32">
        <v>1.0016640626105511</v>
      </c>
      <c r="AG327" s="32">
        <v>1.0727822110559002</v>
      </c>
      <c r="AH327" s="32">
        <v>5.3426163283900419</v>
      </c>
      <c r="AI327" s="32">
        <v>5.7219420877057345</v>
      </c>
      <c r="AJ327" s="32">
        <v>6.1281999759328416</v>
      </c>
      <c r="AK327" s="32">
        <v>6.5633021742240736</v>
      </c>
      <c r="AL327" s="32">
        <v>7.6702475469862073</v>
      </c>
      <c r="AM327" s="32">
        <v>8.3746630907760249</v>
      </c>
      <c r="AN327" s="32">
        <v>8.9614325997913866</v>
      </c>
      <c r="AO327" s="32">
        <v>9.5896904493973842</v>
      </c>
      <c r="AP327" s="32">
        <v>32.88343841254845</v>
      </c>
      <c r="AQ327" s="32">
        <v>35.21816253983939</v>
      </c>
      <c r="AR327" s="32">
        <v>37.718652080167978</v>
      </c>
      <c r="AS327" s="32">
        <v>0</v>
      </c>
      <c r="AT327" s="32">
        <v>1.3084125121175791</v>
      </c>
      <c r="AU327" s="32">
        <v>1.4013098004779274</v>
      </c>
      <c r="AV327" s="32">
        <v>1.5008027963118602</v>
      </c>
      <c r="AW327" s="32">
        <v>7.634959025537511</v>
      </c>
      <c r="AX327" s="32">
        <v>8.177041116350674</v>
      </c>
      <c r="AY327" s="32">
        <v>8.7576110356115731</v>
      </c>
      <c r="AZ327" s="32">
        <v>9.3794014191399917</v>
      </c>
      <c r="BA327" s="32">
        <v>11.229631508350174</v>
      </c>
      <c r="BB327" s="32">
        <v>12.147765346725734</v>
      </c>
      <c r="BC327" s="32">
        <v>13.004336016280408</v>
      </c>
      <c r="BD327" s="32">
        <v>13.921592948632082</v>
      </c>
      <c r="BE327" s="32">
        <v>49.836943104015958</v>
      </c>
      <c r="BF327" s="32">
        <v>53.375366064401085</v>
      </c>
      <c r="BG327" s="32">
        <v>57.165017054973561</v>
      </c>
      <c r="BH327" s="32"/>
      <c r="BI327" s="33">
        <f t="shared" si="651"/>
        <v>416.02224387101364</v>
      </c>
      <c r="BJ327" s="33"/>
    </row>
    <row r="328" spans="2:62" x14ac:dyDescent="0.3">
      <c r="B328" s="29" t="s">
        <v>186</v>
      </c>
      <c r="C328" s="22"/>
      <c r="D328" s="22"/>
      <c r="E328" s="30">
        <f t="shared" si="646"/>
        <v>34000</v>
      </c>
      <c r="F328" s="31">
        <f t="shared" si="647"/>
        <v>1</v>
      </c>
      <c r="G328" s="31">
        <f t="shared" si="647"/>
        <v>1</v>
      </c>
      <c r="H328" s="31">
        <f t="shared" si="647"/>
        <v>0</v>
      </c>
      <c r="I328" s="31">
        <f t="shared" si="647"/>
        <v>0</v>
      </c>
      <c r="J328" s="22" t="s">
        <v>353</v>
      </c>
      <c r="K328" s="22">
        <v>0.3</v>
      </c>
      <c r="L328" s="22">
        <f t="shared" si="649"/>
        <v>12.397284936348779</v>
      </c>
      <c r="M328" s="40">
        <f t="shared" si="650"/>
        <v>0.21355808788157429</v>
      </c>
      <c r="N328" s="35"/>
      <c r="O328" s="22"/>
      <c r="P328" s="22"/>
      <c r="Q328" s="22"/>
      <c r="R328" s="22"/>
      <c r="S328" s="22"/>
      <c r="T328" s="22"/>
      <c r="U328" s="22"/>
      <c r="V328" s="33">
        <f t="shared" si="648"/>
        <v>58.051114145691002</v>
      </c>
      <c r="W328" s="33"/>
      <c r="X328" s="33"/>
      <c r="Y328" s="33"/>
      <c r="Z328" s="33"/>
      <c r="AA328" s="33"/>
      <c r="AB328" s="32">
        <v>18.321607190466668</v>
      </c>
      <c r="AC328" s="32">
        <v>19.251945928418735</v>
      </c>
      <c r="AD328" s="32">
        <v>20.477561026805603</v>
      </c>
      <c r="AE328" s="32">
        <v>0</v>
      </c>
      <c r="AF328" s="32">
        <v>0</v>
      </c>
      <c r="AG328" s="32">
        <v>0</v>
      </c>
      <c r="AH328" s="32">
        <v>0</v>
      </c>
      <c r="AI328" s="32">
        <v>0</v>
      </c>
      <c r="AJ328" s="32">
        <v>0</v>
      </c>
      <c r="AK328" s="32">
        <v>0</v>
      </c>
      <c r="AL328" s="32">
        <v>0</v>
      </c>
      <c r="AM328" s="32">
        <v>0</v>
      </c>
      <c r="AN328" s="32">
        <v>0</v>
      </c>
      <c r="AO328" s="32">
        <v>0</v>
      </c>
      <c r="AP328" s="32">
        <v>0</v>
      </c>
      <c r="AQ328" s="32">
        <v>0</v>
      </c>
      <c r="AR328" s="32">
        <v>0</v>
      </c>
      <c r="AS328" s="32">
        <v>0</v>
      </c>
      <c r="AT328" s="32">
        <v>0</v>
      </c>
      <c r="AU328" s="32">
        <v>0</v>
      </c>
      <c r="AV328" s="32">
        <v>0</v>
      </c>
      <c r="AW328" s="32">
        <v>0</v>
      </c>
      <c r="AX328" s="32">
        <v>0</v>
      </c>
      <c r="AY328" s="32">
        <v>0</v>
      </c>
      <c r="AZ328" s="32">
        <v>0</v>
      </c>
      <c r="BA328" s="32">
        <v>0</v>
      </c>
      <c r="BB328" s="32">
        <v>0</v>
      </c>
      <c r="BC328" s="32">
        <v>0</v>
      </c>
      <c r="BD328" s="32">
        <v>0</v>
      </c>
      <c r="BE328" s="32">
        <v>0</v>
      </c>
      <c r="BF328" s="32">
        <v>0</v>
      </c>
      <c r="BG328" s="32">
        <v>0</v>
      </c>
      <c r="BH328" s="32"/>
      <c r="BI328" s="33">
        <f t="shared" si="651"/>
        <v>58.051114145691002</v>
      </c>
      <c r="BJ328" s="33"/>
    </row>
    <row r="329" spans="2:62" x14ac:dyDescent="0.3">
      <c r="B329" s="29" t="s">
        <v>27</v>
      </c>
      <c r="C329" s="22"/>
      <c r="D329" s="22"/>
      <c r="E329" s="30">
        <f t="shared" si="646"/>
        <v>115000</v>
      </c>
      <c r="F329" s="31">
        <f t="shared" si="647"/>
        <v>13.25</v>
      </c>
      <c r="G329" s="31">
        <f t="shared" si="647"/>
        <v>2</v>
      </c>
      <c r="H329" s="31">
        <f t="shared" si="647"/>
        <v>0</v>
      </c>
      <c r="I329" s="31">
        <f t="shared" si="647"/>
        <v>1</v>
      </c>
      <c r="J329" s="22" t="s">
        <v>354</v>
      </c>
      <c r="K329" s="22">
        <v>1</v>
      </c>
      <c r="L329" s="22">
        <f t="shared" si="649"/>
        <v>91.820689263541368</v>
      </c>
      <c r="M329" s="40">
        <f t="shared" si="650"/>
        <v>0.711860292938581</v>
      </c>
      <c r="N329" s="35"/>
      <c r="O329" s="22"/>
      <c r="P329" s="22"/>
      <c r="Q329" s="22"/>
      <c r="R329" s="22"/>
      <c r="S329" s="22"/>
      <c r="T329" s="22"/>
      <c r="U329" s="22"/>
      <c r="V329" s="33">
        <f t="shared" si="648"/>
        <v>128.98695175777084</v>
      </c>
      <c r="W329" s="33"/>
      <c r="X329" s="33"/>
      <c r="Y329" s="33"/>
      <c r="Z329" s="33"/>
      <c r="AA329" s="33"/>
      <c r="AB329" s="32">
        <v>12.209634880880952</v>
      </c>
      <c r="AC329" s="32">
        <v>12.826892527902407</v>
      </c>
      <c r="AD329" s="32">
        <v>12.183029715614239</v>
      </c>
      <c r="AE329" s="32">
        <v>28.516539917724248</v>
      </c>
      <c r="AF329" s="32">
        <v>30.541214251882668</v>
      </c>
      <c r="AG329" s="32">
        <v>32.709640463766327</v>
      </c>
      <c r="AH329" s="32">
        <v>0</v>
      </c>
      <c r="AI329" s="32">
        <v>0</v>
      </c>
      <c r="AJ329" s="32">
        <v>0</v>
      </c>
      <c r="AK329" s="32">
        <v>0</v>
      </c>
      <c r="AL329" s="32">
        <v>0</v>
      </c>
      <c r="AM329" s="32">
        <v>0</v>
      </c>
      <c r="AN329" s="32">
        <v>0</v>
      </c>
      <c r="AO329" s="32">
        <v>0</v>
      </c>
      <c r="AP329" s="32">
        <v>0</v>
      </c>
      <c r="AQ329" s="32">
        <v>0</v>
      </c>
      <c r="AR329" s="32">
        <v>0</v>
      </c>
      <c r="AS329" s="32">
        <v>0</v>
      </c>
      <c r="AT329" s="32">
        <v>0</v>
      </c>
      <c r="AU329" s="32">
        <v>0</v>
      </c>
      <c r="AV329" s="32">
        <v>0</v>
      </c>
      <c r="AW329" s="32">
        <v>0</v>
      </c>
      <c r="AX329" s="32">
        <v>0</v>
      </c>
      <c r="AY329" s="32">
        <v>0</v>
      </c>
      <c r="AZ329" s="32">
        <v>0</v>
      </c>
      <c r="BA329" s="32">
        <v>0</v>
      </c>
      <c r="BB329" s="32">
        <v>0</v>
      </c>
      <c r="BC329" s="32">
        <v>0</v>
      </c>
      <c r="BD329" s="32">
        <v>0</v>
      </c>
      <c r="BE329" s="32">
        <v>0</v>
      </c>
      <c r="BF329" s="32">
        <v>0</v>
      </c>
      <c r="BG329" s="32">
        <v>0</v>
      </c>
      <c r="BH329" s="32"/>
      <c r="BI329" s="33">
        <f t="shared" si="651"/>
        <v>128.98695175777084</v>
      </c>
      <c r="BJ329" s="33"/>
    </row>
    <row r="330" spans="2:62" x14ac:dyDescent="0.3">
      <c r="B330" s="29" t="s">
        <v>188</v>
      </c>
      <c r="C330" s="22"/>
      <c r="D330" s="22"/>
      <c r="E330" s="30">
        <f t="shared" si="646"/>
        <v>0</v>
      </c>
      <c r="F330" s="31">
        <f t="shared" si="647"/>
        <v>0</v>
      </c>
      <c r="G330" s="31">
        <f t="shared" si="647"/>
        <v>0</v>
      </c>
      <c r="H330" s="31">
        <f t="shared" si="647"/>
        <v>0</v>
      </c>
      <c r="I330" s="31">
        <f t="shared" si="647"/>
        <v>0</v>
      </c>
      <c r="J330" s="22"/>
      <c r="K330" s="22"/>
      <c r="L330" s="22">
        <f t="shared" si="649"/>
        <v>0</v>
      </c>
      <c r="M330" s="40" t="e">
        <f t="shared" si="650"/>
        <v>#DIV/0!</v>
      </c>
      <c r="N330" s="35"/>
      <c r="O330" s="22"/>
      <c r="P330" s="22"/>
      <c r="Q330" s="22"/>
      <c r="R330" s="22"/>
      <c r="S330" s="22"/>
      <c r="T330" s="22"/>
      <c r="U330" s="22"/>
      <c r="V330" s="33">
        <f t="shared" si="648"/>
        <v>0</v>
      </c>
      <c r="W330" s="33"/>
      <c r="X330" s="33"/>
      <c r="Y330" s="33"/>
      <c r="Z330" s="33"/>
      <c r="AA330" s="33"/>
      <c r="AB330" s="32">
        <v>0</v>
      </c>
      <c r="AC330" s="32">
        <v>0</v>
      </c>
      <c r="AD330" s="32">
        <v>0</v>
      </c>
      <c r="AE330" s="32">
        <v>0</v>
      </c>
      <c r="AF330" s="32">
        <v>0</v>
      </c>
      <c r="AG330" s="32">
        <v>0</v>
      </c>
      <c r="AH330" s="32">
        <v>0</v>
      </c>
      <c r="AI330" s="32">
        <v>0</v>
      </c>
      <c r="AJ330" s="32">
        <v>0</v>
      </c>
      <c r="AK330" s="32">
        <v>0</v>
      </c>
      <c r="AL330" s="32">
        <v>0</v>
      </c>
      <c r="AM330" s="32">
        <v>0</v>
      </c>
      <c r="AN330" s="32">
        <v>0</v>
      </c>
      <c r="AO330" s="32">
        <v>0</v>
      </c>
      <c r="AP330" s="32">
        <v>0</v>
      </c>
      <c r="AQ330" s="32">
        <v>0</v>
      </c>
      <c r="AR330" s="32">
        <v>0</v>
      </c>
      <c r="AS330" s="32">
        <v>0</v>
      </c>
      <c r="AT330" s="32">
        <v>0</v>
      </c>
      <c r="AU330" s="32">
        <v>0</v>
      </c>
      <c r="AV330" s="32">
        <v>0</v>
      </c>
      <c r="AW330" s="32">
        <v>0</v>
      </c>
      <c r="AX330" s="32">
        <v>0</v>
      </c>
      <c r="AY330" s="32">
        <v>0</v>
      </c>
      <c r="AZ330" s="32">
        <v>0</v>
      </c>
      <c r="BA330" s="32">
        <v>0</v>
      </c>
      <c r="BB330" s="32">
        <v>0</v>
      </c>
      <c r="BC330" s="32">
        <v>0</v>
      </c>
      <c r="BD330" s="32">
        <v>0</v>
      </c>
      <c r="BE330" s="32">
        <v>0</v>
      </c>
      <c r="BF330" s="32">
        <v>0</v>
      </c>
      <c r="BG330" s="32">
        <v>0</v>
      </c>
      <c r="BH330" s="32"/>
      <c r="BI330" s="33">
        <f t="shared" si="651"/>
        <v>0</v>
      </c>
      <c r="BJ330" s="33"/>
    </row>
    <row r="331" spans="2:62" x14ac:dyDescent="0.3">
      <c r="B331" s="29" t="s">
        <v>190</v>
      </c>
      <c r="C331" s="22"/>
      <c r="D331" s="22"/>
      <c r="E331" s="30">
        <f t="shared" si="646"/>
        <v>5200</v>
      </c>
      <c r="F331" s="31">
        <f t="shared" si="647"/>
        <v>1.3</v>
      </c>
      <c r="G331" s="31">
        <f t="shared" si="647"/>
        <v>0</v>
      </c>
      <c r="H331" s="31">
        <f t="shared" si="647"/>
        <v>0</v>
      </c>
      <c r="I331" s="31">
        <f t="shared" si="647"/>
        <v>0</v>
      </c>
      <c r="J331" s="22" t="s">
        <v>354</v>
      </c>
      <c r="K331" s="22">
        <v>1</v>
      </c>
      <c r="L331" s="22">
        <f t="shared" si="649"/>
        <v>4.3688906101673659</v>
      </c>
      <c r="M331" s="40">
        <f t="shared" si="650"/>
        <v>0.711860292938581</v>
      </c>
      <c r="N331" s="35"/>
      <c r="O331" s="22"/>
      <c r="P331" s="22"/>
      <c r="Q331" s="22"/>
      <c r="R331" s="22"/>
      <c r="S331" s="22"/>
      <c r="T331" s="22"/>
      <c r="U331" s="22"/>
      <c r="V331" s="33">
        <f t="shared" si="648"/>
        <v>6.1372865624130437</v>
      </c>
      <c r="W331" s="33"/>
      <c r="X331" s="33"/>
      <c r="Y331" s="33"/>
      <c r="Z331" s="33"/>
      <c r="AA331" s="33"/>
      <c r="AB331" s="32">
        <v>1.9371928174555559</v>
      </c>
      <c r="AC331" s="32">
        <v>2.035402758920478</v>
      </c>
      <c r="AD331" s="32">
        <v>2.1646909860370092</v>
      </c>
      <c r="AE331" s="32">
        <v>0</v>
      </c>
      <c r="AF331" s="32">
        <v>0</v>
      </c>
      <c r="AG331" s="32">
        <v>0</v>
      </c>
      <c r="AH331" s="32">
        <v>0</v>
      </c>
      <c r="AI331" s="32">
        <v>0</v>
      </c>
      <c r="AJ331" s="32">
        <v>0</v>
      </c>
      <c r="AK331" s="32">
        <v>0</v>
      </c>
      <c r="AL331" s="32">
        <v>0</v>
      </c>
      <c r="AM331" s="32">
        <v>0</v>
      </c>
      <c r="AN331" s="32">
        <v>0</v>
      </c>
      <c r="AO331" s="32">
        <v>0</v>
      </c>
      <c r="AP331" s="32">
        <v>0</v>
      </c>
      <c r="AQ331" s="32">
        <v>0</v>
      </c>
      <c r="AR331" s="32">
        <v>0</v>
      </c>
      <c r="AS331" s="32">
        <v>0</v>
      </c>
      <c r="AT331" s="32">
        <v>0</v>
      </c>
      <c r="AU331" s="32">
        <v>0</v>
      </c>
      <c r="AV331" s="32">
        <v>0</v>
      </c>
      <c r="AW331" s="32">
        <v>0</v>
      </c>
      <c r="AX331" s="32">
        <v>0</v>
      </c>
      <c r="AY331" s="32">
        <v>0</v>
      </c>
      <c r="AZ331" s="32">
        <v>0</v>
      </c>
      <c r="BA331" s="32">
        <v>0</v>
      </c>
      <c r="BB331" s="32">
        <v>0</v>
      </c>
      <c r="BC331" s="32">
        <v>0</v>
      </c>
      <c r="BD331" s="32">
        <v>0</v>
      </c>
      <c r="BE331" s="32">
        <v>0</v>
      </c>
      <c r="BF331" s="32">
        <v>0</v>
      </c>
      <c r="BG331" s="32">
        <v>0</v>
      </c>
      <c r="BH331" s="32"/>
      <c r="BI331" s="33">
        <f t="shared" si="651"/>
        <v>6.1372865624130437</v>
      </c>
      <c r="BJ331" s="33"/>
    </row>
    <row r="332" spans="2:62" x14ac:dyDescent="0.3">
      <c r="B332" s="29" t="s">
        <v>33</v>
      </c>
      <c r="C332" s="22"/>
      <c r="D332" s="22"/>
      <c r="E332" s="30">
        <f t="shared" si="646"/>
        <v>0</v>
      </c>
      <c r="F332" s="31">
        <f t="shared" si="647"/>
        <v>0</v>
      </c>
      <c r="G332" s="31">
        <f t="shared" si="647"/>
        <v>0</v>
      </c>
      <c r="H332" s="31">
        <f t="shared" si="647"/>
        <v>0</v>
      </c>
      <c r="I332" s="31">
        <f t="shared" si="647"/>
        <v>0</v>
      </c>
      <c r="J332" s="22"/>
      <c r="K332" s="22"/>
      <c r="L332" s="22">
        <f t="shared" si="649"/>
        <v>0</v>
      </c>
      <c r="M332" s="40" t="e">
        <f t="shared" si="650"/>
        <v>#DIV/0!</v>
      </c>
      <c r="N332" s="35"/>
      <c r="O332" s="22"/>
      <c r="P332" s="22"/>
      <c r="Q332" s="22"/>
      <c r="R332" s="22"/>
      <c r="S332" s="22"/>
      <c r="T332" s="22"/>
      <c r="U332" s="22"/>
      <c r="V332" s="33">
        <f t="shared" si="648"/>
        <v>0</v>
      </c>
      <c r="W332" s="33"/>
      <c r="X332" s="33"/>
      <c r="Y332" s="33"/>
      <c r="Z332" s="33"/>
      <c r="AA332" s="33"/>
      <c r="AB332" s="32">
        <v>0</v>
      </c>
      <c r="AC332" s="32">
        <v>0</v>
      </c>
      <c r="AD332" s="32">
        <v>0</v>
      </c>
      <c r="AE332" s="32">
        <v>0</v>
      </c>
      <c r="AF332" s="32">
        <v>0</v>
      </c>
      <c r="AG332" s="32">
        <v>0</v>
      </c>
      <c r="AH332" s="32">
        <v>0</v>
      </c>
      <c r="AI332" s="32">
        <v>0</v>
      </c>
      <c r="AJ332" s="32">
        <v>0</v>
      </c>
      <c r="AK332" s="32">
        <v>0</v>
      </c>
      <c r="AL332" s="32">
        <v>0</v>
      </c>
      <c r="AM332" s="32">
        <v>0</v>
      </c>
      <c r="AN332" s="32">
        <v>0</v>
      </c>
      <c r="AO332" s="32">
        <v>0</v>
      </c>
      <c r="AP332" s="32">
        <v>0</v>
      </c>
      <c r="AQ332" s="32">
        <v>0</v>
      </c>
      <c r="AR332" s="32">
        <v>0</v>
      </c>
      <c r="AS332" s="32">
        <v>0</v>
      </c>
      <c r="AT332" s="32">
        <v>0</v>
      </c>
      <c r="AU332" s="32">
        <v>0</v>
      </c>
      <c r="AV332" s="32">
        <v>0</v>
      </c>
      <c r="AW332" s="32">
        <v>0</v>
      </c>
      <c r="AX332" s="32">
        <v>0</v>
      </c>
      <c r="AY332" s="32">
        <v>0</v>
      </c>
      <c r="AZ332" s="32">
        <v>0</v>
      </c>
      <c r="BA332" s="32">
        <v>0</v>
      </c>
      <c r="BB332" s="32">
        <v>0</v>
      </c>
      <c r="BC332" s="32">
        <v>0</v>
      </c>
      <c r="BD332" s="32">
        <v>0</v>
      </c>
      <c r="BE332" s="32">
        <v>0</v>
      </c>
      <c r="BF332" s="32">
        <v>0</v>
      </c>
      <c r="BG332" s="32">
        <v>0</v>
      </c>
      <c r="BH332" s="32"/>
      <c r="BI332" s="33">
        <f t="shared" si="651"/>
        <v>0</v>
      </c>
      <c r="BJ332" s="33"/>
    </row>
    <row r="333" spans="2:62" x14ac:dyDescent="0.3">
      <c r="B333" s="29" t="s">
        <v>192</v>
      </c>
      <c r="C333" s="22"/>
      <c r="D333" s="22"/>
      <c r="E333" s="30">
        <f t="shared" si="646"/>
        <v>3000</v>
      </c>
      <c r="F333" s="31">
        <f t="shared" si="647"/>
        <v>0.75</v>
      </c>
      <c r="G333" s="31">
        <f t="shared" si="647"/>
        <v>0</v>
      </c>
      <c r="H333" s="31">
        <f t="shared" si="647"/>
        <v>0</v>
      </c>
      <c r="I333" s="31">
        <f t="shared" si="647"/>
        <v>0</v>
      </c>
      <c r="J333" s="22" t="s">
        <v>354</v>
      </c>
      <c r="K333" s="22">
        <v>1</v>
      </c>
      <c r="L333" s="22">
        <f t="shared" si="649"/>
        <v>2.5062523493666689</v>
      </c>
      <c r="M333" s="40">
        <f t="shared" si="650"/>
        <v>0.71186029293858111</v>
      </c>
      <c r="N333" s="35"/>
      <c r="O333" s="22"/>
      <c r="P333" s="22"/>
      <c r="Q333" s="22"/>
      <c r="R333" s="22"/>
      <c r="S333" s="22"/>
      <c r="T333" s="22"/>
      <c r="U333" s="22"/>
      <c r="V333" s="33">
        <f t="shared" si="648"/>
        <v>3.5207081701674672</v>
      </c>
      <c r="W333" s="33"/>
      <c r="X333" s="33"/>
      <c r="Y333" s="33"/>
      <c r="Z333" s="33"/>
      <c r="AA333" s="33"/>
      <c r="AB333" s="32">
        <v>1.1111466666666667</v>
      </c>
      <c r="AC333" s="32">
        <v>1.1675929173333335</v>
      </c>
      <c r="AD333" s="32">
        <v>1.241968586167467</v>
      </c>
      <c r="AE333" s="32">
        <v>0</v>
      </c>
      <c r="AF333" s="32">
        <v>0</v>
      </c>
      <c r="AG333" s="32">
        <v>0</v>
      </c>
      <c r="AH333" s="32">
        <v>0</v>
      </c>
      <c r="AI333" s="32">
        <v>0</v>
      </c>
      <c r="AJ333" s="32">
        <v>0</v>
      </c>
      <c r="AK333" s="32">
        <v>0</v>
      </c>
      <c r="AL333" s="32">
        <v>0</v>
      </c>
      <c r="AM333" s="32">
        <v>0</v>
      </c>
      <c r="AN333" s="32">
        <v>0</v>
      </c>
      <c r="AO333" s="32">
        <v>0</v>
      </c>
      <c r="AP333" s="32">
        <v>0</v>
      </c>
      <c r="AQ333" s="32">
        <v>0</v>
      </c>
      <c r="AR333" s="32">
        <v>0</v>
      </c>
      <c r="AS333" s="32">
        <v>0</v>
      </c>
      <c r="AT333" s="32">
        <v>0</v>
      </c>
      <c r="AU333" s="32">
        <v>0</v>
      </c>
      <c r="AV333" s="32">
        <v>0</v>
      </c>
      <c r="AW333" s="32">
        <v>0</v>
      </c>
      <c r="AX333" s="32">
        <v>0</v>
      </c>
      <c r="AY333" s="32">
        <v>0</v>
      </c>
      <c r="AZ333" s="32">
        <v>0</v>
      </c>
      <c r="BA333" s="32">
        <v>0</v>
      </c>
      <c r="BB333" s="32">
        <v>0</v>
      </c>
      <c r="BC333" s="32">
        <v>0</v>
      </c>
      <c r="BD333" s="32">
        <v>0</v>
      </c>
      <c r="BE333" s="32">
        <v>0</v>
      </c>
      <c r="BF333" s="32">
        <v>0</v>
      </c>
      <c r="BG333" s="32">
        <v>0</v>
      </c>
      <c r="BH333" s="32"/>
      <c r="BI333" s="33">
        <f t="shared" si="651"/>
        <v>3.5207081701674672</v>
      </c>
      <c r="BJ333" s="33"/>
    </row>
    <row r="334" spans="2:62" x14ac:dyDescent="0.3">
      <c r="B334" s="29" t="s">
        <v>189</v>
      </c>
      <c r="C334" s="22"/>
      <c r="D334" s="22"/>
      <c r="E334" s="30">
        <f t="shared" si="646"/>
        <v>0</v>
      </c>
      <c r="F334" s="31">
        <f t="shared" si="647"/>
        <v>0</v>
      </c>
      <c r="G334" s="31">
        <f t="shared" si="647"/>
        <v>0</v>
      </c>
      <c r="H334" s="31">
        <f t="shared" si="647"/>
        <v>0</v>
      </c>
      <c r="I334" s="31">
        <f t="shared" si="647"/>
        <v>0</v>
      </c>
      <c r="J334" s="22"/>
      <c r="K334" s="22"/>
      <c r="L334" s="22">
        <f t="shared" si="649"/>
        <v>0</v>
      </c>
      <c r="M334" s="40" t="e">
        <f t="shared" si="650"/>
        <v>#DIV/0!</v>
      </c>
      <c r="N334" s="35"/>
      <c r="O334" s="22"/>
      <c r="P334" s="22"/>
      <c r="Q334" s="22"/>
      <c r="R334" s="22"/>
      <c r="S334" s="22"/>
      <c r="T334" s="22"/>
      <c r="U334" s="22"/>
      <c r="V334" s="33">
        <f t="shared" si="648"/>
        <v>0</v>
      </c>
      <c r="W334" s="33"/>
      <c r="X334" s="33"/>
      <c r="Y334" s="33"/>
      <c r="Z334" s="33"/>
      <c r="AA334" s="33"/>
      <c r="AB334" s="32">
        <v>0</v>
      </c>
      <c r="AC334" s="32">
        <v>0</v>
      </c>
      <c r="AD334" s="32">
        <v>0</v>
      </c>
      <c r="AE334" s="32">
        <v>0</v>
      </c>
      <c r="AF334" s="32">
        <v>0</v>
      </c>
      <c r="AG334" s="32">
        <v>0</v>
      </c>
      <c r="AH334" s="32">
        <v>0</v>
      </c>
      <c r="AI334" s="32">
        <v>0</v>
      </c>
      <c r="AJ334" s="32">
        <v>0</v>
      </c>
      <c r="AK334" s="32">
        <v>0</v>
      </c>
      <c r="AL334" s="32">
        <v>0</v>
      </c>
      <c r="AM334" s="32">
        <v>0</v>
      </c>
      <c r="AN334" s="32">
        <v>0</v>
      </c>
      <c r="AO334" s="32">
        <v>0</v>
      </c>
      <c r="AP334" s="32">
        <v>0</v>
      </c>
      <c r="AQ334" s="32">
        <v>0</v>
      </c>
      <c r="AR334" s="32">
        <v>0</v>
      </c>
      <c r="AS334" s="32">
        <v>0</v>
      </c>
      <c r="AT334" s="32">
        <v>0</v>
      </c>
      <c r="AU334" s="32">
        <v>0</v>
      </c>
      <c r="AV334" s="32">
        <v>0</v>
      </c>
      <c r="AW334" s="32">
        <v>0</v>
      </c>
      <c r="AX334" s="32">
        <v>0</v>
      </c>
      <c r="AY334" s="32">
        <v>0</v>
      </c>
      <c r="AZ334" s="32">
        <v>0</v>
      </c>
      <c r="BA334" s="32">
        <v>0</v>
      </c>
      <c r="BB334" s="32">
        <v>0</v>
      </c>
      <c r="BC334" s="32">
        <v>0</v>
      </c>
      <c r="BD334" s="32">
        <v>0</v>
      </c>
      <c r="BE334" s="32">
        <v>0</v>
      </c>
      <c r="BF334" s="32">
        <v>0</v>
      </c>
      <c r="BG334" s="32">
        <v>0</v>
      </c>
      <c r="BH334" s="32"/>
      <c r="BI334" s="33">
        <f t="shared" si="651"/>
        <v>0</v>
      </c>
      <c r="BJ334" s="33"/>
    </row>
    <row r="335" spans="2:62" x14ac:dyDescent="0.3">
      <c r="B335" s="29" t="s">
        <v>32</v>
      </c>
      <c r="C335" s="22"/>
      <c r="D335" s="22"/>
      <c r="E335" s="30">
        <f t="shared" si="646"/>
        <v>16000</v>
      </c>
      <c r="F335" s="31">
        <f t="shared" si="647"/>
        <v>4</v>
      </c>
      <c r="G335" s="31">
        <f t="shared" si="647"/>
        <v>0</v>
      </c>
      <c r="H335" s="31">
        <f t="shared" si="647"/>
        <v>0</v>
      </c>
      <c r="I335" s="31">
        <f t="shared" si="647"/>
        <v>0</v>
      </c>
      <c r="J335" s="22"/>
      <c r="K335" s="22"/>
      <c r="L335" s="22">
        <f t="shared" si="649"/>
        <v>0</v>
      </c>
      <c r="M335" s="40" t="e">
        <f t="shared" si="650"/>
        <v>#DIV/0!</v>
      </c>
      <c r="N335" s="35"/>
      <c r="O335" s="22"/>
      <c r="P335" s="22"/>
      <c r="Q335" s="22"/>
      <c r="R335" s="22"/>
      <c r="S335" s="22"/>
      <c r="T335" s="22"/>
      <c r="U335" s="22"/>
      <c r="V335" s="33">
        <f t="shared" si="648"/>
        <v>0</v>
      </c>
      <c r="W335" s="33"/>
      <c r="X335" s="33"/>
      <c r="Y335" s="33"/>
      <c r="Z335" s="33"/>
      <c r="AA335" s="33"/>
      <c r="AB335" s="32">
        <v>0</v>
      </c>
      <c r="AC335" s="32">
        <v>0</v>
      </c>
      <c r="AD335" s="32">
        <v>0</v>
      </c>
      <c r="AE335" s="32">
        <v>0</v>
      </c>
      <c r="AF335" s="32">
        <v>0</v>
      </c>
      <c r="AG335" s="32">
        <v>0</v>
      </c>
      <c r="AH335" s="32">
        <v>0</v>
      </c>
      <c r="AI335" s="32">
        <v>0</v>
      </c>
      <c r="AJ335" s="32">
        <v>0</v>
      </c>
      <c r="AK335" s="32">
        <v>0</v>
      </c>
      <c r="AL335" s="32">
        <v>0</v>
      </c>
      <c r="AM335" s="32">
        <v>0</v>
      </c>
      <c r="AN335" s="32">
        <v>0</v>
      </c>
      <c r="AO335" s="32">
        <v>0</v>
      </c>
      <c r="AP335" s="32">
        <v>0</v>
      </c>
      <c r="AQ335" s="32">
        <v>0</v>
      </c>
      <c r="AR335" s="32">
        <v>0</v>
      </c>
      <c r="AS335" s="32">
        <v>0</v>
      </c>
      <c r="AT335" s="32">
        <v>0</v>
      </c>
      <c r="AU335" s="32">
        <v>0</v>
      </c>
      <c r="AV335" s="32">
        <v>0</v>
      </c>
      <c r="AW335" s="32">
        <v>0</v>
      </c>
      <c r="AX335" s="32">
        <v>0</v>
      </c>
      <c r="AY335" s="32">
        <v>0</v>
      </c>
      <c r="AZ335" s="32">
        <v>0</v>
      </c>
      <c r="BA335" s="32">
        <v>0</v>
      </c>
      <c r="BB335" s="32">
        <v>0</v>
      </c>
      <c r="BC335" s="32">
        <v>0</v>
      </c>
      <c r="BD335" s="32">
        <v>0</v>
      </c>
      <c r="BE335" s="32">
        <v>0</v>
      </c>
      <c r="BF335" s="32">
        <v>0</v>
      </c>
      <c r="BG335" s="32">
        <v>0</v>
      </c>
      <c r="BH335" s="32"/>
      <c r="BI335" s="33">
        <f t="shared" si="651"/>
        <v>0</v>
      </c>
      <c r="BJ335" s="33"/>
    </row>
    <row r="336" spans="2:62" x14ac:dyDescent="0.3">
      <c r="B336" s="29" t="s">
        <v>296</v>
      </c>
      <c r="C336" s="22"/>
      <c r="D336" s="22"/>
      <c r="E336" s="30">
        <f t="shared" si="646"/>
        <v>0</v>
      </c>
      <c r="F336" s="31">
        <f t="shared" si="647"/>
        <v>0</v>
      </c>
      <c r="G336" s="31">
        <f t="shared" si="647"/>
        <v>0</v>
      </c>
      <c r="H336" s="31">
        <f t="shared" si="647"/>
        <v>0</v>
      </c>
      <c r="I336" s="31">
        <f t="shared" si="647"/>
        <v>0</v>
      </c>
      <c r="J336" s="22"/>
      <c r="K336" s="22"/>
      <c r="L336" s="22">
        <f t="shared" si="649"/>
        <v>0</v>
      </c>
      <c r="M336" s="40" t="e">
        <f t="shared" si="650"/>
        <v>#DIV/0!</v>
      </c>
      <c r="N336" s="35"/>
      <c r="O336" s="22"/>
      <c r="P336" s="22"/>
      <c r="Q336" s="22"/>
      <c r="R336" s="22"/>
      <c r="S336" s="22"/>
      <c r="T336" s="22"/>
      <c r="U336" s="22"/>
      <c r="V336" s="33">
        <f t="shared" si="648"/>
        <v>0</v>
      </c>
      <c r="W336" s="33"/>
      <c r="X336" s="33"/>
      <c r="Y336" s="33"/>
      <c r="Z336" s="33"/>
      <c r="AA336" s="33"/>
      <c r="AB336" s="32">
        <v>0</v>
      </c>
      <c r="AC336" s="32">
        <v>0</v>
      </c>
      <c r="AD336" s="32">
        <v>0</v>
      </c>
      <c r="AE336" s="32">
        <v>0</v>
      </c>
      <c r="AF336" s="32">
        <v>0</v>
      </c>
      <c r="AG336" s="32">
        <v>0</v>
      </c>
      <c r="AH336" s="32">
        <v>0</v>
      </c>
      <c r="AI336" s="32">
        <v>0</v>
      </c>
      <c r="AJ336" s="32">
        <v>0</v>
      </c>
      <c r="AK336" s="32">
        <v>0</v>
      </c>
      <c r="AL336" s="32">
        <v>0</v>
      </c>
      <c r="AM336" s="32">
        <v>0</v>
      </c>
      <c r="AN336" s="32">
        <v>0</v>
      </c>
      <c r="AO336" s="32">
        <v>0</v>
      </c>
      <c r="AP336" s="32">
        <v>0</v>
      </c>
      <c r="AQ336" s="32">
        <v>0</v>
      </c>
      <c r="AR336" s="32">
        <v>0</v>
      </c>
      <c r="AS336" s="32">
        <v>0</v>
      </c>
      <c r="AT336" s="32">
        <v>0</v>
      </c>
      <c r="AU336" s="32">
        <v>0</v>
      </c>
      <c r="AV336" s="32">
        <v>0</v>
      </c>
      <c r="AW336" s="32">
        <v>0</v>
      </c>
      <c r="AX336" s="32">
        <v>0</v>
      </c>
      <c r="AY336" s="32">
        <v>0</v>
      </c>
      <c r="AZ336" s="32">
        <v>0</v>
      </c>
      <c r="BA336" s="32">
        <v>0</v>
      </c>
      <c r="BB336" s="32">
        <v>0</v>
      </c>
      <c r="BC336" s="32">
        <v>0</v>
      </c>
      <c r="BD336" s="32">
        <v>0</v>
      </c>
      <c r="BE336" s="32">
        <v>0</v>
      </c>
      <c r="BF336" s="32">
        <v>0</v>
      </c>
      <c r="BG336" s="32">
        <v>0</v>
      </c>
      <c r="BH336" s="32"/>
      <c r="BI336" s="33">
        <f t="shared" si="651"/>
        <v>0</v>
      </c>
      <c r="BJ336" s="33"/>
    </row>
    <row r="337" spans="2:62" x14ac:dyDescent="0.3">
      <c r="B337" s="29" t="s">
        <v>191</v>
      </c>
      <c r="C337" s="22"/>
      <c r="D337" s="22"/>
      <c r="E337" s="30">
        <f t="shared" si="646"/>
        <v>4000</v>
      </c>
      <c r="F337" s="31">
        <f t="shared" si="647"/>
        <v>1</v>
      </c>
      <c r="G337" s="31">
        <f t="shared" si="647"/>
        <v>0</v>
      </c>
      <c r="H337" s="31">
        <f t="shared" si="647"/>
        <v>0</v>
      </c>
      <c r="I337" s="31">
        <f t="shared" si="647"/>
        <v>0</v>
      </c>
      <c r="J337" s="22" t="s">
        <v>355</v>
      </c>
      <c r="K337" s="22">
        <v>0.3</v>
      </c>
      <c r="L337" s="22">
        <f t="shared" si="649"/>
        <v>1.0274457980828728</v>
      </c>
      <c r="M337" s="40">
        <f t="shared" si="650"/>
        <v>0.21355808788157429</v>
      </c>
      <c r="N337" s="35"/>
      <c r="O337" s="22"/>
      <c r="P337" s="22"/>
      <c r="Q337" s="22"/>
      <c r="R337" s="22"/>
      <c r="S337" s="22"/>
      <c r="T337" s="22"/>
      <c r="U337" s="22"/>
      <c r="V337" s="33">
        <f t="shared" si="648"/>
        <v>4.811083524275741</v>
      </c>
      <c r="W337" s="33"/>
      <c r="X337" s="33"/>
      <c r="Y337" s="33"/>
      <c r="Z337" s="33"/>
      <c r="AA337" s="33"/>
      <c r="AB337" s="32">
        <v>0.15039543749999998</v>
      </c>
      <c r="AC337" s="32">
        <v>0.16961056126770002</v>
      </c>
      <c r="AD337" s="32">
        <v>0.18004782539374894</v>
      </c>
      <c r="AE337" s="32">
        <v>0.19224589459938179</v>
      </c>
      <c r="AF337" s="32">
        <v>1.2799040800023713</v>
      </c>
      <c r="AG337" s="32">
        <v>1.3707772696825393</v>
      </c>
      <c r="AH337" s="32">
        <v>1.4681024558299993</v>
      </c>
      <c r="AI337" s="32">
        <v>0</v>
      </c>
      <c r="AJ337" s="32">
        <v>0</v>
      </c>
      <c r="AK337" s="32">
        <v>0</v>
      </c>
      <c r="AL337" s="32">
        <v>0</v>
      </c>
      <c r="AM337" s="32">
        <v>0</v>
      </c>
      <c r="AN337" s="32">
        <v>0</v>
      </c>
      <c r="AO337" s="32">
        <v>0</v>
      </c>
      <c r="AP337" s="32">
        <v>0</v>
      </c>
      <c r="AQ337" s="32">
        <v>0</v>
      </c>
      <c r="AR337" s="32">
        <v>0</v>
      </c>
      <c r="AS337" s="32">
        <v>0</v>
      </c>
      <c r="AT337" s="32">
        <v>0</v>
      </c>
      <c r="AU337" s="32">
        <v>0</v>
      </c>
      <c r="AV337" s="32">
        <v>0</v>
      </c>
      <c r="AW337" s="32">
        <v>0</v>
      </c>
      <c r="AX337" s="32">
        <v>0</v>
      </c>
      <c r="AY337" s="32">
        <v>0</v>
      </c>
      <c r="AZ337" s="32">
        <v>0</v>
      </c>
      <c r="BA337" s="32">
        <v>0</v>
      </c>
      <c r="BB337" s="32">
        <v>0</v>
      </c>
      <c r="BC337" s="32">
        <v>0</v>
      </c>
      <c r="BD337" s="32">
        <v>0</v>
      </c>
      <c r="BE337" s="32">
        <v>0</v>
      </c>
      <c r="BF337" s="32">
        <v>0</v>
      </c>
      <c r="BG337" s="32">
        <v>0</v>
      </c>
      <c r="BH337" s="32"/>
      <c r="BI337" s="33">
        <f t="shared" si="651"/>
        <v>4.811083524275741</v>
      </c>
      <c r="BJ337" s="33"/>
    </row>
    <row r="338" spans="2:62" x14ac:dyDescent="0.3">
      <c r="B338" s="29" t="s">
        <v>194</v>
      </c>
      <c r="C338" s="22"/>
      <c r="D338" s="22"/>
      <c r="E338" s="30">
        <f t="shared" si="646"/>
        <v>62000</v>
      </c>
      <c r="F338" s="31">
        <f t="shared" si="647"/>
        <v>8</v>
      </c>
      <c r="G338" s="31">
        <f t="shared" si="647"/>
        <v>1</v>
      </c>
      <c r="H338" s="31">
        <f t="shared" si="647"/>
        <v>0</v>
      </c>
      <c r="I338" s="31">
        <f t="shared" si="647"/>
        <v>0</v>
      </c>
      <c r="J338" s="22"/>
      <c r="K338" s="22"/>
      <c r="L338" s="22">
        <f t="shared" si="649"/>
        <v>0</v>
      </c>
      <c r="M338" s="40" t="e">
        <f t="shared" si="650"/>
        <v>#DIV/0!</v>
      </c>
      <c r="N338" s="35"/>
      <c r="O338" s="22"/>
      <c r="P338" s="22"/>
      <c r="Q338" s="22"/>
      <c r="R338" s="22"/>
      <c r="S338" s="22"/>
      <c r="T338" s="22"/>
      <c r="U338" s="22"/>
      <c r="V338" s="33">
        <f t="shared" si="648"/>
        <v>0</v>
      </c>
      <c r="W338" s="33"/>
      <c r="X338" s="33"/>
      <c r="Y338" s="33"/>
      <c r="Z338" s="33"/>
      <c r="AA338" s="33"/>
      <c r="AB338" s="32">
        <v>0</v>
      </c>
      <c r="AC338" s="32">
        <v>0</v>
      </c>
      <c r="AD338" s="32">
        <v>0</v>
      </c>
      <c r="AE338" s="32">
        <v>0</v>
      </c>
      <c r="AF338" s="32">
        <v>0</v>
      </c>
      <c r="AG338" s="32">
        <v>0</v>
      </c>
      <c r="AH338" s="32">
        <v>0</v>
      </c>
      <c r="AI338" s="32">
        <v>0</v>
      </c>
      <c r="AJ338" s="32">
        <v>0</v>
      </c>
      <c r="AK338" s="32">
        <v>0</v>
      </c>
      <c r="AL338" s="32">
        <v>0</v>
      </c>
      <c r="AM338" s="32">
        <v>0</v>
      </c>
      <c r="AN338" s="32">
        <v>0</v>
      </c>
      <c r="AO338" s="32">
        <v>0</v>
      </c>
      <c r="AP338" s="32">
        <v>0</v>
      </c>
      <c r="AQ338" s="32">
        <v>0</v>
      </c>
      <c r="AR338" s="32">
        <v>0</v>
      </c>
      <c r="AS338" s="32">
        <v>0</v>
      </c>
      <c r="AT338" s="32">
        <v>0.66006481954588325</v>
      </c>
      <c r="AU338" s="32">
        <v>0.70692942173364082</v>
      </c>
      <c r="AV338" s="32">
        <v>0.75712141067672944</v>
      </c>
      <c r="AW338" s="32">
        <v>5.3393133722659174</v>
      </c>
      <c r="AX338" s="32">
        <v>5.7184046216967976</v>
      </c>
      <c r="AY338" s="32">
        <v>6.1244113498372705</v>
      </c>
      <c r="AZ338" s="32">
        <v>6.5592445556757166</v>
      </c>
      <c r="BA338" s="32">
        <v>7.8353643575211667</v>
      </c>
      <c r="BB338" s="32">
        <v>8.572920228829215</v>
      </c>
      <c r="BC338" s="32">
        <v>9.1727165599818115</v>
      </c>
      <c r="BD338" s="32">
        <v>9.8149030485341697</v>
      </c>
      <c r="BE338" s="32">
        <v>50.517099895758115</v>
      </c>
      <c r="BF338" s="32">
        <v>54.103813988356926</v>
      </c>
      <c r="BG338" s="32">
        <v>57.945184781530273</v>
      </c>
      <c r="BH338" s="32"/>
      <c r="BI338" s="33">
        <f t="shared" si="651"/>
        <v>223.82749241194364</v>
      </c>
      <c r="BJ338" s="33"/>
    </row>
    <row r="339" spans="2:62" x14ac:dyDescent="0.3">
      <c r="B339" s="29" t="s">
        <v>193</v>
      </c>
      <c r="C339" s="22"/>
      <c r="D339" s="22"/>
      <c r="E339" s="30">
        <f t="shared" si="646"/>
        <v>4000</v>
      </c>
      <c r="F339" s="31">
        <f t="shared" si="647"/>
        <v>1</v>
      </c>
      <c r="G339" s="31">
        <f t="shared" si="647"/>
        <v>0</v>
      </c>
      <c r="H339" s="31">
        <f t="shared" si="647"/>
        <v>0</v>
      </c>
      <c r="I339" s="31">
        <f t="shared" si="647"/>
        <v>0</v>
      </c>
      <c r="J339" s="22"/>
      <c r="K339" s="22"/>
      <c r="L339" s="22">
        <f t="shared" si="649"/>
        <v>0</v>
      </c>
      <c r="M339" s="40" t="e">
        <f t="shared" si="650"/>
        <v>#DIV/0!</v>
      </c>
      <c r="N339" s="35"/>
      <c r="O339" s="22"/>
      <c r="P339" s="22"/>
      <c r="Q339" s="22"/>
      <c r="R339" s="22"/>
      <c r="S339" s="22"/>
      <c r="T339" s="22"/>
      <c r="U339" s="22"/>
      <c r="V339" s="33">
        <f t="shared" si="648"/>
        <v>0</v>
      </c>
      <c r="W339" s="33"/>
      <c r="X339" s="33"/>
      <c r="Y339" s="33"/>
      <c r="Z339" s="33"/>
      <c r="AA339" s="33"/>
      <c r="AB339" s="32">
        <v>0</v>
      </c>
      <c r="AC339" s="32">
        <v>0</v>
      </c>
      <c r="AD339" s="32">
        <v>0</v>
      </c>
      <c r="AE339" s="32">
        <v>0</v>
      </c>
      <c r="AF339" s="32">
        <v>0</v>
      </c>
      <c r="AG339" s="32">
        <v>0</v>
      </c>
      <c r="AH339" s="32">
        <v>0</v>
      </c>
      <c r="AI339" s="32">
        <v>0</v>
      </c>
      <c r="AJ339" s="32">
        <v>0</v>
      </c>
      <c r="AK339" s="32">
        <v>0</v>
      </c>
      <c r="AL339" s="32">
        <v>0</v>
      </c>
      <c r="AM339" s="32">
        <v>0</v>
      </c>
      <c r="AN339" s="32">
        <v>0</v>
      </c>
      <c r="AO339" s="32">
        <v>0</v>
      </c>
      <c r="AP339" s="32">
        <v>0</v>
      </c>
      <c r="AQ339" s="32">
        <v>0</v>
      </c>
      <c r="AR339" s="32">
        <v>0</v>
      </c>
      <c r="AS339" s="32">
        <v>0</v>
      </c>
      <c r="AT339" s="32">
        <v>0</v>
      </c>
      <c r="AU339" s="32">
        <v>0</v>
      </c>
      <c r="AV339" s="32">
        <v>0</v>
      </c>
      <c r="AW339" s="32">
        <v>0.1996004998977913</v>
      </c>
      <c r="AX339" s="32">
        <v>0.2137721353905345</v>
      </c>
      <c r="AY339" s="32">
        <v>0.22894995700326246</v>
      </c>
      <c r="AZ339" s="32">
        <v>0.24520540395049406</v>
      </c>
      <c r="BA339" s="32">
        <v>0.54985013035236252</v>
      </c>
      <c r="BB339" s="32">
        <v>0.60902782315449655</v>
      </c>
      <c r="BC339" s="32">
        <v>0.6512820202546572</v>
      </c>
      <c r="BD339" s="32">
        <v>0.6965145562253654</v>
      </c>
      <c r="BE339" s="32">
        <v>5.3175894627113802</v>
      </c>
      <c r="BF339" s="32">
        <v>5.695138314563887</v>
      </c>
      <c r="BG339" s="32">
        <v>6.0994931348979229</v>
      </c>
      <c r="BH339" s="32"/>
      <c r="BI339" s="33">
        <f t="shared" si="651"/>
        <v>20.506423438402155</v>
      </c>
      <c r="BJ339" s="33"/>
    </row>
    <row r="340" spans="2:62" x14ac:dyDescent="0.3">
      <c r="B340" s="29" t="s">
        <v>39</v>
      </c>
      <c r="C340" s="22"/>
      <c r="D340" s="22"/>
      <c r="E340" s="30">
        <f t="shared" si="646"/>
        <v>31910</v>
      </c>
      <c r="F340" s="31">
        <f t="shared" si="647"/>
        <v>7.9775</v>
      </c>
      <c r="G340" s="31">
        <f t="shared" si="647"/>
        <v>0</v>
      </c>
      <c r="H340" s="31">
        <f t="shared" si="647"/>
        <v>0</v>
      </c>
      <c r="I340" s="31">
        <f t="shared" si="647"/>
        <v>0</v>
      </c>
      <c r="J340" s="22" t="s">
        <v>354</v>
      </c>
      <c r="K340" s="22">
        <v>1</v>
      </c>
      <c r="L340" s="22">
        <f t="shared" si="649"/>
        <v>28.151659572745903</v>
      </c>
      <c r="M340" s="40">
        <f t="shared" si="650"/>
        <v>0.711860292938581</v>
      </c>
      <c r="N340" s="35"/>
      <c r="O340" s="22"/>
      <c r="P340" s="22"/>
      <c r="Q340" s="22"/>
      <c r="R340" s="22"/>
      <c r="S340" s="22"/>
      <c r="T340" s="22"/>
      <c r="U340" s="22"/>
      <c r="V340" s="33">
        <f t="shared" si="648"/>
        <v>39.546607462167884</v>
      </c>
      <c r="W340" s="33"/>
      <c r="X340" s="33"/>
      <c r="Y340" s="33"/>
      <c r="Z340" s="33"/>
      <c r="AA340" s="33"/>
      <c r="AB340" s="32">
        <v>15.237206254733335</v>
      </c>
      <c r="AC340" s="32">
        <v>11.780589610502867</v>
      </c>
      <c r="AD340" s="32">
        <v>12.528811596931682</v>
      </c>
      <c r="AE340" s="32">
        <v>0</v>
      </c>
      <c r="AF340" s="32">
        <v>0</v>
      </c>
      <c r="AG340" s="32">
        <v>0</v>
      </c>
      <c r="AH340" s="32">
        <v>0</v>
      </c>
      <c r="AI340" s="32">
        <v>0</v>
      </c>
      <c r="AJ340" s="32">
        <v>0</v>
      </c>
      <c r="AK340" s="32">
        <v>0</v>
      </c>
      <c r="AL340" s="32">
        <v>0</v>
      </c>
      <c r="AM340" s="32">
        <v>0</v>
      </c>
      <c r="AN340" s="32">
        <v>0</v>
      </c>
      <c r="AO340" s="32">
        <v>0</v>
      </c>
      <c r="AP340" s="32">
        <v>0</v>
      </c>
      <c r="AQ340" s="32">
        <v>0</v>
      </c>
      <c r="AR340" s="32">
        <v>0</v>
      </c>
      <c r="AS340" s="32">
        <v>0</v>
      </c>
      <c r="AT340" s="32">
        <v>0</v>
      </c>
      <c r="AU340" s="32">
        <v>0</v>
      </c>
      <c r="AV340" s="32">
        <v>0</v>
      </c>
      <c r="AW340" s="32">
        <v>0</v>
      </c>
      <c r="AX340" s="32">
        <v>0</v>
      </c>
      <c r="AY340" s="32">
        <v>0</v>
      </c>
      <c r="AZ340" s="32">
        <v>0</v>
      </c>
      <c r="BA340" s="32">
        <v>0</v>
      </c>
      <c r="BB340" s="32">
        <v>0</v>
      </c>
      <c r="BC340" s="32">
        <v>0</v>
      </c>
      <c r="BD340" s="32">
        <v>0</v>
      </c>
      <c r="BE340" s="32">
        <v>0</v>
      </c>
      <c r="BF340" s="32">
        <v>0</v>
      </c>
      <c r="BG340" s="32">
        <v>0</v>
      </c>
      <c r="BH340" s="32"/>
      <c r="BI340" s="33">
        <f t="shared" si="651"/>
        <v>39.546607462167884</v>
      </c>
      <c r="BJ340" s="33"/>
    </row>
    <row r="341" spans="2:62" x14ac:dyDescent="0.3">
      <c r="B341" s="29" t="s">
        <v>195</v>
      </c>
      <c r="C341" s="22"/>
      <c r="D341" s="22"/>
      <c r="E341" s="30">
        <f t="shared" si="646"/>
        <v>279420</v>
      </c>
      <c r="F341" s="31">
        <f t="shared" si="647"/>
        <v>31.605</v>
      </c>
      <c r="G341" s="31">
        <f t="shared" si="647"/>
        <v>5</v>
      </c>
      <c r="H341" s="31">
        <f t="shared" si="647"/>
        <v>0</v>
      </c>
      <c r="I341" s="31">
        <f t="shared" si="647"/>
        <v>1.5</v>
      </c>
      <c r="J341" s="22" t="s">
        <v>354</v>
      </c>
      <c r="K341" s="22">
        <v>1</v>
      </c>
      <c r="L341" s="22">
        <f t="shared" si="649"/>
        <v>65.672558263244724</v>
      </c>
      <c r="M341" s="40">
        <f t="shared" si="650"/>
        <v>0.711860292938581</v>
      </c>
      <c r="N341" s="35"/>
      <c r="O341" s="22"/>
      <c r="P341" s="22"/>
      <c r="Q341" s="22"/>
      <c r="R341" s="22"/>
      <c r="S341" s="22"/>
      <c r="T341" s="22"/>
      <c r="U341" s="22"/>
      <c r="V341" s="33">
        <f t="shared" si="648"/>
        <v>92.254841174166913</v>
      </c>
      <c r="W341" s="33"/>
      <c r="X341" s="33"/>
      <c r="Y341" s="33"/>
      <c r="Z341" s="33"/>
      <c r="AA341" s="33"/>
      <c r="AB341" s="32">
        <v>4.2679323869000001</v>
      </c>
      <c r="AC341" s="32">
        <v>6.3553012275391296</v>
      </c>
      <c r="AD341" s="32">
        <v>4.3007370558506839</v>
      </c>
      <c r="AE341" s="32">
        <v>5.3175311254318549</v>
      </c>
      <c r="AF341" s="32">
        <v>5.689692003134935</v>
      </c>
      <c r="AG341" s="32">
        <v>13.744213235423164</v>
      </c>
      <c r="AH341" s="32">
        <v>19.210147990481925</v>
      </c>
      <c r="AI341" s="32">
        <v>20.574068497806145</v>
      </c>
      <c r="AJ341" s="32">
        <v>6.1782798897146582</v>
      </c>
      <c r="AK341" s="32">
        <v>6.6169377618843992</v>
      </c>
      <c r="AL341" s="32">
        <v>7.3260891529123953</v>
      </c>
      <c r="AM341" s="32">
        <v>8.151367603408243</v>
      </c>
      <c r="AN341" s="32">
        <v>8.7151635233389122</v>
      </c>
      <c r="AO341" s="32">
        <v>9.3186600276266134</v>
      </c>
      <c r="AP341" s="32">
        <v>38.452407821125199</v>
      </c>
      <c r="AQ341" s="32">
        <v>41.182528776425087</v>
      </c>
      <c r="AR341" s="32">
        <v>44.106488319551268</v>
      </c>
      <c r="AS341" s="32">
        <v>0</v>
      </c>
      <c r="AT341" s="32">
        <v>0.68037450630114127</v>
      </c>
      <c r="AU341" s="32">
        <v>0.72868109624852218</v>
      </c>
      <c r="AV341" s="32">
        <v>0.78041745408216723</v>
      </c>
      <c r="AW341" s="32">
        <v>4.8863737763440067</v>
      </c>
      <c r="AX341" s="32">
        <v>5.2333063144644321</v>
      </c>
      <c r="AY341" s="32">
        <v>5.604871062791406</v>
      </c>
      <c r="AZ341" s="32">
        <v>6.0028169082495957</v>
      </c>
      <c r="BA341" s="32">
        <v>6.3761467038937436</v>
      </c>
      <c r="BB341" s="32">
        <v>6.949683121152896</v>
      </c>
      <c r="BC341" s="32">
        <v>7.4371899526919005</v>
      </c>
      <c r="BD341" s="32">
        <v>7.9591795145287882</v>
      </c>
      <c r="BE341" s="32">
        <v>32.152866518719968</v>
      </c>
      <c r="BF341" s="32">
        <v>34.435720041549089</v>
      </c>
      <c r="BG341" s="32">
        <v>36.880656164499072</v>
      </c>
      <c r="BH341" s="32"/>
      <c r="BI341" s="33">
        <f t="shared" si="651"/>
        <v>405.61582953407128</v>
      </c>
      <c r="BJ341" s="33"/>
    </row>
    <row r="342" spans="2:62" x14ac:dyDescent="0.3">
      <c r="B342" s="29" t="s">
        <v>198</v>
      </c>
      <c r="C342" s="22"/>
      <c r="D342" s="22"/>
      <c r="E342" s="30">
        <f t="shared" si="646"/>
        <v>20000</v>
      </c>
      <c r="F342" s="31">
        <f t="shared" si="647"/>
        <v>5</v>
      </c>
      <c r="G342" s="31">
        <f t="shared" si="647"/>
        <v>0</v>
      </c>
      <c r="H342" s="31">
        <f t="shared" si="647"/>
        <v>0</v>
      </c>
      <c r="I342" s="31">
        <f t="shared" si="647"/>
        <v>0</v>
      </c>
      <c r="J342" s="22" t="s">
        <v>352</v>
      </c>
      <c r="K342" s="22">
        <v>0.3</v>
      </c>
      <c r="L342" s="22">
        <f t="shared" si="649"/>
        <v>2.9660913873839014</v>
      </c>
      <c r="M342" s="40">
        <f t="shared" si="650"/>
        <v>0.21355808788157429</v>
      </c>
      <c r="N342" s="35"/>
      <c r="O342" s="22"/>
      <c r="P342" s="22"/>
      <c r="Q342" s="22"/>
      <c r="R342" s="22"/>
      <c r="S342" s="22"/>
      <c r="T342" s="22"/>
      <c r="U342" s="22"/>
      <c r="V342" s="33">
        <f t="shared" si="648"/>
        <v>13.888920887082987</v>
      </c>
      <c r="W342" s="33"/>
      <c r="X342" s="33"/>
      <c r="Y342" s="33"/>
      <c r="Z342" s="33"/>
      <c r="AA342" s="33"/>
      <c r="AB342" s="32">
        <v>1.0529052619000001</v>
      </c>
      <c r="AC342" s="32">
        <v>1.3319584322927001</v>
      </c>
      <c r="AD342" s="32">
        <v>1.4403281291631749</v>
      </c>
      <c r="AE342" s="32">
        <v>1.5286272108547621</v>
      </c>
      <c r="AF342" s="32">
        <v>0.3004112521885865</v>
      </c>
      <c r="AG342" s="32">
        <v>2.4181259489905385</v>
      </c>
      <c r="AH342" s="32">
        <v>2.6917042488695451</v>
      </c>
      <c r="AI342" s="32">
        <v>2.8828152505392826</v>
      </c>
      <c r="AJ342" s="32">
        <v>0.1168735645989359</v>
      </c>
      <c r="AK342" s="32">
        <v>0.12517158768546036</v>
      </c>
      <c r="AL342" s="32">
        <v>0.33256887275068303</v>
      </c>
      <c r="AM342" s="32">
        <v>0.38524089325303557</v>
      </c>
      <c r="AN342" s="32">
        <v>0.41116907477768555</v>
      </c>
      <c r="AO342" s="32">
        <v>0.43890683090886656</v>
      </c>
      <c r="AP342" s="32">
        <v>3.5865273084804108</v>
      </c>
      <c r="AQ342" s="32">
        <v>3.8411707473825203</v>
      </c>
      <c r="AR342" s="32">
        <v>4.1138938704466783</v>
      </c>
      <c r="AS342" s="32">
        <v>0</v>
      </c>
      <c r="AT342" s="32">
        <v>0</v>
      </c>
      <c r="AU342" s="32">
        <v>0</v>
      </c>
      <c r="AV342" s="32">
        <v>0</v>
      </c>
      <c r="AW342" s="32">
        <v>0</v>
      </c>
      <c r="AX342" s="32">
        <v>0</v>
      </c>
      <c r="AY342" s="32">
        <v>0</v>
      </c>
      <c r="AZ342" s="32">
        <v>0</v>
      </c>
      <c r="BA342" s="32">
        <v>0</v>
      </c>
      <c r="BB342" s="32">
        <v>0</v>
      </c>
      <c r="BC342" s="32">
        <v>0</v>
      </c>
      <c r="BD342" s="32">
        <v>0</v>
      </c>
      <c r="BE342" s="32">
        <v>0</v>
      </c>
      <c r="BF342" s="32">
        <v>0</v>
      </c>
      <c r="BG342" s="32">
        <v>0</v>
      </c>
      <c r="BH342" s="32"/>
      <c r="BI342" s="33">
        <f t="shared" si="651"/>
        <v>26.998398485082866</v>
      </c>
      <c r="BJ342" s="33"/>
    </row>
    <row r="343" spans="2:62" x14ac:dyDescent="0.3">
      <c r="B343" s="29" t="s">
        <v>197</v>
      </c>
      <c r="C343" s="22"/>
      <c r="D343" s="22"/>
      <c r="E343" s="30">
        <f t="shared" si="646"/>
        <v>285000</v>
      </c>
      <c r="F343" s="31">
        <f t="shared" si="647"/>
        <v>33</v>
      </c>
      <c r="G343" s="31">
        <f t="shared" si="647"/>
        <v>5</v>
      </c>
      <c r="H343" s="31">
        <f t="shared" si="647"/>
        <v>0</v>
      </c>
      <c r="I343" s="31">
        <f t="shared" si="647"/>
        <v>1.5</v>
      </c>
      <c r="J343" s="22" t="s">
        <v>354</v>
      </c>
      <c r="K343" s="22">
        <v>1</v>
      </c>
      <c r="L343" s="22">
        <f t="shared" si="649"/>
        <v>53.481741858551679</v>
      </c>
      <c r="M343" s="40">
        <f t="shared" si="650"/>
        <v>0.711860292938581</v>
      </c>
      <c r="N343" s="35"/>
      <c r="O343" s="22"/>
      <c r="P343" s="22"/>
      <c r="Q343" s="22"/>
      <c r="R343" s="22"/>
      <c r="S343" s="22"/>
      <c r="T343" s="22"/>
      <c r="U343" s="22"/>
      <c r="V343" s="33">
        <f t="shared" si="648"/>
        <v>75.129547734398017</v>
      </c>
      <c r="W343" s="33"/>
      <c r="X343" s="33"/>
      <c r="Y343" s="33"/>
      <c r="Z343" s="33"/>
      <c r="AA343" s="33"/>
      <c r="AB343" s="32">
        <v>9.8287488333000006</v>
      </c>
      <c r="AC343" s="32">
        <v>11.03982915459655</v>
      </c>
      <c r="AD343" s="32">
        <v>11.740497771357424</v>
      </c>
      <c r="AE343" s="32">
        <v>12.662217681239042</v>
      </c>
      <c r="AF343" s="32">
        <v>13.561235136607015</v>
      </c>
      <c r="AG343" s="32">
        <v>1.1589834169560391</v>
      </c>
      <c r="AH343" s="32">
        <v>2.2600483058490775</v>
      </c>
      <c r="AI343" s="32">
        <v>2.4179574956624275</v>
      </c>
      <c r="AJ343" s="32">
        <v>3.0878211824928501</v>
      </c>
      <c r="AK343" s="32">
        <v>7.3722087563375922</v>
      </c>
      <c r="AL343" s="32">
        <v>8.5791653899865032</v>
      </c>
      <c r="AM343" s="32">
        <v>11.637886648641171</v>
      </c>
      <c r="AN343" s="32">
        <v>5.8462040378998772</v>
      </c>
      <c r="AO343" s="32">
        <v>6.2525530355225598</v>
      </c>
      <c r="AP343" s="32">
        <v>23.440057429719012</v>
      </c>
      <c r="AQ343" s="32">
        <v>26.232205765183387</v>
      </c>
      <c r="AR343" s="32">
        <v>28.370092093706397</v>
      </c>
      <c r="AS343" s="32">
        <v>5.9374004304779202</v>
      </c>
      <c r="AT343" s="32">
        <v>6.3451643939040059</v>
      </c>
      <c r="AU343" s="32">
        <v>38.676150493190789</v>
      </c>
      <c r="AV343" s="32">
        <v>41.422157178207343</v>
      </c>
      <c r="AW343" s="32">
        <v>44.363130337860056</v>
      </c>
      <c r="AX343" s="32">
        <v>0</v>
      </c>
      <c r="AY343" s="32">
        <v>0</v>
      </c>
      <c r="AZ343" s="32">
        <v>0</v>
      </c>
      <c r="BA343" s="32">
        <v>0</v>
      </c>
      <c r="BB343" s="32">
        <v>0</v>
      </c>
      <c r="BC343" s="32">
        <v>0</v>
      </c>
      <c r="BD343" s="32">
        <v>0</v>
      </c>
      <c r="BE343" s="32">
        <v>0</v>
      </c>
      <c r="BF343" s="32">
        <v>0</v>
      </c>
      <c r="BG343" s="32">
        <v>0</v>
      </c>
      <c r="BH343" s="32"/>
      <c r="BI343" s="33">
        <f t="shared" si="651"/>
        <v>322.23171496869708</v>
      </c>
      <c r="BJ343" s="33"/>
    </row>
    <row r="344" spans="2:62" x14ac:dyDescent="0.3">
      <c r="B344" s="29" t="s">
        <v>196</v>
      </c>
      <c r="C344" s="22"/>
      <c r="D344" s="22"/>
      <c r="E344" s="30">
        <f t="shared" si="646"/>
        <v>0</v>
      </c>
      <c r="F344" s="31">
        <f t="shared" si="647"/>
        <v>0</v>
      </c>
      <c r="G344" s="31">
        <f t="shared" si="647"/>
        <v>0</v>
      </c>
      <c r="H344" s="31">
        <f t="shared" si="647"/>
        <v>0</v>
      </c>
      <c r="I344" s="31">
        <f t="shared" si="647"/>
        <v>0</v>
      </c>
      <c r="J344" s="22"/>
      <c r="K344" s="22"/>
      <c r="L344" s="22">
        <f t="shared" si="649"/>
        <v>0</v>
      </c>
      <c r="M344" s="40" t="e">
        <f t="shared" si="650"/>
        <v>#DIV/0!</v>
      </c>
      <c r="N344" s="35"/>
      <c r="O344" s="22"/>
      <c r="P344" s="22"/>
      <c r="Q344" s="22"/>
      <c r="R344" s="22"/>
      <c r="S344" s="22"/>
      <c r="T344" s="22"/>
      <c r="U344" s="22"/>
      <c r="V344" s="33">
        <f t="shared" si="648"/>
        <v>0</v>
      </c>
      <c r="W344" s="33"/>
      <c r="X344" s="33"/>
      <c r="Y344" s="33"/>
      <c r="Z344" s="33"/>
      <c r="AA344" s="33"/>
      <c r="AB344" s="32">
        <v>0</v>
      </c>
      <c r="AC344" s="32">
        <v>0</v>
      </c>
      <c r="AD344" s="32">
        <v>0</v>
      </c>
      <c r="AE344" s="32">
        <v>0</v>
      </c>
      <c r="AF344" s="32">
        <v>0</v>
      </c>
      <c r="AG344" s="32">
        <v>0</v>
      </c>
      <c r="AH344" s="32">
        <v>0</v>
      </c>
      <c r="AI344" s="32">
        <v>0</v>
      </c>
      <c r="AJ344" s="32">
        <v>0</v>
      </c>
      <c r="AK344" s="32">
        <v>0</v>
      </c>
      <c r="AL344" s="32">
        <v>0</v>
      </c>
      <c r="AM344" s="32">
        <v>0</v>
      </c>
      <c r="AN344" s="32">
        <v>0</v>
      </c>
      <c r="AO344" s="32">
        <v>0</v>
      </c>
      <c r="AP344" s="32">
        <v>0</v>
      </c>
      <c r="AQ344" s="32">
        <v>0</v>
      </c>
      <c r="AR344" s="32">
        <v>0</v>
      </c>
      <c r="AS344" s="32">
        <v>0</v>
      </c>
      <c r="AT344" s="32">
        <v>0</v>
      </c>
      <c r="AU344" s="32">
        <v>0</v>
      </c>
      <c r="AV344" s="32">
        <v>0</v>
      </c>
      <c r="AW344" s="32">
        <v>0</v>
      </c>
      <c r="AX344" s="32">
        <v>0</v>
      </c>
      <c r="AY344" s="32">
        <v>0</v>
      </c>
      <c r="AZ344" s="32">
        <v>0</v>
      </c>
      <c r="BA344" s="32">
        <v>0</v>
      </c>
      <c r="BB344" s="32">
        <v>0</v>
      </c>
      <c r="BC344" s="32">
        <v>0</v>
      </c>
      <c r="BD344" s="32">
        <v>0</v>
      </c>
      <c r="BE344" s="32">
        <v>0</v>
      </c>
      <c r="BF344" s="32">
        <v>0</v>
      </c>
      <c r="BG344" s="32">
        <v>0</v>
      </c>
      <c r="BH344" s="32"/>
      <c r="BI344" s="33">
        <f t="shared" si="651"/>
        <v>0</v>
      </c>
      <c r="BJ344" s="33"/>
    </row>
    <row r="345" spans="2:62" x14ac:dyDescent="0.3">
      <c r="B345" s="29" t="s">
        <v>199</v>
      </c>
      <c r="C345" s="22"/>
      <c r="D345" s="22"/>
      <c r="E345" s="30">
        <f t="shared" si="646"/>
        <v>33400</v>
      </c>
      <c r="F345" s="31">
        <f t="shared" si="647"/>
        <v>8.35</v>
      </c>
      <c r="G345" s="31">
        <f t="shared" si="647"/>
        <v>0</v>
      </c>
      <c r="H345" s="31">
        <f t="shared" si="647"/>
        <v>0</v>
      </c>
      <c r="I345" s="31">
        <f t="shared" si="647"/>
        <v>0</v>
      </c>
      <c r="J345" s="22" t="s">
        <v>352</v>
      </c>
      <c r="K345" s="22">
        <v>0.3</v>
      </c>
      <c r="L345" s="22">
        <f t="shared" si="649"/>
        <v>5.5996294908697308</v>
      </c>
      <c r="M345" s="40">
        <f t="shared" si="650"/>
        <v>0.21355808788157429</v>
      </c>
      <c r="N345" s="35"/>
      <c r="O345" s="22"/>
      <c r="P345" s="22"/>
      <c r="Q345" s="22"/>
      <c r="R345" s="22"/>
      <c r="S345" s="22"/>
      <c r="T345" s="22"/>
      <c r="U345" s="22"/>
      <c r="V345" s="33">
        <f t="shared" si="648"/>
        <v>26.220638826729562</v>
      </c>
      <c r="W345" s="33"/>
      <c r="X345" s="33"/>
      <c r="Y345" s="33"/>
      <c r="Z345" s="33"/>
      <c r="AA345" s="33"/>
      <c r="AB345" s="32">
        <v>3.4472732717684211</v>
      </c>
      <c r="AC345" s="32">
        <v>3.9097776216789226</v>
      </c>
      <c r="AD345" s="32">
        <v>1.5737884938929585</v>
      </c>
      <c r="AE345" s="32">
        <v>1.6698072822883911</v>
      </c>
      <c r="AF345" s="32">
        <v>2.0295063317106332</v>
      </c>
      <c r="AG345" s="32">
        <v>4.4420476574675405</v>
      </c>
      <c r="AH345" s="32">
        <v>4.7704648773820946</v>
      </c>
      <c r="AI345" s="32">
        <v>3.0576540234477889</v>
      </c>
      <c r="AJ345" s="32">
        <v>0.14410023945408951</v>
      </c>
      <c r="AK345" s="32">
        <v>1.1762190276387228</v>
      </c>
      <c r="AL345" s="32">
        <v>1.2597305786010722</v>
      </c>
      <c r="AM345" s="32">
        <v>1.349171449681748</v>
      </c>
      <c r="AN345" s="32">
        <v>0</v>
      </c>
      <c r="AO345" s="32">
        <v>0</v>
      </c>
      <c r="AP345" s="32">
        <v>0</v>
      </c>
      <c r="AQ345" s="32">
        <v>0</v>
      </c>
      <c r="AR345" s="32">
        <v>0</v>
      </c>
      <c r="AS345" s="32">
        <v>0</v>
      </c>
      <c r="AT345" s="32">
        <v>0</v>
      </c>
      <c r="AU345" s="32">
        <v>0</v>
      </c>
      <c r="AV345" s="32">
        <v>0</v>
      </c>
      <c r="AW345" s="32">
        <v>0</v>
      </c>
      <c r="AX345" s="32">
        <v>0</v>
      </c>
      <c r="AY345" s="32">
        <v>0</v>
      </c>
      <c r="AZ345" s="32">
        <v>0</v>
      </c>
      <c r="BA345" s="32">
        <v>0</v>
      </c>
      <c r="BB345" s="32">
        <v>0</v>
      </c>
      <c r="BC345" s="32">
        <v>0</v>
      </c>
      <c r="BD345" s="32">
        <v>0</v>
      </c>
      <c r="BE345" s="32">
        <v>0</v>
      </c>
      <c r="BF345" s="32">
        <v>0</v>
      </c>
      <c r="BG345" s="32">
        <v>0</v>
      </c>
      <c r="BH345" s="32"/>
      <c r="BI345" s="33">
        <f t="shared" si="651"/>
        <v>28.829540855012382</v>
      </c>
      <c r="BJ345" s="33"/>
    </row>
    <row r="346" spans="2:62" x14ac:dyDescent="0.3">
      <c r="B346" s="29" t="s">
        <v>248</v>
      </c>
      <c r="C346" s="22"/>
      <c r="D346" s="22"/>
      <c r="E346" s="30">
        <f t="shared" si="646"/>
        <v>148023</v>
      </c>
      <c r="F346" s="31">
        <f t="shared" si="647"/>
        <v>0</v>
      </c>
      <c r="G346" s="31">
        <f t="shared" si="647"/>
        <v>0</v>
      </c>
      <c r="H346" s="31">
        <f t="shared" si="647"/>
        <v>1.4802300000000002</v>
      </c>
      <c r="I346" s="31">
        <f t="shared" si="647"/>
        <v>0</v>
      </c>
      <c r="J346" s="22" t="s">
        <v>360</v>
      </c>
      <c r="K346" s="22">
        <v>1</v>
      </c>
      <c r="L346" s="38">
        <f>V346</f>
        <v>26.417963821242544</v>
      </c>
      <c r="M346" s="22"/>
      <c r="N346" s="35"/>
      <c r="O346" s="22"/>
      <c r="P346" s="22"/>
      <c r="Q346" s="22"/>
      <c r="R346" s="22"/>
      <c r="S346" s="22"/>
      <c r="T346" s="22"/>
      <c r="U346" s="22"/>
      <c r="V346" s="33">
        <f t="shared" si="648"/>
        <v>26.417963821242544</v>
      </c>
      <c r="W346" s="33"/>
      <c r="X346" s="33"/>
      <c r="Y346" s="33"/>
      <c r="Z346" s="33"/>
      <c r="AA346" s="33"/>
      <c r="AB346" s="32">
        <v>8.3375931833333343</v>
      </c>
      <c r="AC346" s="32">
        <v>8.7611429170466675</v>
      </c>
      <c r="AD346" s="32">
        <v>9.3192277208625427</v>
      </c>
      <c r="AE346" s="32">
        <v>0</v>
      </c>
      <c r="AF346" s="32">
        <v>0</v>
      </c>
      <c r="AG346" s="32">
        <v>0</v>
      </c>
      <c r="AH346" s="32">
        <v>0</v>
      </c>
      <c r="AI346" s="32">
        <v>0</v>
      </c>
      <c r="AJ346" s="32">
        <v>0</v>
      </c>
      <c r="AK346" s="32">
        <v>0</v>
      </c>
      <c r="AL346" s="32">
        <v>0</v>
      </c>
      <c r="AM346" s="32">
        <v>0</v>
      </c>
      <c r="AN346" s="32">
        <v>0</v>
      </c>
      <c r="AO346" s="32">
        <v>2.4760879501030431</v>
      </c>
      <c r="AP346" s="32">
        <v>2.6518901945603588</v>
      </c>
      <c r="AQ346" s="32">
        <v>2.8401743983741445</v>
      </c>
      <c r="AR346" s="32">
        <v>3.9543748148563207</v>
      </c>
      <c r="AS346" s="32">
        <v>4.2351354267111185</v>
      </c>
      <c r="AT346" s="32">
        <v>4.5358300420076088</v>
      </c>
      <c r="AU346" s="32">
        <v>4.8578739749901478</v>
      </c>
      <c r="AV346" s="32">
        <v>4.6024619086897047</v>
      </c>
      <c r="AW346" s="32">
        <v>4.9472988378242579</v>
      </c>
      <c r="AX346" s="32">
        <v>5.2976720107625193</v>
      </c>
      <c r="AY346" s="32">
        <v>5.6729022079993561</v>
      </c>
      <c r="AZ346" s="32">
        <v>0</v>
      </c>
      <c r="BA346" s="32">
        <v>0</v>
      </c>
      <c r="BB346" s="32">
        <v>0</v>
      </c>
      <c r="BC346" s="32">
        <v>0</v>
      </c>
      <c r="BD346" s="32">
        <v>0</v>
      </c>
      <c r="BE346" s="32">
        <v>0</v>
      </c>
      <c r="BF346" s="32">
        <v>0</v>
      </c>
      <c r="BG346" s="32">
        <v>0</v>
      </c>
      <c r="BH346" s="32"/>
      <c r="BI346" s="33">
        <f t="shared" ref="BI346:BI347" si="652">SUM(AB346:BG346)</f>
        <v>72.489665588121127</v>
      </c>
      <c r="BJ346" s="33"/>
    </row>
    <row r="347" spans="2:62" x14ac:dyDescent="0.3">
      <c r="B347" s="27" t="s">
        <v>284</v>
      </c>
      <c r="C347" s="23"/>
      <c r="D347" s="23"/>
      <c r="E347" s="30">
        <f>SUM(E317:E346)</f>
        <v>2108413</v>
      </c>
      <c r="F347" s="33">
        <f>SUM(F317:F346)</f>
        <v>240.73624999999998</v>
      </c>
      <c r="G347" s="33">
        <f>SUM(G317:G346)</f>
        <v>32.914833333333334</v>
      </c>
      <c r="H347" s="33">
        <f>SUM(H317:H346)</f>
        <v>1.4802300000000002</v>
      </c>
      <c r="I347" s="33">
        <f>SUM(I317:I346)</f>
        <v>5</v>
      </c>
      <c r="J347" s="22"/>
      <c r="K347" s="22"/>
      <c r="L347" s="22">
        <f>SUM(L317:L346)</f>
        <v>396.7345832200001</v>
      </c>
      <c r="M347" s="22"/>
      <c r="N347" s="22"/>
      <c r="O347" s="22"/>
      <c r="P347" s="22"/>
      <c r="Q347" s="22"/>
      <c r="R347" s="22"/>
      <c r="S347" s="22"/>
      <c r="T347" s="22"/>
      <c r="U347" s="22"/>
      <c r="V347" s="33">
        <f t="shared" si="648"/>
        <v>637.38033206817079</v>
      </c>
      <c r="W347" s="33"/>
      <c r="X347" s="33"/>
      <c r="Y347" s="33"/>
      <c r="Z347" s="33"/>
      <c r="AA347" s="33"/>
      <c r="AB347" s="33">
        <f t="shared" ref="AB347:BG347" si="653">SUM(AB317:AB346)</f>
        <v>103.06917620627159</v>
      </c>
      <c r="AC347" s="33">
        <f t="shared" si="653"/>
        <v>107.37804295106334</v>
      </c>
      <c r="AD347" s="33">
        <f t="shared" si="653"/>
        <v>107.75617113826196</v>
      </c>
      <c r="AE347" s="33">
        <f t="shared" si="653"/>
        <v>54.258342562766948</v>
      </c>
      <c r="AF347" s="33">
        <f t="shared" si="653"/>
        <v>61.066914560046712</v>
      </c>
      <c r="AG347" s="33">
        <f t="shared" si="653"/>
        <v>64.994110779954127</v>
      </c>
      <c r="AH347" s="33">
        <f t="shared" si="653"/>
        <v>46.058234664447092</v>
      </c>
      <c r="AI347" s="33">
        <f t="shared" si="653"/>
        <v>41.324847174832463</v>
      </c>
      <c r="AJ347" s="33">
        <f t="shared" si="653"/>
        <v>21.699082220890823</v>
      </c>
      <c r="AK347" s="33">
        <f t="shared" si="653"/>
        <v>29.775409809635828</v>
      </c>
      <c r="AL347" s="33">
        <f t="shared" si="653"/>
        <v>34.823453765280185</v>
      </c>
      <c r="AM347" s="33">
        <f t="shared" si="653"/>
        <v>40.808763455847618</v>
      </c>
      <c r="AN347" s="33">
        <f t="shared" si="653"/>
        <v>32.13974213413897</v>
      </c>
      <c r="AO347" s="33">
        <f t="shared" si="653"/>
        <v>37.409758871019996</v>
      </c>
      <c r="AP347" s="33">
        <f t="shared" si="653"/>
        <v>136.90056114353746</v>
      </c>
      <c r="AQ347" s="33">
        <f t="shared" si="653"/>
        <v>148.48117023746343</v>
      </c>
      <c r="AR347" s="33">
        <f t="shared" si="653"/>
        <v>163.22255103447932</v>
      </c>
      <c r="AS347" s="33">
        <f t="shared" si="653"/>
        <v>15.474575137791522</v>
      </c>
      <c r="AT347" s="33">
        <f t="shared" si="653"/>
        <v>25.98103957953365</v>
      </c>
      <c r="AU347" s="33">
        <f t="shared" si="653"/>
        <v>69.260873274181137</v>
      </c>
      <c r="AV347" s="33">
        <f t="shared" si="653"/>
        <v>74.504569751046446</v>
      </c>
      <c r="AW347" s="33">
        <f t="shared" si="653"/>
        <v>147.13489534851871</v>
      </c>
      <c r="AX347" s="33">
        <f t="shared" si="653"/>
        <v>96.286966114120688</v>
      </c>
      <c r="AY347" s="33">
        <f t="shared" si="653"/>
        <v>103.11339103742296</v>
      </c>
      <c r="AZ347" s="33">
        <f t="shared" si="653"/>
        <v>125.66943959348527</v>
      </c>
      <c r="BA347" s="33">
        <f t="shared" si="653"/>
        <v>151.95883781958551</v>
      </c>
      <c r="BB347" s="33">
        <f t="shared" si="653"/>
        <v>164.72147199239345</v>
      </c>
      <c r="BC347" s="33">
        <f t="shared" si="653"/>
        <v>140.74200721557273</v>
      </c>
      <c r="BD347" s="33">
        <f t="shared" si="653"/>
        <v>150.63585795607585</v>
      </c>
      <c r="BE347" s="33">
        <f t="shared" si="653"/>
        <v>642.19167627581839</v>
      </c>
      <c r="BF347" s="33">
        <f t="shared" si="653"/>
        <v>687.78728529140164</v>
      </c>
      <c r="BG347" s="33">
        <f t="shared" si="653"/>
        <v>736.62018254709108</v>
      </c>
      <c r="BH347" s="33"/>
      <c r="BI347" s="33">
        <f t="shared" si="652"/>
        <v>4563.2494016439769</v>
      </c>
      <c r="BJ347" s="33"/>
    </row>
    <row r="348" spans="2:62" x14ac:dyDescent="0.3">
      <c r="L348" s="10">
        <f>L347-V349</f>
        <v>0</v>
      </c>
      <c r="AK348" s="24">
        <f>SUM(AB347:AK347)</f>
        <v>637.38033206817079</v>
      </c>
    </row>
    <row r="349" spans="2:62" ht="14.4" x14ac:dyDescent="0.3">
      <c r="B349" s="4" t="s">
        <v>361</v>
      </c>
      <c r="R349" s="10"/>
      <c r="V349" s="24">
        <f>SUM(AB349:AK349)</f>
        <v>396.73458321999999</v>
      </c>
      <c r="AB349" s="10">
        <v>33.453160579999995</v>
      </c>
      <c r="AC349" s="10">
        <v>24.039469839999999</v>
      </c>
      <c r="AD349" s="10">
        <v>25.906675280000002</v>
      </c>
      <c r="AE349" s="10">
        <v>30.168247409999999</v>
      </c>
      <c r="AF349" s="10">
        <v>37.667599000000003</v>
      </c>
      <c r="AG349" s="10">
        <v>61.372845659999996</v>
      </c>
      <c r="AH349" s="10">
        <v>51.77722181</v>
      </c>
      <c r="AI349" s="10">
        <v>50.05862192</v>
      </c>
      <c r="AJ349" s="10">
        <v>45.234551759999995</v>
      </c>
      <c r="AK349" s="10">
        <v>37.056189959999998</v>
      </c>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row>
    <row r="350" spans="2:62" ht="14.4" x14ac:dyDescent="0.3">
      <c r="B350"/>
    </row>
    <row r="351" spans="2:62" ht="14.4" x14ac:dyDescent="0.3">
      <c r="B351"/>
      <c r="R351" s="9"/>
      <c r="S351" s="9"/>
      <c r="T351" s="9"/>
      <c r="U351" s="9" t="s">
        <v>372</v>
      </c>
      <c r="V351" s="9"/>
      <c r="Y351" s="47" t="s">
        <v>390</v>
      </c>
      <c r="Z351" s="47" t="s">
        <v>389</v>
      </c>
      <c r="AA351" s="47" t="s">
        <v>361</v>
      </c>
      <c r="AB351" s="46" t="s">
        <v>341</v>
      </c>
      <c r="AC351" s="46" t="s">
        <v>341</v>
      </c>
      <c r="AD351" s="46" t="s">
        <v>341</v>
      </c>
      <c r="AE351" s="46" t="s">
        <v>341</v>
      </c>
      <c r="AF351" s="46" t="s">
        <v>341</v>
      </c>
      <c r="AG351" s="46" t="s">
        <v>341</v>
      </c>
      <c r="AH351" s="46" t="s">
        <v>341</v>
      </c>
      <c r="AI351" s="46" t="s">
        <v>341</v>
      </c>
      <c r="AJ351" s="46" t="s">
        <v>341</v>
      </c>
      <c r="AK351" s="46" t="s">
        <v>341</v>
      </c>
      <c r="AL351" s="46" t="s">
        <v>341</v>
      </c>
      <c r="AM351" s="46" t="s">
        <v>341</v>
      </c>
      <c r="AN351" s="46" t="s">
        <v>341</v>
      </c>
      <c r="AO351" s="46" t="s">
        <v>341</v>
      </c>
      <c r="AP351" s="46" t="s">
        <v>341</v>
      </c>
      <c r="AQ351" s="46" t="s">
        <v>341</v>
      </c>
      <c r="AR351" s="46" t="s">
        <v>341</v>
      </c>
      <c r="AS351" s="46" t="s">
        <v>341</v>
      </c>
      <c r="AT351" s="46" t="s">
        <v>341</v>
      </c>
      <c r="AU351" s="46" t="s">
        <v>341</v>
      </c>
      <c r="AV351" s="46" t="s">
        <v>341</v>
      </c>
      <c r="AW351" s="46" t="s">
        <v>341</v>
      </c>
      <c r="AX351" s="46" t="s">
        <v>341</v>
      </c>
      <c r="AY351" s="46" t="s">
        <v>341</v>
      </c>
      <c r="AZ351" s="46" t="s">
        <v>341</v>
      </c>
      <c r="BA351" s="46" t="s">
        <v>341</v>
      </c>
      <c r="BB351" s="46" t="s">
        <v>341</v>
      </c>
      <c r="BC351" s="46" t="s">
        <v>341</v>
      </c>
      <c r="BD351" s="46" t="s">
        <v>341</v>
      </c>
      <c r="BE351" s="46" t="s">
        <v>341</v>
      </c>
      <c r="BF351" s="46" t="s">
        <v>341</v>
      </c>
      <c r="BG351" s="46" t="s">
        <v>341</v>
      </c>
      <c r="BH351" s="46"/>
    </row>
    <row r="352" spans="2:62" ht="14.4" x14ac:dyDescent="0.3">
      <c r="B352" s="4" t="s">
        <v>366</v>
      </c>
      <c r="R352" s="9" t="s">
        <v>377</v>
      </c>
      <c r="S352" s="9" t="s">
        <v>374</v>
      </c>
      <c r="T352" s="9" t="s">
        <v>373</v>
      </c>
      <c r="U352" s="9" t="s">
        <v>376</v>
      </c>
      <c r="V352" s="9" t="s">
        <v>375</v>
      </c>
      <c r="W352" s="47" t="s">
        <v>395</v>
      </c>
      <c r="X352" s="47" t="s">
        <v>394</v>
      </c>
      <c r="Y352" s="47" t="s">
        <v>393</v>
      </c>
      <c r="Z352" s="47" t="s">
        <v>392</v>
      </c>
      <c r="AA352" s="47" t="s">
        <v>391</v>
      </c>
      <c r="AB352" s="46">
        <v>2025</v>
      </c>
      <c r="AC352" s="46">
        <v>2026</v>
      </c>
      <c r="AD352" s="46">
        <v>2027</v>
      </c>
      <c r="AE352" s="46">
        <v>2028</v>
      </c>
      <c r="AF352" s="46">
        <v>2029</v>
      </c>
      <c r="AG352" s="46">
        <v>2030</v>
      </c>
      <c r="AH352" s="46">
        <v>2031</v>
      </c>
      <c r="AI352" s="46">
        <v>2032</v>
      </c>
      <c r="AJ352" s="46">
        <v>2033</v>
      </c>
      <c r="AK352" s="46">
        <v>2034</v>
      </c>
      <c r="AL352" s="46">
        <v>2035</v>
      </c>
      <c r="AM352" s="46">
        <v>2036</v>
      </c>
      <c r="AN352" s="46">
        <v>2037</v>
      </c>
      <c r="AO352" s="46">
        <v>2038</v>
      </c>
      <c r="AP352" s="46">
        <v>2039</v>
      </c>
      <c r="AQ352" s="46">
        <v>2040</v>
      </c>
      <c r="AR352" s="46">
        <v>2041</v>
      </c>
      <c r="AS352" s="46">
        <v>2042</v>
      </c>
      <c r="AT352" s="46">
        <v>2043</v>
      </c>
      <c r="AU352" s="46">
        <v>2044</v>
      </c>
      <c r="AV352" s="46">
        <v>2045</v>
      </c>
      <c r="AW352" s="46">
        <v>2046</v>
      </c>
      <c r="AX352" s="46">
        <v>2047</v>
      </c>
      <c r="AY352" s="46">
        <v>2048</v>
      </c>
      <c r="AZ352" s="46">
        <v>2049</v>
      </c>
      <c r="BA352" s="46">
        <v>2050</v>
      </c>
      <c r="BB352" s="46">
        <v>2051</v>
      </c>
      <c r="BC352" s="46">
        <v>2052</v>
      </c>
      <c r="BD352" s="46">
        <v>2053</v>
      </c>
      <c r="BE352" s="46">
        <v>2054</v>
      </c>
      <c r="BF352" s="46">
        <v>2055</v>
      </c>
      <c r="BG352" s="46">
        <v>2056</v>
      </c>
      <c r="BH352" s="46"/>
    </row>
    <row r="353" spans="2:60" ht="14.4" x14ac:dyDescent="0.3">
      <c r="B353" t="str">
        <f t="shared" ref="B353:B379" si="654">B317</f>
        <v>Rural North</v>
      </c>
      <c r="C353" s="2" t="str">
        <f>B353</f>
        <v>Rural North</v>
      </c>
      <c r="D353" s="39">
        <f>VLOOKUP(C353,Summary!$A$12:$H$35,8,0)</f>
        <v>1.679071231603749</v>
      </c>
      <c r="E353" s="16">
        <f>D353-AA353</f>
        <v>0</v>
      </c>
      <c r="R353" s="48">
        <f t="shared" ref="R353:R359" si="655">M317</f>
        <v>0.21355808788157429</v>
      </c>
      <c r="S353" s="9">
        <f>IFERROR(V353/U353,"")</f>
        <v>0.17394737936440469</v>
      </c>
      <c r="T353" s="49">
        <f>U353-V353</f>
        <v>7.9736825939439209</v>
      </c>
      <c r="U353" s="49">
        <f t="shared" ref="U353:U379" si="656">V317</f>
        <v>9.6527538255476699</v>
      </c>
      <c r="V353" s="49">
        <f>SUM(AB353:AK353)</f>
        <v>1.679071231603749</v>
      </c>
      <c r="W353" s="10">
        <f>SUM(AB353:BG353)</f>
        <v>39.78185740355196</v>
      </c>
      <c r="X353" s="10">
        <f>SUM(BF353:BG353)</f>
        <v>0</v>
      </c>
      <c r="Y353" s="10">
        <f>SUM(AV353:BE353)</f>
        <v>5.9416214712742672</v>
      </c>
      <c r="Z353" s="10">
        <f>SUM(AL353:AU353)</f>
        <v>32.161164700673936</v>
      </c>
      <c r="AA353" s="15">
        <f>SUM(AB353:AK353)</f>
        <v>1.679071231603749</v>
      </c>
      <c r="AB353" s="15">
        <f t="shared" ref="AB353:AB381" si="657">SUMIF($B$220:$B$312,$B353,BL$220:BL$312)</f>
        <v>0</v>
      </c>
      <c r="AC353" s="15">
        <f t="shared" ref="AC353:AC381" si="658">SUMIF($B$220:$B$312,$B353,BM$220:BM$312)</f>
        <v>0</v>
      </c>
      <c r="AD353" s="15">
        <f t="shared" ref="AD353:AD381" si="659">SUMIF($B$220:$B$312,$B353,BN$220:BN$312)</f>
        <v>0</v>
      </c>
      <c r="AE353" s="15">
        <f t="shared" ref="AE353:AE381" si="660">SUMIF($B$220:$B$312,$B353,BO$220:BO$312)</f>
        <v>0</v>
      </c>
      <c r="AF353" s="15">
        <f t="shared" ref="AF353:AF381" si="661">SUMIF($B$220:$B$312,$B353,BP$220:BP$312)</f>
        <v>0</v>
      </c>
      <c r="AG353" s="15">
        <f t="shared" ref="AG353:AG381" si="662">SUMIF($B$220:$B$312,$B353,BQ$220:BQ$312)</f>
        <v>0</v>
      </c>
      <c r="AH353" s="15">
        <f t="shared" ref="AH353:AH381" si="663">SUMIF($B$220:$B$312,$B353,BR$220:BR$312)</f>
        <v>0</v>
      </c>
      <c r="AI353" s="15">
        <f t="shared" ref="AI353:AI381" si="664">SUMIF($B$220:$B$312,$B353,BS$220:BS$312)</f>
        <v>0</v>
      </c>
      <c r="AJ353" s="15">
        <f t="shared" ref="AJ353:AJ381" si="665">SUMIF($B$220:$B$312,$B353,BT$220:BT$312)</f>
        <v>0</v>
      </c>
      <c r="AK353" s="15">
        <f t="shared" ref="AK353:AK381" si="666">SUMIF($B$220:$B$312,$B353,BU$220:BU$312)</f>
        <v>1.679071231603749</v>
      </c>
      <c r="AL353" s="15">
        <f t="shared" ref="AL353:AL381" si="667">SUMIF($B$220:$B$312,$B353,BV$220:BV$312)</f>
        <v>1.7977868405856565</v>
      </c>
      <c r="AM353" s="15">
        <f t="shared" ref="AM353:AM381" si="668">SUMIF($B$220:$B$312,$B353,BW$220:BW$312)</f>
        <v>1.9249202919391162</v>
      </c>
      <c r="AN353" s="15">
        <f t="shared" ref="AN353:AN381" si="669">SUMIF($B$220:$B$312,$B353,BX$220:BX$312)</f>
        <v>2.0610690112234527</v>
      </c>
      <c r="AO353" s="15">
        <f t="shared" ref="AO353:AO381" si="670">SUMIF($B$220:$B$312,$B353,BY$220:BY$312)</f>
        <v>3.5539523052804425</v>
      </c>
      <c r="AP353" s="15">
        <f t="shared" ref="AP353:AP381" si="671">SUMIF($B$220:$B$312,$B353,BZ$220:BZ$312)</f>
        <v>3.8054835147499544</v>
      </c>
      <c r="AQ353" s="15">
        <f t="shared" ref="AQ353:AQ381" si="672">SUMIF($B$220:$B$312,$B353,CA$220:CA$312)</f>
        <v>4.0748558531992831</v>
      </c>
      <c r="AR353" s="15">
        <f t="shared" ref="AR353:AR381" si="673">SUMIF($B$220:$B$312,$B353,CB$220:CB$312)</f>
        <v>2.0340359911614403</v>
      </c>
      <c r="AS353" s="15">
        <f t="shared" ref="AS353:AS381" si="674">SUMIF($B$220:$B$312,$B353,CC$220:CC$312)</f>
        <v>2.177916732080234</v>
      </c>
      <c r="AT353" s="15">
        <f t="shared" ref="AT353:AT381" si="675">SUMIF($B$220:$B$312,$B353,CD$220:CD$312)</f>
        <v>5.1822249281917347</v>
      </c>
      <c r="AU353" s="15">
        <f t="shared" ref="AU353:AU381" si="676">SUMIF($B$220:$B$312,$B353,CE$220:CE$312)</f>
        <v>5.5489192322626231</v>
      </c>
      <c r="AV353" s="15">
        <f t="shared" ref="AV353:AV381" si="677">SUMIF($B$220:$B$312,$B353,CF$220:CF$312)</f>
        <v>5.9416214712742672</v>
      </c>
      <c r="AW353" s="15">
        <f t="shared" ref="AW353:AW381" si="678">SUMIF($B$220:$B$312,$B353,CG$220:CG$312)</f>
        <v>0</v>
      </c>
      <c r="AX353" s="15">
        <f t="shared" ref="AX353:AX381" si="679">SUMIF($B$220:$B$312,$B353,CH$220:CH$312)</f>
        <v>0</v>
      </c>
      <c r="AY353" s="15">
        <f t="shared" ref="AY353:AY381" si="680">SUMIF($B$220:$B$312,$B353,CI$220:CI$312)</f>
        <v>0</v>
      </c>
      <c r="AZ353" s="15">
        <f t="shared" ref="AZ353:AZ381" si="681">SUMIF($B$220:$B$312,$B353,CJ$220:CJ$312)</f>
        <v>0</v>
      </c>
      <c r="BA353" s="15">
        <f t="shared" ref="BA353:BA381" si="682">SUMIF($B$220:$B$312,$B353,CK$220:CK$312)</f>
        <v>0</v>
      </c>
      <c r="BB353" s="15">
        <f t="shared" ref="BB353:BB381" si="683">SUMIF($B$220:$B$312,$B353,CL$220:CL$312)</f>
        <v>0</v>
      </c>
      <c r="BC353" s="15">
        <f t="shared" ref="BC353:BC381" si="684">SUMIF($B$220:$B$312,$B353,CM$220:CM$312)</f>
        <v>0</v>
      </c>
      <c r="BD353" s="15">
        <f t="shared" ref="BD353:BD381" si="685">SUMIF($B$220:$B$312,$B353,CN$220:CN$312)</f>
        <v>0</v>
      </c>
      <c r="BE353" s="15">
        <f t="shared" ref="BE353:BE381" si="686">SUMIF($B$220:$B$312,$B353,CO$220:CO$312)</f>
        <v>0</v>
      </c>
      <c r="BF353" s="15">
        <f t="shared" ref="BF353:BF381" si="687">SUMIF($B$220:$B$312,$B353,CP$220:CP$312)</f>
        <v>0</v>
      </c>
      <c r="BG353" s="15">
        <f t="shared" ref="BG353:BG381" si="688">SUMIF($B$220:$B$312,$B353,CQ$220:CQ$312)</f>
        <v>0</v>
      </c>
      <c r="BH353" s="15"/>
    </row>
    <row r="354" spans="2:60" ht="14.4" x14ac:dyDescent="0.3">
      <c r="B354" t="str">
        <f t="shared" si="654"/>
        <v>Warkworth</v>
      </c>
      <c r="C354" s="2" t="str">
        <f t="shared" ref="C354:C381" si="689">B354</f>
        <v>Warkworth</v>
      </c>
      <c r="D354" s="39">
        <f>VLOOKUP(C354,Summary!$A$12:$H$35,8,0)</f>
        <v>4.6524672891379275</v>
      </c>
      <c r="E354" s="16">
        <f t="shared" ref="E354:E381" si="690">D354-AA354</f>
        <v>0</v>
      </c>
      <c r="R354" s="48">
        <f t="shared" si="655"/>
        <v>0.711860292938581</v>
      </c>
      <c r="S354" s="9">
        <f t="shared" ref="S354:S382" si="691">IFERROR(V354/U354,"")</f>
        <v>0.69899109788974068</v>
      </c>
      <c r="T354" s="49">
        <f t="shared" ref="T354:T382" si="692">U354-V354</f>
        <v>2.0035077342690384</v>
      </c>
      <c r="U354" s="49">
        <f t="shared" si="656"/>
        <v>6.6559750234069659</v>
      </c>
      <c r="V354" s="49">
        <f t="shared" ref="V354:V382" si="693">SUM(AB354:AK354)</f>
        <v>4.6524672891379275</v>
      </c>
      <c r="W354" s="10">
        <f t="shared" ref="W354:W380" si="694">SUM(AB354:BG354)</f>
        <v>198.76582114558548</v>
      </c>
      <c r="X354" s="10">
        <f t="shared" ref="X354:X380" si="695">SUM(BF354:BG354)</f>
        <v>0</v>
      </c>
      <c r="Y354" s="10">
        <f t="shared" ref="Y354:Y380" si="696">SUM(AV354:BE354)</f>
        <v>141.64714111682932</v>
      </c>
      <c r="Z354" s="10">
        <f t="shared" ref="Z354:Z380" si="697">SUM(AL354:AU354)</f>
        <v>52.466212739618229</v>
      </c>
      <c r="AA354" s="15">
        <f t="shared" ref="AA354:AA381" si="698">SUM(AB354:AK354)</f>
        <v>4.6524672891379275</v>
      </c>
      <c r="AB354" s="15">
        <f t="shared" si="657"/>
        <v>0</v>
      </c>
      <c r="AC354" s="15">
        <f t="shared" si="658"/>
        <v>0</v>
      </c>
      <c r="AD354" s="15">
        <f t="shared" si="659"/>
        <v>0</v>
      </c>
      <c r="AE354" s="15">
        <f t="shared" si="660"/>
        <v>0</v>
      </c>
      <c r="AF354" s="15">
        <f t="shared" si="661"/>
        <v>6.2405327721277451E-2</v>
      </c>
      <c r="AG354" s="15">
        <f t="shared" si="662"/>
        <v>0.40188850361832845</v>
      </c>
      <c r="AH354" s="15">
        <f t="shared" si="663"/>
        <v>0.73506228368882232</v>
      </c>
      <c r="AI354" s="15">
        <f t="shared" si="664"/>
        <v>0.78697632684130137</v>
      </c>
      <c r="AJ354" s="15">
        <f t="shared" si="665"/>
        <v>0.97752972104701408</v>
      </c>
      <c r="AK354" s="15">
        <f t="shared" si="666"/>
        <v>1.6886051262211836</v>
      </c>
      <c r="AL354" s="15">
        <f t="shared" si="667"/>
        <v>1.9785073100482662</v>
      </c>
      <c r="AM354" s="15">
        <f t="shared" si="668"/>
        <v>2.4630682290954393</v>
      </c>
      <c r="AN354" s="15">
        <f t="shared" si="669"/>
        <v>1.8362126398523562</v>
      </c>
      <c r="AO354" s="15">
        <f t="shared" si="670"/>
        <v>2.5187342978932161</v>
      </c>
      <c r="AP354" s="15">
        <f t="shared" si="671"/>
        <v>4.9483479802922803</v>
      </c>
      <c r="AQ354" s="15">
        <f t="shared" si="672"/>
        <v>4.620018685170745</v>
      </c>
      <c r="AR354" s="15">
        <f t="shared" si="673"/>
        <v>7.8533537111977383</v>
      </c>
      <c r="AS354" s="15">
        <f t="shared" si="674"/>
        <v>5.1975415645062402</v>
      </c>
      <c r="AT354" s="15">
        <f t="shared" si="675"/>
        <v>5.5630785856630807</v>
      </c>
      <c r="AU354" s="15">
        <f t="shared" si="676"/>
        <v>15.487349735898865</v>
      </c>
      <c r="AV354" s="15">
        <f t="shared" si="677"/>
        <v>17.499632550249963</v>
      </c>
      <c r="AW354" s="15">
        <f t="shared" si="678"/>
        <v>18.737624949055405</v>
      </c>
      <c r="AX354" s="15">
        <f t="shared" si="679"/>
        <v>6.4382869150540456</v>
      </c>
      <c r="AY354" s="15">
        <f t="shared" si="680"/>
        <v>6.8934379647510031</v>
      </c>
      <c r="AZ354" s="15">
        <f t="shared" si="681"/>
        <v>28.616923038891791</v>
      </c>
      <c r="BA354" s="15">
        <f t="shared" si="682"/>
        <v>30.644756616269831</v>
      </c>
      <c r="BB354" s="15">
        <f t="shared" si="683"/>
        <v>32.816479082557287</v>
      </c>
      <c r="BC354" s="15">
        <f t="shared" si="684"/>
        <v>0</v>
      </c>
      <c r="BD354" s="15">
        <f t="shared" si="685"/>
        <v>0</v>
      </c>
      <c r="BE354" s="15">
        <f t="shared" si="686"/>
        <v>0</v>
      </c>
      <c r="BF354" s="15">
        <f t="shared" si="687"/>
        <v>0</v>
      </c>
      <c r="BG354" s="15">
        <f t="shared" si="688"/>
        <v>0</v>
      </c>
      <c r="BH354" s="15"/>
    </row>
    <row r="355" spans="2:60" ht="14.4" x14ac:dyDescent="0.3">
      <c r="B355" t="str">
        <f t="shared" si="654"/>
        <v>Hibiscus</v>
      </c>
      <c r="C355" s="2" t="str">
        <f t="shared" si="689"/>
        <v>Hibiscus</v>
      </c>
      <c r="D355" s="39">
        <f>VLOOKUP(C355,Summary!$A$12:$H$35,8,0)</f>
        <v>7.2775518103507864</v>
      </c>
      <c r="E355" s="16">
        <f t="shared" si="690"/>
        <v>0</v>
      </c>
      <c r="R355" s="48">
        <f t="shared" si="655"/>
        <v>0.711860292938581</v>
      </c>
      <c r="S355" s="9">
        <f t="shared" si="691"/>
        <v>0.68268848058363918</v>
      </c>
      <c r="T355" s="49">
        <f t="shared" si="692"/>
        <v>3.382583840581999</v>
      </c>
      <c r="U355" s="49">
        <f t="shared" si="656"/>
        <v>10.660135650932785</v>
      </c>
      <c r="V355" s="49">
        <f t="shared" si="693"/>
        <v>7.2775518103507864</v>
      </c>
      <c r="W355" s="10">
        <f t="shared" si="694"/>
        <v>20.216016730908382</v>
      </c>
      <c r="X355" s="10">
        <f t="shared" si="695"/>
        <v>0</v>
      </c>
      <c r="Y355" s="10">
        <f t="shared" si="696"/>
        <v>0</v>
      </c>
      <c r="Z355" s="10">
        <f t="shared" si="697"/>
        <v>12.938464920557598</v>
      </c>
      <c r="AA355" s="15">
        <f t="shared" si="698"/>
        <v>7.2775518103507864</v>
      </c>
      <c r="AB355" s="15">
        <f t="shared" si="657"/>
        <v>1.3107344523666666</v>
      </c>
      <c r="AC355" s="15">
        <f t="shared" si="658"/>
        <v>1.4012420799614334</v>
      </c>
      <c r="AD355" s="15">
        <f t="shared" si="659"/>
        <v>1.4611135132268658</v>
      </c>
      <c r="AE355" s="15">
        <f t="shared" si="660"/>
        <v>0.96528043255594775</v>
      </c>
      <c r="AF355" s="15">
        <f t="shared" si="661"/>
        <v>1.0332171396893557</v>
      </c>
      <c r="AG355" s="15">
        <f t="shared" si="662"/>
        <v>1.1059641925505181</v>
      </c>
      <c r="AH355" s="15">
        <f t="shared" si="663"/>
        <v>0</v>
      </c>
      <c r="AI355" s="15">
        <f t="shared" si="664"/>
        <v>0</v>
      </c>
      <c r="AJ355" s="15">
        <f t="shared" si="665"/>
        <v>0</v>
      </c>
      <c r="AK355" s="15">
        <f t="shared" si="666"/>
        <v>0</v>
      </c>
      <c r="AL355" s="15">
        <f t="shared" si="667"/>
        <v>1.0028063869566644</v>
      </c>
      <c r="AM355" s="15">
        <f t="shared" si="668"/>
        <v>1.0869863838371769</v>
      </c>
      <c r="AN355" s="15">
        <f t="shared" si="669"/>
        <v>1.1802952680244354</v>
      </c>
      <c r="AO355" s="15">
        <f t="shared" si="670"/>
        <v>1.2126463761194093</v>
      </c>
      <c r="AP355" s="15">
        <f t="shared" si="671"/>
        <v>0.61542700299775677</v>
      </c>
      <c r="AQ355" s="15">
        <f t="shared" si="672"/>
        <v>0.70845134652828134</v>
      </c>
      <c r="AR355" s="15">
        <f t="shared" si="673"/>
        <v>3.4439499343349858</v>
      </c>
      <c r="AS355" s="15">
        <f t="shared" si="674"/>
        <v>3.6879022217588866</v>
      </c>
      <c r="AT355" s="15">
        <f t="shared" si="675"/>
        <v>0</v>
      </c>
      <c r="AU355" s="15">
        <f t="shared" si="676"/>
        <v>0</v>
      </c>
      <c r="AV355" s="15">
        <f t="shared" si="677"/>
        <v>0</v>
      </c>
      <c r="AW355" s="15">
        <f t="shared" si="678"/>
        <v>0</v>
      </c>
      <c r="AX355" s="15">
        <f t="shared" si="679"/>
        <v>0</v>
      </c>
      <c r="AY355" s="15">
        <f t="shared" si="680"/>
        <v>0</v>
      </c>
      <c r="AZ355" s="15">
        <f t="shared" si="681"/>
        <v>0</v>
      </c>
      <c r="BA355" s="15">
        <f t="shared" si="682"/>
        <v>0</v>
      </c>
      <c r="BB355" s="15">
        <f t="shared" si="683"/>
        <v>0</v>
      </c>
      <c r="BC355" s="15">
        <f t="shared" si="684"/>
        <v>0</v>
      </c>
      <c r="BD355" s="15">
        <f t="shared" si="685"/>
        <v>0</v>
      </c>
      <c r="BE355" s="15">
        <f t="shared" si="686"/>
        <v>0</v>
      </c>
      <c r="BF355" s="15">
        <f t="shared" si="687"/>
        <v>0</v>
      </c>
      <c r="BG355" s="15">
        <f t="shared" si="688"/>
        <v>0</v>
      </c>
      <c r="BH355" s="15"/>
    </row>
    <row r="356" spans="2:60" ht="14.4" x14ac:dyDescent="0.3">
      <c r="B356" t="str">
        <f t="shared" si="654"/>
        <v>Wainui east MD</v>
      </c>
      <c r="C356" s="2" t="str">
        <f t="shared" si="689"/>
        <v>Wainui east MD</v>
      </c>
      <c r="D356" s="39">
        <f>VLOOKUP(C356,Summary!$A$12:$H$35,8,0)</f>
        <v>43.99632020962629</v>
      </c>
      <c r="E356" s="16">
        <f t="shared" si="690"/>
        <v>0</v>
      </c>
      <c r="R356" s="48">
        <f t="shared" si="655"/>
        <v>0.711860292938581</v>
      </c>
      <c r="S356" s="9">
        <f t="shared" si="691"/>
        <v>0.5724721326005805</v>
      </c>
      <c r="T356" s="49">
        <f t="shared" si="692"/>
        <v>32.856888364498246</v>
      </c>
      <c r="U356" s="49">
        <f t="shared" si="656"/>
        <v>76.853208574124537</v>
      </c>
      <c r="V356" s="49">
        <f t="shared" si="693"/>
        <v>43.99632020962629</v>
      </c>
      <c r="W356" s="10">
        <f t="shared" si="694"/>
        <v>131.77366154159645</v>
      </c>
      <c r="X356" s="10">
        <f t="shared" si="695"/>
        <v>0</v>
      </c>
      <c r="Y356" s="10">
        <f t="shared" si="696"/>
        <v>0</v>
      </c>
      <c r="Z356" s="10">
        <f t="shared" si="697"/>
        <v>87.777341331970121</v>
      </c>
      <c r="AA356" s="15">
        <f t="shared" si="698"/>
        <v>43.99632020962629</v>
      </c>
      <c r="AB356" s="15">
        <f t="shared" si="657"/>
        <v>5.1908256475367063</v>
      </c>
      <c r="AC356" s="15">
        <f t="shared" si="658"/>
        <v>2.8539628739471326</v>
      </c>
      <c r="AD356" s="15">
        <f t="shared" si="659"/>
        <v>3.7614869724743598</v>
      </c>
      <c r="AE356" s="15">
        <f t="shared" si="660"/>
        <v>1.6482024098897243</v>
      </c>
      <c r="AF356" s="15">
        <f t="shared" si="661"/>
        <v>2.8183928995503593</v>
      </c>
      <c r="AG356" s="15">
        <f t="shared" si="662"/>
        <v>6.9444774642845406</v>
      </c>
      <c r="AH356" s="15">
        <f t="shared" si="663"/>
        <v>6.095474265714282</v>
      </c>
      <c r="AI356" s="15">
        <f t="shared" si="664"/>
        <v>7.0260199409321906</v>
      </c>
      <c r="AJ356" s="15">
        <f t="shared" si="665"/>
        <v>5.8291465722808429</v>
      </c>
      <c r="AK356" s="15">
        <f t="shared" si="666"/>
        <v>1.8283311630161545</v>
      </c>
      <c r="AL356" s="15">
        <f t="shared" si="667"/>
        <v>14.511658808086045</v>
      </c>
      <c r="AM356" s="15">
        <f t="shared" si="668"/>
        <v>15.731265266935182</v>
      </c>
      <c r="AN356" s="15">
        <f t="shared" si="669"/>
        <v>17.083151800641552</v>
      </c>
      <c r="AO356" s="15">
        <f t="shared" si="670"/>
        <v>17.552847226615754</v>
      </c>
      <c r="AP356" s="15">
        <f t="shared" si="671"/>
        <v>8.9089059194247149</v>
      </c>
      <c r="AQ356" s="15">
        <f t="shared" si="672"/>
        <v>10.25629996236464</v>
      </c>
      <c r="AR356" s="15">
        <f t="shared" si="673"/>
        <v>3.7332123479022439</v>
      </c>
      <c r="AS356" s="15">
        <f t="shared" si="674"/>
        <v>0</v>
      </c>
      <c r="AT356" s="15">
        <f t="shared" si="675"/>
        <v>0</v>
      </c>
      <c r="AU356" s="15">
        <f t="shared" si="676"/>
        <v>0</v>
      </c>
      <c r="AV356" s="15">
        <f t="shared" si="677"/>
        <v>0</v>
      </c>
      <c r="AW356" s="15">
        <f t="shared" si="678"/>
        <v>0</v>
      </c>
      <c r="AX356" s="15">
        <f t="shared" si="679"/>
        <v>0</v>
      </c>
      <c r="AY356" s="15">
        <f t="shared" si="680"/>
        <v>0</v>
      </c>
      <c r="AZ356" s="15">
        <f t="shared" si="681"/>
        <v>0</v>
      </c>
      <c r="BA356" s="15">
        <f t="shared" si="682"/>
        <v>0</v>
      </c>
      <c r="BB356" s="15">
        <f t="shared" si="683"/>
        <v>0</v>
      </c>
      <c r="BC356" s="15">
        <f t="shared" si="684"/>
        <v>0</v>
      </c>
      <c r="BD356" s="15">
        <f t="shared" si="685"/>
        <v>0</v>
      </c>
      <c r="BE356" s="15">
        <f t="shared" si="686"/>
        <v>0</v>
      </c>
      <c r="BF356" s="15">
        <f t="shared" si="687"/>
        <v>0</v>
      </c>
      <c r="BG356" s="15">
        <f t="shared" si="688"/>
        <v>0</v>
      </c>
      <c r="BH356" s="15"/>
    </row>
    <row r="357" spans="2:60" ht="14.4" x14ac:dyDescent="0.3">
      <c r="B357" t="str">
        <f t="shared" si="654"/>
        <v>Dairy Flat (incl W.East new)</v>
      </c>
      <c r="C357" s="2" t="str">
        <f t="shared" si="689"/>
        <v>Dairy Flat (incl W.East new)</v>
      </c>
      <c r="D357" s="39">
        <f>VLOOKUP(C357,Summary!$A$12:$H$35,8,0)</f>
        <v>1.7275033036941649</v>
      </c>
      <c r="E357" s="16">
        <f t="shared" si="690"/>
        <v>0</v>
      </c>
      <c r="R357" s="48">
        <f t="shared" si="655"/>
        <v>0.21355808788157427</v>
      </c>
      <c r="S357" s="9">
        <f t="shared" si="691"/>
        <v>0.21331775622188673</v>
      </c>
      <c r="T357" s="49">
        <f t="shared" si="692"/>
        <v>6.3707597489945567</v>
      </c>
      <c r="U357" s="49">
        <f t="shared" si="656"/>
        <v>8.098263052688722</v>
      </c>
      <c r="V357" s="49">
        <f t="shared" si="693"/>
        <v>1.7275033036941649</v>
      </c>
      <c r="W357" s="52">
        <f t="shared" si="694"/>
        <v>1564.4399463744521</v>
      </c>
      <c r="X357" s="10">
        <f t="shared" si="695"/>
        <v>695.03538188347432</v>
      </c>
      <c r="Y357" s="10">
        <f t="shared" si="696"/>
        <v>732.76785834415978</v>
      </c>
      <c r="Z357" s="10">
        <f t="shared" si="697"/>
        <v>134.90920284312404</v>
      </c>
      <c r="AA357" s="15">
        <f t="shared" si="698"/>
        <v>1.7275033036941649</v>
      </c>
      <c r="AB357" s="15">
        <f t="shared" si="657"/>
        <v>0</v>
      </c>
      <c r="AC357" s="15">
        <f t="shared" si="658"/>
        <v>0</v>
      </c>
      <c r="AD357" s="15">
        <f t="shared" si="659"/>
        <v>0</v>
      </c>
      <c r="AE357" s="15">
        <f t="shared" si="660"/>
        <v>0</v>
      </c>
      <c r="AF357" s="15">
        <f t="shared" si="661"/>
        <v>0</v>
      </c>
      <c r="AG357" s="15">
        <f t="shared" si="662"/>
        <v>0</v>
      </c>
      <c r="AH357" s="15">
        <f t="shared" si="663"/>
        <v>0</v>
      </c>
      <c r="AI357" s="15">
        <f t="shared" si="664"/>
        <v>0</v>
      </c>
      <c r="AJ357" s="15">
        <f t="shared" si="665"/>
        <v>0.58639005589976989</v>
      </c>
      <c r="AK357" s="15">
        <f t="shared" si="666"/>
        <v>1.141113247794395</v>
      </c>
      <c r="AL357" s="15">
        <f t="shared" si="667"/>
        <v>2.1597966481683657</v>
      </c>
      <c r="AM357" s="15">
        <f t="shared" si="668"/>
        <v>4.2299753164201856</v>
      </c>
      <c r="AN357" s="15">
        <f t="shared" si="669"/>
        <v>4.5293958136771169</v>
      </c>
      <c r="AO357" s="15">
        <f t="shared" si="670"/>
        <v>5.4424245393333415</v>
      </c>
      <c r="AP357" s="15">
        <f t="shared" si="671"/>
        <v>17.429152129183677</v>
      </c>
      <c r="AQ357" s="15">
        <f t="shared" si="672"/>
        <v>12.365728182717444</v>
      </c>
      <c r="AR357" s="15">
        <f t="shared" si="673"/>
        <v>13.242500689702535</v>
      </c>
      <c r="AS357" s="15">
        <f t="shared" si="674"/>
        <v>22.68318128304216</v>
      </c>
      <c r="AT357" s="15">
        <f t="shared" si="675"/>
        <v>27.377190084532582</v>
      </c>
      <c r="AU357" s="15">
        <f t="shared" si="676"/>
        <v>25.449858156346629</v>
      </c>
      <c r="AV357" s="15">
        <f t="shared" si="677"/>
        <v>8.2719048477949482</v>
      </c>
      <c r="AW357" s="15">
        <f t="shared" si="678"/>
        <v>38.350441334594073</v>
      </c>
      <c r="AX357" s="15">
        <f t="shared" si="679"/>
        <v>35.635456116301128</v>
      </c>
      <c r="AY357" s="15">
        <f t="shared" si="680"/>
        <v>38.157365022148241</v>
      </c>
      <c r="AZ357" s="15">
        <f t="shared" si="681"/>
        <v>40.858148873785481</v>
      </c>
      <c r="BA357" s="15">
        <f t="shared" si="682"/>
        <v>58.062030774853092</v>
      </c>
      <c r="BB357" s="15">
        <f t="shared" si="683"/>
        <v>62.173826127135172</v>
      </c>
      <c r="BC357" s="15">
        <f t="shared" si="684"/>
        <v>66.577325555109169</v>
      </c>
      <c r="BD357" s="15">
        <f t="shared" si="685"/>
        <v>71.293234913474151</v>
      </c>
      <c r="BE357" s="15">
        <f t="shared" si="686"/>
        <v>313.38812477896437</v>
      </c>
      <c r="BF357" s="15">
        <f t="shared" si="687"/>
        <v>335.61529728994083</v>
      </c>
      <c r="BG357" s="15">
        <f t="shared" si="688"/>
        <v>359.42008459353349</v>
      </c>
      <c r="BH357" s="15"/>
    </row>
    <row r="358" spans="2:60" ht="14.4" x14ac:dyDescent="0.3">
      <c r="B358" t="str">
        <f t="shared" si="654"/>
        <v>North Shore</v>
      </c>
      <c r="C358" s="2" t="str">
        <f t="shared" si="689"/>
        <v>North Shore</v>
      </c>
      <c r="D358" s="39">
        <f>VLOOKUP(C358,Summary!$A$12:$H$35,8,0)</f>
        <v>1.8595486399753667</v>
      </c>
      <c r="E358" s="16">
        <f t="shared" si="690"/>
        <v>0</v>
      </c>
      <c r="R358" s="48">
        <f t="shared" si="655"/>
        <v>0.21355808788157429</v>
      </c>
      <c r="S358" s="9">
        <f t="shared" si="691"/>
        <v>0.22157012440387958</v>
      </c>
      <c r="T358" s="49">
        <f t="shared" si="692"/>
        <v>6.5330478121788431</v>
      </c>
      <c r="U358" s="49">
        <f t="shared" si="656"/>
        <v>8.3925964521542102</v>
      </c>
      <c r="V358" s="49">
        <f t="shared" si="693"/>
        <v>1.8595486399753667</v>
      </c>
      <c r="W358" s="10">
        <f t="shared" si="694"/>
        <v>19.138822884680696</v>
      </c>
      <c r="X358" s="10">
        <f t="shared" si="695"/>
        <v>0</v>
      </c>
      <c r="Y358" s="10">
        <f t="shared" si="696"/>
        <v>0</v>
      </c>
      <c r="Z358" s="10">
        <f t="shared" si="697"/>
        <v>17.279274244705327</v>
      </c>
      <c r="AA358" s="15">
        <f t="shared" si="698"/>
        <v>1.8595486399753667</v>
      </c>
      <c r="AB358" s="15">
        <f t="shared" si="657"/>
        <v>0</v>
      </c>
      <c r="AC358" s="15">
        <f t="shared" si="658"/>
        <v>0</v>
      </c>
      <c r="AD358" s="15">
        <f t="shared" si="659"/>
        <v>0</v>
      </c>
      <c r="AE358" s="15">
        <f t="shared" si="660"/>
        <v>0</v>
      </c>
      <c r="AF358" s="15">
        <f t="shared" si="661"/>
        <v>0</v>
      </c>
      <c r="AG358" s="15">
        <f t="shared" si="662"/>
        <v>0</v>
      </c>
      <c r="AH358" s="15">
        <f t="shared" si="663"/>
        <v>0</v>
      </c>
      <c r="AI358" s="15">
        <f t="shared" si="664"/>
        <v>0</v>
      </c>
      <c r="AJ358" s="15">
        <f t="shared" si="665"/>
        <v>0</v>
      </c>
      <c r="AK358" s="15">
        <f t="shared" si="666"/>
        <v>1.8595486399753667</v>
      </c>
      <c r="AL358" s="15">
        <f t="shared" si="667"/>
        <v>1.9913209788177415</v>
      </c>
      <c r="AM358" s="15">
        <f t="shared" si="668"/>
        <v>2.1324435301968148</v>
      </c>
      <c r="AN358" s="15">
        <f t="shared" si="669"/>
        <v>2.2835800354852296</v>
      </c>
      <c r="AO358" s="15">
        <f t="shared" si="670"/>
        <v>2.4454413589712996</v>
      </c>
      <c r="AP358" s="15">
        <f t="shared" si="671"/>
        <v>2.6187888335261453</v>
      </c>
      <c r="AQ358" s="15">
        <f t="shared" si="672"/>
        <v>2.8044378438118791</v>
      </c>
      <c r="AR358" s="15">
        <f t="shared" si="673"/>
        <v>3.0032616638962191</v>
      </c>
      <c r="AS358" s="15">
        <f t="shared" si="674"/>
        <v>0</v>
      </c>
      <c r="AT358" s="15">
        <f t="shared" si="675"/>
        <v>0</v>
      </c>
      <c r="AU358" s="15">
        <f t="shared" si="676"/>
        <v>0</v>
      </c>
      <c r="AV358" s="15">
        <f t="shared" si="677"/>
        <v>0</v>
      </c>
      <c r="AW358" s="15">
        <f t="shared" si="678"/>
        <v>0</v>
      </c>
      <c r="AX358" s="15">
        <f t="shared" si="679"/>
        <v>0</v>
      </c>
      <c r="AY358" s="15">
        <f t="shared" si="680"/>
        <v>0</v>
      </c>
      <c r="AZ358" s="15">
        <f t="shared" si="681"/>
        <v>0</v>
      </c>
      <c r="BA358" s="15">
        <f t="shared" si="682"/>
        <v>0</v>
      </c>
      <c r="BB358" s="15">
        <f t="shared" si="683"/>
        <v>0</v>
      </c>
      <c r="BC358" s="15">
        <f t="shared" si="684"/>
        <v>0</v>
      </c>
      <c r="BD358" s="15">
        <f t="shared" si="685"/>
        <v>0</v>
      </c>
      <c r="BE358" s="15">
        <f t="shared" si="686"/>
        <v>0</v>
      </c>
      <c r="BF358" s="15">
        <f t="shared" si="687"/>
        <v>0</v>
      </c>
      <c r="BG358" s="15">
        <f t="shared" si="688"/>
        <v>0</v>
      </c>
      <c r="BH358" s="15"/>
    </row>
    <row r="359" spans="2:60" ht="14.4" x14ac:dyDescent="0.3">
      <c r="B359" t="str">
        <f t="shared" si="654"/>
        <v>Rural NW</v>
      </c>
      <c r="C359" s="2" t="str">
        <f t="shared" si="689"/>
        <v>Rural NW</v>
      </c>
      <c r="D359" s="39">
        <f>VLOOKUP(C359,Summary!$A$12:$H$35,8,0)</f>
        <v>0.15089784650120361</v>
      </c>
      <c r="E359" s="16">
        <f t="shared" si="690"/>
        <v>0</v>
      </c>
      <c r="R359" s="48">
        <f t="shared" si="655"/>
        <v>0.21355808788157429</v>
      </c>
      <c r="S359" s="9">
        <f t="shared" si="691"/>
        <v>0.28400646852981787</v>
      </c>
      <c r="T359" s="49">
        <f t="shared" si="692"/>
        <v>0.38042049734616834</v>
      </c>
      <c r="U359" s="49">
        <f t="shared" si="656"/>
        <v>0.53131834384737198</v>
      </c>
      <c r="V359" s="49">
        <f t="shared" si="693"/>
        <v>0.15089784650120361</v>
      </c>
      <c r="W359" s="10">
        <f t="shared" si="694"/>
        <v>26.990322917213316</v>
      </c>
      <c r="X359" s="10">
        <f t="shared" si="695"/>
        <v>0</v>
      </c>
      <c r="Y359" s="10">
        <f t="shared" si="696"/>
        <v>0</v>
      </c>
      <c r="Z359" s="10">
        <f t="shared" si="697"/>
        <v>26.839425070712114</v>
      </c>
      <c r="AA359" s="15">
        <f t="shared" si="698"/>
        <v>0.15089784650120361</v>
      </c>
      <c r="AB359" s="15">
        <f t="shared" si="657"/>
        <v>0</v>
      </c>
      <c r="AC359" s="15">
        <f t="shared" si="658"/>
        <v>0</v>
      </c>
      <c r="AD359" s="15">
        <f t="shared" si="659"/>
        <v>0</v>
      </c>
      <c r="AE359" s="15">
        <f t="shared" si="660"/>
        <v>0</v>
      </c>
      <c r="AF359" s="15">
        <f t="shared" si="661"/>
        <v>0</v>
      </c>
      <c r="AG359" s="15">
        <f t="shared" si="662"/>
        <v>0</v>
      </c>
      <c r="AH359" s="15">
        <f t="shared" si="663"/>
        <v>0</v>
      </c>
      <c r="AI359" s="15">
        <f t="shared" si="664"/>
        <v>0</v>
      </c>
      <c r="AJ359" s="15">
        <f t="shared" si="665"/>
        <v>0</v>
      </c>
      <c r="AK359" s="15">
        <f t="shared" si="666"/>
        <v>0.15089784650120361</v>
      </c>
      <c r="AL359" s="15">
        <f t="shared" si="667"/>
        <v>0.26259032511017177</v>
      </c>
      <c r="AM359" s="15">
        <f t="shared" si="668"/>
        <v>0.28092075245261133</v>
      </c>
      <c r="AN359" s="15">
        <f t="shared" si="669"/>
        <v>0.30054574345007573</v>
      </c>
      <c r="AO359" s="15">
        <f t="shared" si="670"/>
        <v>0.4823355905924599</v>
      </c>
      <c r="AP359" s="15">
        <f t="shared" si="671"/>
        <v>2.1269770556801824</v>
      </c>
      <c r="AQ359" s="15">
        <f t="shared" si="672"/>
        <v>2.2774794322231542</v>
      </c>
      <c r="AR359" s="15">
        <f t="shared" si="673"/>
        <v>2.4386561916236507</v>
      </c>
      <c r="AS359" s="15">
        <f t="shared" si="674"/>
        <v>5.8028110372783575</v>
      </c>
      <c r="AT359" s="15">
        <f t="shared" si="675"/>
        <v>6.2135937267658985</v>
      </c>
      <c r="AU359" s="15">
        <f t="shared" si="676"/>
        <v>6.6535152155355535</v>
      </c>
      <c r="AV359" s="15">
        <f t="shared" si="677"/>
        <v>0</v>
      </c>
      <c r="AW359" s="15">
        <f t="shared" si="678"/>
        <v>0</v>
      </c>
      <c r="AX359" s="15">
        <f t="shared" si="679"/>
        <v>0</v>
      </c>
      <c r="AY359" s="15">
        <f t="shared" si="680"/>
        <v>0</v>
      </c>
      <c r="AZ359" s="15">
        <f t="shared" si="681"/>
        <v>0</v>
      </c>
      <c r="BA359" s="15">
        <f t="shared" si="682"/>
        <v>0</v>
      </c>
      <c r="BB359" s="15">
        <f t="shared" si="683"/>
        <v>0</v>
      </c>
      <c r="BC359" s="15">
        <f t="shared" si="684"/>
        <v>0</v>
      </c>
      <c r="BD359" s="15">
        <f t="shared" si="685"/>
        <v>0</v>
      </c>
      <c r="BE359" s="15">
        <f t="shared" si="686"/>
        <v>0</v>
      </c>
      <c r="BF359" s="15">
        <f t="shared" si="687"/>
        <v>0</v>
      </c>
      <c r="BG359" s="15">
        <f t="shared" si="688"/>
        <v>0</v>
      </c>
      <c r="BH359" s="15"/>
    </row>
    <row r="360" spans="2:60" ht="14.4" x14ac:dyDescent="0.3">
      <c r="B360" t="str">
        <f t="shared" si="654"/>
        <v>Kumeu-Huapai-RH</v>
      </c>
      <c r="C360" s="2" t="str">
        <f t="shared" si="689"/>
        <v>Kumeu-Huapai-RH</v>
      </c>
      <c r="D360" s="39">
        <f>VLOOKUP(C360,Summary!$A$12:$H$35,8,0)</f>
        <v>0</v>
      </c>
      <c r="E360" s="16">
        <f t="shared" si="690"/>
        <v>0</v>
      </c>
      <c r="R360" s="48"/>
      <c r="S360" s="9" t="str">
        <f t="shared" si="691"/>
        <v/>
      </c>
      <c r="T360" s="49">
        <f t="shared" si="692"/>
        <v>0</v>
      </c>
      <c r="U360" s="49">
        <f t="shared" si="656"/>
        <v>0</v>
      </c>
      <c r="V360" s="49">
        <f t="shared" si="693"/>
        <v>0</v>
      </c>
      <c r="W360" s="10">
        <f t="shared" si="694"/>
        <v>0</v>
      </c>
      <c r="X360" s="10">
        <f t="shared" si="695"/>
        <v>0</v>
      </c>
      <c r="Y360" s="10">
        <f t="shared" si="696"/>
        <v>0</v>
      </c>
      <c r="Z360" s="10">
        <f t="shared" si="697"/>
        <v>0</v>
      </c>
      <c r="AA360" s="15">
        <f t="shared" si="698"/>
        <v>0</v>
      </c>
      <c r="AB360" s="15">
        <f t="shared" si="657"/>
        <v>0</v>
      </c>
      <c r="AC360" s="15">
        <f t="shared" si="658"/>
        <v>0</v>
      </c>
      <c r="AD360" s="15">
        <f t="shared" si="659"/>
        <v>0</v>
      </c>
      <c r="AE360" s="15">
        <f t="shared" si="660"/>
        <v>0</v>
      </c>
      <c r="AF360" s="15">
        <f t="shared" si="661"/>
        <v>0</v>
      </c>
      <c r="AG360" s="15">
        <f t="shared" si="662"/>
        <v>0</v>
      </c>
      <c r="AH360" s="15">
        <f t="shared" si="663"/>
        <v>0</v>
      </c>
      <c r="AI360" s="15">
        <f t="shared" si="664"/>
        <v>0</v>
      </c>
      <c r="AJ360" s="15">
        <f t="shared" si="665"/>
        <v>0</v>
      </c>
      <c r="AK360" s="15">
        <f t="shared" si="666"/>
        <v>0</v>
      </c>
      <c r="AL360" s="15">
        <f t="shared" si="667"/>
        <v>0</v>
      </c>
      <c r="AM360" s="15">
        <f t="shared" si="668"/>
        <v>0</v>
      </c>
      <c r="AN360" s="15">
        <f t="shared" si="669"/>
        <v>0</v>
      </c>
      <c r="AO360" s="15">
        <f t="shared" si="670"/>
        <v>0</v>
      </c>
      <c r="AP360" s="15">
        <f t="shared" si="671"/>
        <v>0</v>
      </c>
      <c r="AQ360" s="15">
        <f t="shared" si="672"/>
        <v>0</v>
      </c>
      <c r="AR360" s="15">
        <f t="shared" si="673"/>
        <v>0</v>
      </c>
      <c r="AS360" s="15">
        <f t="shared" si="674"/>
        <v>0</v>
      </c>
      <c r="AT360" s="15">
        <f t="shared" si="675"/>
        <v>0</v>
      </c>
      <c r="AU360" s="15">
        <f t="shared" si="676"/>
        <v>0</v>
      </c>
      <c r="AV360" s="15">
        <f t="shared" si="677"/>
        <v>0</v>
      </c>
      <c r="AW360" s="15">
        <f t="shared" si="678"/>
        <v>0</v>
      </c>
      <c r="AX360" s="15">
        <f t="shared" si="679"/>
        <v>0</v>
      </c>
      <c r="AY360" s="15">
        <f t="shared" si="680"/>
        <v>0</v>
      </c>
      <c r="AZ360" s="15">
        <f t="shared" si="681"/>
        <v>0</v>
      </c>
      <c r="BA360" s="15">
        <f t="shared" si="682"/>
        <v>0</v>
      </c>
      <c r="BB360" s="15">
        <f t="shared" si="683"/>
        <v>0</v>
      </c>
      <c r="BC360" s="15">
        <f t="shared" si="684"/>
        <v>0</v>
      </c>
      <c r="BD360" s="15">
        <f t="shared" si="685"/>
        <v>0</v>
      </c>
      <c r="BE360" s="15">
        <f t="shared" si="686"/>
        <v>0</v>
      </c>
      <c r="BF360" s="15">
        <f t="shared" si="687"/>
        <v>0</v>
      </c>
      <c r="BG360" s="15">
        <f t="shared" si="688"/>
        <v>0</v>
      </c>
      <c r="BH360" s="15"/>
    </row>
    <row r="361" spans="2:60" ht="14.4" x14ac:dyDescent="0.3">
      <c r="B361" t="str">
        <f t="shared" si="654"/>
        <v>Kumeu-Huapai-RH RedFlag</v>
      </c>
      <c r="C361" s="2" t="str">
        <f t="shared" si="689"/>
        <v>Kumeu-Huapai-RH RedFlag</v>
      </c>
      <c r="D361" s="39">
        <f>VLOOKUP(C361,Summary!$A$12:$H$35,8,0)</f>
        <v>0</v>
      </c>
      <c r="E361" s="16">
        <f t="shared" si="690"/>
        <v>0</v>
      </c>
      <c r="R361" s="48"/>
      <c r="S361" s="9" t="str">
        <f t="shared" si="691"/>
        <v/>
      </c>
      <c r="T361" s="49">
        <f t="shared" si="692"/>
        <v>0</v>
      </c>
      <c r="U361" s="49">
        <f t="shared" si="656"/>
        <v>0</v>
      </c>
      <c r="V361" s="49">
        <f t="shared" si="693"/>
        <v>0</v>
      </c>
      <c r="W361" s="10">
        <f t="shared" si="694"/>
        <v>882.82609496015561</v>
      </c>
      <c r="X361" s="10">
        <f t="shared" si="695"/>
        <v>408.72903587706293</v>
      </c>
      <c r="Y361" s="10">
        <f t="shared" si="696"/>
        <v>466.59552222101843</v>
      </c>
      <c r="Z361" s="10">
        <f t="shared" si="697"/>
        <v>7.5015368620742731</v>
      </c>
      <c r="AA361" s="15">
        <f t="shared" si="698"/>
        <v>0</v>
      </c>
      <c r="AB361" s="15">
        <f t="shared" si="657"/>
        <v>0</v>
      </c>
      <c r="AC361" s="15">
        <f t="shared" si="658"/>
        <v>0</v>
      </c>
      <c r="AD361" s="15">
        <f t="shared" si="659"/>
        <v>0</v>
      </c>
      <c r="AE361" s="15">
        <f t="shared" si="660"/>
        <v>0</v>
      </c>
      <c r="AF361" s="15">
        <f t="shared" si="661"/>
        <v>0</v>
      </c>
      <c r="AG361" s="15">
        <f t="shared" si="662"/>
        <v>0</v>
      </c>
      <c r="AH361" s="15">
        <f t="shared" si="663"/>
        <v>0</v>
      </c>
      <c r="AI361" s="15">
        <f t="shared" si="664"/>
        <v>0</v>
      </c>
      <c r="AJ361" s="15">
        <f t="shared" si="665"/>
        <v>0</v>
      </c>
      <c r="AK361" s="15">
        <f t="shared" si="666"/>
        <v>0</v>
      </c>
      <c r="AL361" s="15">
        <f t="shared" si="667"/>
        <v>0</v>
      </c>
      <c r="AM361" s="15">
        <f t="shared" si="668"/>
        <v>0</v>
      </c>
      <c r="AN361" s="15">
        <f t="shared" si="669"/>
        <v>0</v>
      </c>
      <c r="AO361" s="15">
        <f t="shared" si="670"/>
        <v>0</v>
      </c>
      <c r="AP361" s="15">
        <f t="shared" si="671"/>
        <v>0</v>
      </c>
      <c r="AQ361" s="15">
        <f t="shared" si="672"/>
        <v>0</v>
      </c>
      <c r="AR361" s="15">
        <f t="shared" si="673"/>
        <v>0</v>
      </c>
      <c r="AS361" s="15">
        <f t="shared" si="674"/>
        <v>0</v>
      </c>
      <c r="AT361" s="15">
        <f t="shared" si="675"/>
        <v>3.6224812626700316</v>
      </c>
      <c r="AU361" s="15">
        <f t="shared" si="676"/>
        <v>3.8790555994042419</v>
      </c>
      <c r="AV361" s="15">
        <f t="shared" si="677"/>
        <v>4.1538330337224414</v>
      </c>
      <c r="AW361" s="15">
        <f t="shared" si="678"/>
        <v>26.74562986071188</v>
      </c>
      <c r="AX361" s="15">
        <f t="shared" si="679"/>
        <v>28.640122231972434</v>
      </c>
      <c r="AY361" s="15">
        <f t="shared" si="680"/>
        <v>30.66902571991778</v>
      </c>
      <c r="AZ361" s="15">
        <f t="shared" si="681"/>
        <v>32.841881361315707</v>
      </c>
      <c r="BA361" s="15">
        <f t="shared" si="682"/>
        <v>35.823271309791693</v>
      </c>
      <c r="BB361" s="15">
        <f t="shared" si="683"/>
        <v>38.361256222129548</v>
      </c>
      <c r="BC361" s="15">
        <f t="shared" si="684"/>
        <v>41.079317781528928</v>
      </c>
      <c r="BD361" s="15">
        <f t="shared" si="685"/>
        <v>43.990238783733474</v>
      </c>
      <c r="BE361" s="15">
        <f t="shared" si="686"/>
        <v>184.29094591619457</v>
      </c>
      <c r="BF361" s="15">
        <f t="shared" si="687"/>
        <v>197.3640162369818</v>
      </c>
      <c r="BG361" s="15">
        <f t="shared" si="688"/>
        <v>211.36501964008113</v>
      </c>
      <c r="BH361" s="15"/>
    </row>
    <row r="362" spans="2:60" ht="14.4" x14ac:dyDescent="0.3">
      <c r="B362" t="str">
        <f t="shared" si="654"/>
        <v>Whenuapai</v>
      </c>
      <c r="C362" s="2" t="str">
        <f t="shared" si="689"/>
        <v>Whenuapai</v>
      </c>
      <c r="D362" s="39">
        <f>VLOOKUP(C362,Summary!$A$12:$H$35,8,0)</f>
        <v>28.271393808318997</v>
      </c>
      <c r="E362" s="16">
        <f t="shared" si="690"/>
        <v>0</v>
      </c>
      <c r="R362" s="48">
        <f>M326</f>
        <v>0.711860292938581</v>
      </c>
      <c r="S362" s="9">
        <f t="shared" si="691"/>
        <v>1.9096293681745822</v>
      </c>
      <c r="T362" s="49">
        <f t="shared" si="692"/>
        <v>-13.466744131537126</v>
      </c>
      <c r="U362" s="49">
        <f t="shared" si="656"/>
        <v>14.804649676781871</v>
      </c>
      <c r="V362" s="49">
        <f t="shared" si="693"/>
        <v>28.271393808318997</v>
      </c>
      <c r="W362" s="10">
        <f t="shared" si="694"/>
        <v>417.91396222662831</v>
      </c>
      <c r="X362" s="10">
        <f t="shared" si="695"/>
        <v>109.03365556286248</v>
      </c>
      <c r="Y362" s="10">
        <f t="shared" si="696"/>
        <v>133.4846150107268</v>
      </c>
      <c r="Z362" s="10">
        <f t="shared" si="697"/>
        <v>147.12429784471999</v>
      </c>
      <c r="AA362" s="15">
        <f t="shared" si="698"/>
        <v>28.271393808318997</v>
      </c>
      <c r="AB362" s="15">
        <f t="shared" si="657"/>
        <v>0.64408315714000008</v>
      </c>
      <c r="AC362" s="15">
        <f t="shared" si="658"/>
        <v>0.68892022132562014</v>
      </c>
      <c r="AD362" s="15">
        <f t="shared" si="659"/>
        <v>0.71846739560803985</v>
      </c>
      <c r="AE362" s="15">
        <f t="shared" si="660"/>
        <v>1.6264208892904064</v>
      </c>
      <c r="AF362" s="15">
        <f t="shared" si="661"/>
        <v>1.7412237934047028</v>
      </c>
      <c r="AG362" s="15">
        <f t="shared" si="662"/>
        <v>2.3419352999325285</v>
      </c>
      <c r="AH362" s="15">
        <f t="shared" si="663"/>
        <v>6.3467019923829966</v>
      </c>
      <c r="AI362" s="15">
        <f t="shared" si="664"/>
        <v>6.7953510222539135</v>
      </c>
      <c r="AJ362" s="15">
        <f t="shared" si="665"/>
        <v>5.2633579354382825</v>
      </c>
      <c r="AK362" s="15">
        <f t="shared" si="666"/>
        <v>2.1049321015425058</v>
      </c>
      <c r="AL362" s="15">
        <f t="shared" si="667"/>
        <v>10.261086665219254</v>
      </c>
      <c r="AM362" s="15">
        <f t="shared" si="668"/>
        <v>10.987365761245547</v>
      </c>
      <c r="AN362" s="15">
        <f t="shared" si="669"/>
        <v>7.7100864049121896</v>
      </c>
      <c r="AO362" s="15">
        <f t="shared" si="670"/>
        <v>8.2553633248392408</v>
      </c>
      <c r="AP362" s="15">
        <f t="shared" si="671"/>
        <v>36.850367138299447</v>
      </c>
      <c r="AQ362" s="15">
        <f t="shared" si="672"/>
        <v>39.462709980700197</v>
      </c>
      <c r="AR362" s="15">
        <f t="shared" si="673"/>
        <v>30.922230567073363</v>
      </c>
      <c r="AS362" s="15">
        <f t="shared" si="674"/>
        <v>0</v>
      </c>
      <c r="AT362" s="15">
        <f t="shared" si="675"/>
        <v>1.2917490917497969</v>
      </c>
      <c r="AU362" s="15">
        <f t="shared" si="676"/>
        <v>1.3833389106809599</v>
      </c>
      <c r="AV362" s="15">
        <f t="shared" si="677"/>
        <v>1.4814288706914078</v>
      </c>
      <c r="AW362" s="15">
        <f t="shared" si="678"/>
        <v>7.5432326327378876</v>
      </c>
      <c r="AX362" s="15">
        <f t="shared" si="679"/>
        <v>8.0778064745466072</v>
      </c>
      <c r="AY362" s="15">
        <f t="shared" si="680"/>
        <v>8.6503131542712026</v>
      </c>
      <c r="AZ362" s="15">
        <f t="shared" si="681"/>
        <v>9.2634454214969431</v>
      </c>
      <c r="BA362" s="15">
        <f t="shared" si="682"/>
        <v>11.090694443136432</v>
      </c>
      <c r="BB362" s="15">
        <f t="shared" si="683"/>
        <v>11.876866481890456</v>
      </c>
      <c r="BC362" s="15">
        <f t="shared" si="684"/>
        <v>12.718828855528429</v>
      </c>
      <c r="BD362" s="15">
        <f t="shared" si="685"/>
        <v>13.620542064470023</v>
      </c>
      <c r="BE362" s="15">
        <f t="shared" si="686"/>
        <v>49.161456611957426</v>
      </c>
      <c r="BF362" s="15">
        <f t="shared" si="687"/>
        <v>52.649181323944333</v>
      </c>
      <c r="BG362" s="15">
        <f t="shared" si="688"/>
        <v>56.384474238918145</v>
      </c>
      <c r="BH362" s="15"/>
    </row>
    <row r="363" spans="2:60" ht="14.4" x14ac:dyDescent="0.3">
      <c r="B363" t="str">
        <f t="shared" si="654"/>
        <v>Whenuapai Sc1</v>
      </c>
      <c r="C363" s="2" t="s">
        <v>28</v>
      </c>
      <c r="D363" s="39">
        <f>VLOOKUP(C363,Summary!$A$12:$H$35,8,0)</f>
        <v>28.271393808318997</v>
      </c>
      <c r="E363" s="16">
        <f t="shared" si="690"/>
        <v>28.271393808318997</v>
      </c>
      <c r="R363" s="48">
        <f>M327</f>
        <v>0.711860292938581</v>
      </c>
      <c r="S363" s="9">
        <f t="shared" si="691"/>
        <v>0</v>
      </c>
      <c r="T363" s="49">
        <f t="shared" si="692"/>
        <v>26.765767402580721</v>
      </c>
      <c r="U363" s="49">
        <f t="shared" si="656"/>
        <v>26.765767402580721</v>
      </c>
      <c r="V363" s="49">
        <f t="shared" si="693"/>
        <v>0</v>
      </c>
      <c r="W363" s="10">
        <f t="shared" si="694"/>
        <v>0</v>
      </c>
      <c r="X363" s="10">
        <f t="shared" si="695"/>
        <v>0</v>
      </c>
      <c r="Y363" s="10">
        <f t="shared" si="696"/>
        <v>0</v>
      </c>
      <c r="Z363" s="10">
        <f t="shared" si="697"/>
        <v>0</v>
      </c>
      <c r="AA363" s="15">
        <f t="shared" si="698"/>
        <v>0</v>
      </c>
      <c r="AB363" s="15">
        <f t="shared" si="657"/>
        <v>0</v>
      </c>
      <c r="AC363" s="15">
        <f t="shared" si="658"/>
        <v>0</v>
      </c>
      <c r="AD363" s="15">
        <f t="shared" si="659"/>
        <v>0</v>
      </c>
      <c r="AE363" s="15">
        <f t="shared" si="660"/>
        <v>0</v>
      </c>
      <c r="AF363" s="15">
        <f t="shared" si="661"/>
        <v>0</v>
      </c>
      <c r="AG363" s="15">
        <f t="shared" si="662"/>
        <v>0</v>
      </c>
      <c r="AH363" s="15">
        <f t="shared" si="663"/>
        <v>0</v>
      </c>
      <c r="AI363" s="15">
        <f t="shared" si="664"/>
        <v>0</v>
      </c>
      <c r="AJ363" s="15">
        <f t="shared" si="665"/>
        <v>0</v>
      </c>
      <c r="AK363" s="15">
        <f t="shared" si="666"/>
        <v>0</v>
      </c>
      <c r="AL363" s="15">
        <f t="shared" si="667"/>
        <v>0</v>
      </c>
      <c r="AM363" s="15">
        <f t="shared" si="668"/>
        <v>0</v>
      </c>
      <c r="AN363" s="15">
        <f t="shared" si="669"/>
        <v>0</v>
      </c>
      <c r="AO363" s="15">
        <f t="shared" si="670"/>
        <v>0</v>
      </c>
      <c r="AP363" s="15">
        <f t="shared" si="671"/>
        <v>0</v>
      </c>
      <c r="AQ363" s="15">
        <f t="shared" si="672"/>
        <v>0</v>
      </c>
      <c r="AR363" s="15">
        <f t="shared" si="673"/>
        <v>0</v>
      </c>
      <c r="AS363" s="15">
        <f t="shared" si="674"/>
        <v>0</v>
      </c>
      <c r="AT363" s="15">
        <f t="shared" si="675"/>
        <v>0</v>
      </c>
      <c r="AU363" s="15">
        <f t="shared" si="676"/>
        <v>0</v>
      </c>
      <c r="AV363" s="15">
        <f t="shared" si="677"/>
        <v>0</v>
      </c>
      <c r="AW363" s="15">
        <f t="shared" si="678"/>
        <v>0</v>
      </c>
      <c r="AX363" s="15">
        <f t="shared" si="679"/>
        <v>0</v>
      </c>
      <c r="AY363" s="15">
        <f t="shared" si="680"/>
        <v>0</v>
      </c>
      <c r="AZ363" s="15">
        <f t="shared" si="681"/>
        <v>0</v>
      </c>
      <c r="BA363" s="15">
        <f t="shared" si="682"/>
        <v>0</v>
      </c>
      <c r="BB363" s="15">
        <f t="shared" si="683"/>
        <v>0</v>
      </c>
      <c r="BC363" s="15">
        <f t="shared" si="684"/>
        <v>0</v>
      </c>
      <c r="BD363" s="15">
        <f t="shared" si="685"/>
        <v>0</v>
      </c>
      <c r="BE363" s="15">
        <f t="shared" si="686"/>
        <v>0</v>
      </c>
      <c r="BF363" s="15">
        <f t="shared" si="687"/>
        <v>0</v>
      </c>
      <c r="BG363" s="15">
        <f t="shared" si="688"/>
        <v>0</v>
      </c>
      <c r="BH363" s="15"/>
    </row>
    <row r="364" spans="2:60" ht="14.4" x14ac:dyDescent="0.3">
      <c r="B364" t="str">
        <f t="shared" si="654"/>
        <v>ScottPt-BombPt</v>
      </c>
      <c r="C364" s="2" t="str">
        <f t="shared" si="689"/>
        <v>ScottPt-BombPt</v>
      </c>
      <c r="D364" s="39">
        <f>VLOOKUP(C364,Summary!$A$12:$H$35,8,0)</f>
        <v>12.428393162351888</v>
      </c>
      <c r="E364" s="16">
        <f t="shared" si="690"/>
        <v>0</v>
      </c>
      <c r="R364" s="48">
        <f>M328</f>
        <v>0.21355808788157429</v>
      </c>
      <c r="S364" s="9">
        <f t="shared" si="691"/>
        <v>0.21409396434942357</v>
      </c>
      <c r="T364" s="49">
        <f t="shared" si="692"/>
        <v>45.622720983339114</v>
      </c>
      <c r="U364" s="49">
        <f t="shared" si="656"/>
        <v>58.051114145691002</v>
      </c>
      <c r="V364" s="49">
        <f t="shared" si="693"/>
        <v>12.428393162351888</v>
      </c>
      <c r="W364" s="10">
        <f t="shared" si="694"/>
        <v>128.70130871468839</v>
      </c>
      <c r="X364" s="10">
        <f t="shared" si="695"/>
        <v>0</v>
      </c>
      <c r="Y364" s="10">
        <f t="shared" si="696"/>
        <v>0</v>
      </c>
      <c r="Z364" s="10">
        <f t="shared" si="697"/>
        <v>116.27291555233651</v>
      </c>
      <c r="AA364" s="15">
        <f t="shared" si="698"/>
        <v>12.428393162351888</v>
      </c>
      <c r="AB364" s="15">
        <f t="shared" si="657"/>
        <v>1.28144315714</v>
      </c>
      <c r="AC364" s="15">
        <f t="shared" si="658"/>
        <v>1.3708954213256201</v>
      </c>
      <c r="AD364" s="15">
        <f t="shared" si="659"/>
        <v>1.4297675292080398</v>
      </c>
      <c r="AE364" s="15">
        <f t="shared" si="660"/>
        <v>1.5309298279434169</v>
      </c>
      <c r="AF364" s="15">
        <f t="shared" si="661"/>
        <v>1.6392669235805606</v>
      </c>
      <c r="AG364" s="15">
        <f t="shared" si="662"/>
        <v>0</v>
      </c>
      <c r="AH364" s="15">
        <f t="shared" si="663"/>
        <v>0</v>
      </c>
      <c r="AI364" s="15">
        <f t="shared" si="664"/>
        <v>0</v>
      </c>
      <c r="AJ364" s="15">
        <f t="shared" si="665"/>
        <v>0</v>
      </c>
      <c r="AK364" s="15">
        <f t="shared" si="666"/>
        <v>5.1760903031542504</v>
      </c>
      <c r="AL364" s="15">
        <f t="shared" si="667"/>
        <v>9.6758820795350253</v>
      </c>
      <c r="AM364" s="15">
        <f t="shared" si="668"/>
        <v>10.490034588424193</v>
      </c>
      <c r="AN364" s="15">
        <f t="shared" si="669"/>
        <v>11.392504520389858</v>
      </c>
      <c r="AO364" s="15">
        <f t="shared" si="670"/>
        <v>11.706713628569471</v>
      </c>
      <c r="AP364" s="15">
        <f t="shared" si="671"/>
        <v>5.9421875363297767</v>
      </c>
      <c r="AQ364" s="15">
        <f t="shared" si="672"/>
        <v>6.8414109371940111</v>
      </c>
      <c r="AR364" s="15">
        <f t="shared" si="673"/>
        <v>29.079999506461085</v>
      </c>
      <c r="AS364" s="15">
        <f t="shared" si="674"/>
        <v>31.144182755433096</v>
      </c>
      <c r="AT364" s="15">
        <f t="shared" si="675"/>
        <v>0</v>
      </c>
      <c r="AU364" s="15">
        <f t="shared" si="676"/>
        <v>0</v>
      </c>
      <c r="AV364" s="15">
        <f t="shared" si="677"/>
        <v>0</v>
      </c>
      <c r="AW364" s="15">
        <f t="shared" si="678"/>
        <v>0</v>
      </c>
      <c r="AX364" s="15">
        <f t="shared" si="679"/>
        <v>0</v>
      </c>
      <c r="AY364" s="15">
        <f t="shared" si="680"/>
        <v>0</v>
      </c>
      <c r="AZ364" s="15">
        <f t="shared" si="681"/>
        <v>0</v>
      </c>
      <c r="BA364" s="15">
        <f t="shared" si="682"/>
        <v>0</v>
      </c>
      <c r="BB364" s="15">
        <f t="shared" si="683"/>
        <v>0</v>
      </c>
      <c r="BC364" s="15">
        <f t="shared" si="684"/>
        <v>0</v>
      </c>
      <c r="BD364" s="15">
        <f t="shared" si="685"/>
        <v>0</v>
      </c>
      <c r="BE364" s="15">
        <f t="shared" si="686"/>
        <v>0</v>
      </c>
      <c r="BF364" s="15">
        <f t="shared" si="687"/>
        <v>0</v>
      </c>
      <c r="BG364" s="15">
        <f t="shared" si="688"/>
        <v>0</v>
      </c>
      <c r="BH364" s="15"/>
    </row>
    <row r="365" spans="2:60" ht="14.4" x14ac:dyDescent="0.3">
      <c r="B365" t="str">
        <f t="shared" si="654"/>
        <v>Redhills</v>
      </c>
      <c r="C365" s="2" t="str">
        <f t="shared" si="689"/>
        <v>Redhills</v>
      </c>
      <c r="D365" s="39">
        <f>VLOOKUP(C365,Summary!$A$12:$H$35,8,0)</f>
        <v>86.098507823793028</v>
      </c>
      <c r="E365" s="16">
        <f t="shared" si="690"/>
        <v>0</v>
      </c>
      <c r="R365" s="48">
        <f>M329</f>
        <v>0.711860292938581</v>
      </c>
      <c r="S365" s="9">
        <f t="shared" si="691"/>
        <v>0.66749781005353526</v>
      </c>
      <c r="T365" s="49">
        <f t="shared" si="692"/>
        <v>42.888443933977811</v>
      </c>
      <c r="U365" s="49">
        <f t="shared" si="656"/>
        <v>128.98695175777084</v>
      </c>
      <c r="V365" s="49">
        <f t="shared" si="693"/>
        <v>86.098507823793028</v>
      </c>
      <c r="W365" s="10">
        <f t="shared" si="694"/>
        <v>281.93753723822442</v>
      </c>
      <c r="X365" s="10">
        <f t="shared" si="695"/>
        <v>0</v>
      </c>
      <c r="Y365" s="10">
        <f t="shared" si="696"/>
        <v>0</v>
      </c>
      <c r="Z365" s="10">
        <f t="shared" si="697"/>
        <v>195.83902941443139</v>
      </c>
      <c r="AA365" s="15">
        <f t="shared" si="698"/>
        <v>86.098507823793028</v>
      </c>
      <c r="AB365" s="15">
        <f t="shared" si="657"/>
        <v>5.3481073224151432</v>
      </c>
      <c r="AC365" s="15">
        <f t="shared" si="658"/>
        <v>3.6166458776773429</v>
      </c>
      <c r="AD365" s="15">
        <f t="shared" si="659"/>
        <v>2.9315039678484451</v>
      </c>
      <c r="AE365" s="15">
        <f t="shared" si="660"/>
        <v>3.9957668628198202</v>
      </c>
      <c r="AF365" s="15">
        <f t="shared" si="661"/>
        <v>6.6066033654845526</v>
      </c>
      <c r="AG365" s="15">
        <f t="shared" si="662"/>
        <v>15.751215395524204</v>
      </c>
      <c r="AH365" s="15">
        <f t="shared" si="663"/>
        <v>13.904113374297348</v>
      </c>
      <c r="AI365" s="15">
        <f t="shared" si="664"/>
        <v>15.991537067999486</v>
      </c>
      <c r="AJ365" s="15">
        <f t="shared" si="665"/>
        <v>13.379713901153121</v>
      </c>
      <c r="AK365" s="15">
        <f t="shared" si="666"/>
        <v>4.5733006885735623</v>
      </c>
      <c r="AL365" s="15">
        <f t="shared" si="667"/>
        <v>32.642071455482267</v>
      </c>
      <c r="AM365" s="15">
        <f t="shared" si="668"/>
        <v>35.378584376484106</v>
      </c>
      <c r="AN365" s="15">
        <f t="shared" si="669"/>
        <v>38.410400815744389</v>
      </c>
      <c r="AO365" s="15">
        <f t="shared" si="670"/>
        <v>38.795649524362872</v>
      </c>
      <c r="AP365" s="15">
        <f t="shared" si="671"/>
        <v>19.691041309112148</v>
      </c>
      <c r="AQ365" s="15">
        <f t="shared" si="672"/>
        <v>22.66958015860742</v>
      </c>
      <c r="AR365" s="15">
        <f t="shared" si="673"/>
        <v>8.2517017746381836</v>
      </c>
      <c r="AS365" s="15">
        <f t="shared" si="674"/>
        <v>0</v>
      </c>
      <c r="AT365" s="15">
        <f t="shared" si="675"/>
        <v>0</v>
      </c>
      <c r="AU365" s="15">
        <f t="shared" si="676"/>
        <v>0</v>
      </c>
      <c r="AV365" s="15">
        <f t="shared" si="677"/>
        <v>0</v>
      </c>
      <c r="AW365" s="15">
        <f t="shared" si="678"/>
        <v>0</v>
      </c>
      <c r="AX365" s="15">
        <f t="shared" si="679"/>
        <v>0</v>
      </c>
      <c r="AY365" s="15">
        <f t="shared" si="680"/>
        <v>0</v>
      </c>
      <c r="AZ365" s="15">
        <f t="shared" si="681"/>
        <v>0</v>
      </c>
      <c r="BA365" s="15">
        <f t="shared" si="682"/>
        <v>0</v>
      </c>
      <c r="BB365" s="15">
        <f t="shared" si="683"/>
        <v>0</v>
      </c>
      <c r="BC365" s="15">
        <f t="shared" si="684"/>
        <v>0</v>
      </c>
      <c r="BD365" s="15">
        <f t="shared" si="685"/>
        <v>0</v>
      </c>
      <c r="BE365" s="15">
        <f t="shared" si="686"/>
        <v>0</v>
      </c>
      <c r="BF365" s="15">
        <f t="shared" si="687"/>
        <v>0</v>
      </c>
      <c r="BG365" s="15">
        <f t="shared" si="688"/>
        <v>0</v>
      </c>
      <c r="BH365" s="15"/>
    </row>
    <row r="366" spans="2:60" ht="14.4" x14ac:dyDescent="0.3">
      <c r="B366" t="str">
        <f t="shared" si="654"/>
        <v>West</v>
      </c>
      <c r="C366" s="2" t="str">
        <f t="shared" si="689"/>
        <v>West</v>
      </c>
      <c r="D366" s="39"/>
      <c r="E366" s="16"/>
      <c r="R366" s="48"/>
      <c r="S366" s="9" t="str">
        <f t="shared" si="691"/>
        <v/>
      </c>
      <c r="T366" s="49">
        <f t="shared" si="692"/>
        <v>0</v>
      </c>
      <c r="U366" s="49">
        <f t="shared" si="656"/>
        <v>0</v>
      </c>
      <c r="V366" s="49">
        <f t="shared" si="693"/>
        <v>0</v>
      </c>
      <c r="W366" s="10">
        <f t="shared" si="694"/>
        <v>0</v>
      </c>
      <c r="X366" s="10">
        <f t="shared" si="695"/>
        <v>0</v>
      </c>
      <c r="Y366" s="10">
        <f t="shared" si="696"/>
        <v>0</v>
      </c>
      <c r="Z366" s="10">
        <f t="shared" si="697"/>
        <v>0</v>
      </c>
      <c r="AA366" s="15">
        <f t="shared" si="698"/>
        <v>0</v>
      </c>
      <c r="AB366" s="15">
        <f t="shared" si="657"/>
        <v>0</v>
      </c>
      <c r="AC366" s="15">
        <f t="shared" si="658"/>
        <v>0</v>
      </c>
      <c r="AD366" s="15">
        <f t="shared" si="659"/>
        <v>0</v>
      </c>
      <c r="AE366" s="15">
        <f t="shared" si="660"/>
        <v>0</v>
      </c>
      <c r="AF366" s="15">
        <f t="shared" si="661"/>
        <v>0</v>
      </c>
      <c r="AG366" s="15">
        <f t="shared" si="662"/>
        <v>0</v>
      </c>
      <c r="AH366" s="15">
        <f t="shared" si="663"/>
        <v>0</v>
      </c>
      <c r="AI366" s="15">
        <f t="shared" si="664"/>
        <v>0</v>
      </c>
      <c r="AJ366" s="15">
        <f t="shared" si="665"/>
        <v>0</v>
      </c>
      <c r="AK366" s="15">
        <f t="shared" si="666"/>
        <v>0</v>
      </c>
      <c r="AL366" s="15">
        <f t="shared" si="667"/>
        <v>0</v>
      </c>
      <c r="AM366" s="15">
        <f t="shared" si="668"/>
        <v>0</v>
      </c>
      <c r="AN366" s="15">
        <f t="shared" si="669"/>
        <v>0</v>
      </c>
      <c r="AO366" s="15">
        <f t="shared" si="670"/>
        <v>0</v>
      </c>
      <c r="AP366" s="15">
        <f t="shared" si="671"/>
        <v>0</v>
      </c>
      <c r="AQ366" s="15">
        <f t="shared" si="672"/>
        <v>0</v>
      </c>
      <c r="AR366" s="15">
        <f t="shared" si="673"/>
        <v>0</v>
      </c>
      <c r="AS366" s="15">
        <f t="shared" si="674"/>
        <v>0</v>
      </c>
      <c r="AT366" s="15">
        <f t="shared" si="675"/>
        <v>0</v>
      </c>
      <c r="AU366" s="15">
        <f t="shared" si="676"/>
        <v>0</v>
      </c>
      <c r="AV366" s="15">
        <f t="shared" si="677"/>
        <v>0</v>
      </c>
      <c r="AW366" s="15">
        <f t="shared" si="678"/>
        <v>0</v>
      </c>
      <c r="AX366" s="15">
        <f t="shared" si="679"/>
        <v>0</v>
      </c>
      <c r="AY366" s="15">
        <f t="shared" si="680"/>
        <v>0</v>
      </c>
      <c r="AZ366" s="15">
        <f t="shared" si="681"/>
        <v>0</v>
      </c>
      <c r="BA366" s="15">
        <f t="shared" si="682"/>
        <v>0</v>
      </c>
      <c r="BB366" s="15">
        <f t="shared" si="683"/>
        <v>0</v>
      </c>
      <c r="BC366" s="15">
        <f t="shared" si="684"/>
        <v>0</v>
      </c>
      <c r="BD366" s="15">
        <f t="shared" si="685"/>
        <v>0</v>
      </c>
      <c r="BE366" s="15">
        <f t="shared" si="686"/>
        <v>0</v>
      </c>
      <c r="BF366" s="15">
        <f t="shared" si="687"/>
        <v>0</v>
      </c>
      <c r="BG366" s="15">
        <f t="shared" si="688"/>
        <v>0</v>
      </c>
      <c r="BH366" s="15"/>
    </row>
    <row r="367" spans="2:60" ht="14.4" x14ac:dyDescent="0.3">
      <c r="B367" t="str">
        <f t="shared" si="654"/>
        <v>Roskill</v>
      </c>
      <c r="C367" s="2" t="str">
        <f t="shared" si="689"/>
        <v>Roskill</v>
      </c>
      <c r="D367" s="39">
        <f>VLOOKUP(C367,Summary!$A$12:$H$35,8,0)</f>
        <v>6.091243395087572</v>
      </c>
      <c r="E367" s="16">
        <f t="shared" si="690"/>
        <v>0</v>
      </c>
      <c r="R367" s="48">
        <f>M331</f>
        <v>0.711860292938581</v>
      </c>
      <c r="S367" s="9">
        <f t="shared" si="691"/>
        <v>0.99249779738044874</v>
      </c>
      <c r="T367" s="49">
        <f t="shared" si="692"/>
        <v>4.6043167325471757E-2</v>
      </c>
      <c r="U367" s="49">
        <f t="shared" si="656"/>
        <v>6.1372865624130437</v>
      </c>
      <c r="V367" s="49">
        <f t="shared" si="693"/>
        <v>6.091243395087572</v>
      </c>
      <c r="W367" s="10">
        <f t="shared" si="694"/>
        <v>6.091243395087572</v>
      </c>
      <c r="X367" s="10">
        <f t="shared" si="695"/>
        <v>0</v>
      </c>
      <c r="Y367" s="10">
        <f t="shared" si="696"/>
        <v>0</v>
      </c>
      <c r="Z367" s="10">
        <f t="shared" si="697"/>
        <v>0</v>
      </c>
      <c r="AA367" s="15">
        <f t="shared" si="698"/>
        <v>6.091243395087572</v>
      </c>
      <c r="AB367" s="15">
        <f t="shared" si="657"/>
        <v>1.900657777777778</v>
      </c>
      <c r="AC367" s="15">
        <f t="shared" si="658"/>
        <v>2.0452788577649224</v>
      </c>
      <c r="AD367" s="15">
        <f t="shared" si="659"/>
        <v>2.1330985232578441</v>
      </c>
      <c r="AE367" s="15">
        <f t="shared" si="660"/>
        <v>1.2208236287027855E-2</v>
      </c>
      <c r="AF367" s="15">
        <f t="shared" si="661"/>
        <v>0</v>
      </c>
      <c r="AG367" s="15">
        <f t="shared" si="662"/>
        <v>0</v>
      </c>
      <c r="AH367" s="15">
        <f t="shared" si="663"/>
        <v>0</v>
      </c>
      <c r="AI367" s="15">
        <f t="shared" si="664"/>
        <v>0</v>
      </c>
      <c r="AJ367" s="15">
        <f t="shared" si="665"/>
        <v>0</v>
      </c>
      <c r="AK367" s="15">
        <f t="shared" si="666"/>
        <v>0</v>
      </c>
      <c r="AL367" s="15">
        <f t="shared" si="667"/>
        <v>0</v>
      </c>
      <c r="AM367" s="15">
        <f t="shared" si="668"/>
        <v>0</v>
      </c>
      <c r="AN367" s="15">
        <f t="shared" si="669"/>
        <v>0</v>
      </c>
      <c r="AO367" s="15">
        <f t="shared" si="670"/>
        <v>0</v>
      </c>
      <c r="AP367" s="15">
        <f t="shared" si="671"/>
        <v>0</v>
      </c>
      <c r="AQ367" s="15">
        <f t="shared" si="672"/>
        <v>0</v>
      </c>
      <c r="AR367" s="15">
        <f t="shared" si="673"/>
        <v>0</v>
      </c>
      <c r="AS367" s="15">
        <f t="shared" si="674"/>
        <v>0</v>
      </c>
      <c r="AT367" s="15">
        <f t="shared" si="675"/>
        <v>0</v>
      </c>
      <c r="AU367" s="15">
        <f t="shared" si="676"/>
        <v>0</v>
      </c>
      <c r="AV367" s="15">
        <f t="shared" si="677"/>
        <v>0</v>
      </c>
      <c r="AW367" s="15">
        <f t="shared" si="678"/>
        <v>0</v>
      </c>
      <c r="AX367" s="15">
        <f t="shared" si="679"/>
        <v>0</v>
      </c>
      <c r="AY367" s="15">
        <f t="shared" si="680"/>
        <v>0</v>
      </c>
      <c r="AZ367" s="15">
        <f t="shared" si="681"/>
        <v>0</v>
      </c>
      <c r="BA367" s="15">
        <f t="shared" si="682"/>
        <v>0</v>
      </c>
      <c r="BB367" s="15">
        <f t="shared" si="683"/>
        <v>0</v>
      </c>
      <c r="BC367" s="15">
        <f t="shared" si="684"/>
        <v>0</v>
      </c>
      <c r="BD367" s="15">
        <f t="shared" si="685"/>
        <v>0</v>
      </c>
      <c r="BE367" s="15">
        <f t="shared" si="686"/>
        <v>0</v>
      </c>
      <c r="BF367" s="15">
        <f t="shared" si="687"/>
        <v>0</v>
      </c>
      <c r="BG367" s="15">
        <f t="shared" si="688"/>
        <v>0</v>
      </c>
      <c r="BH367" s="15"/>
    </row>
    <row r="368" spans="2:60" ht="14.4" x14ac:dyDescent="0.3">
      <c r="B368" t="str">
        <f t="shared" si="654"/>
        <v>Tamaki</v>
      </c>
      <c r="C368" s="2" t="str">
        <f t="shared" si="689"/>
        <v>Tamaki</v>
      </c>
      <c r="D368" s="39"/>
      <c r="E368" s="16"/>
      <c r="R368" s="48"/>
      <c r="S368" s="9" t="str">
        <f t="shared" si="691"/>
        <v/>
      </c>
      <c r="T368" s="49">
        <f t="shared" si="692"/>
        <v>0</v>
      </c>
      <c r="U368" s="49">
        <f t="shared" si="656"/>
        <v>0</v>
      </c>
      <c r="V368" s="49">
        <f t="shared" si="693"/>
        <v>0</v>
      </c>
      <c r="W368" s="10">
        <f t="shared" si="694"/>
        <v>0</v>
      </c>
      <c r="X368" s="10">
        <f t="shared" si="695"/>
        <v>0</v>
      </c>
      <c r="Y368" s="10">
        <f t="shared" si="696"/>
        <v>0</v>
      </c>
      <c r="Z368" s="10">
        <f t="shared" si="697"/>
        <v>0</v>
      </c>
      <c r="AA368" s="15">
        <f t="shared" si="698"/>
        <v>0</v>
      </c>
      <c r="AB368" s="15">
        <f t="shared" si="657"/>
        <v>0</v>
      </c>
      <c r="AC368" s="15">
        <f t="shared" si="658"/>
        <v>0</v>
      </c>
      <c r="AD368" s="15">
        <f t="shared" si="659"/>
        <v>0</v>
      </c>
      <c r="AE368" s="15">
        <f t="shared" si="660"/>
        <v>0</v>
      </c>
      <c r="AF368" s="15">
        <f t="shared" si="661"/>
        <v>0</v>
      </c>
      <c r="AG368" s="15">
        <f t="shared" si="662"/>
        <v>0</v>
      </c>
      <c r="AH368" s="15">
        <f t="shared" si="663"/>
        <v>0</v>
      </c>
      <c r="AI368" s="15">
        <f t="shared" si="664"/>
        <v>0</v>
      </c>
      <c r="AJ368" s="15">
        <f t="shared" si="665"/>
        <v>0</v>
      </c>
      <c r="AK368" s="15">
        <f t="shared" si="666"/>
        <v>0</v>
      </c>
      <c r="AL368" s="15">
        <f t="shared" si="667"/>
        <v>0</v>
      </c>
      <c r="AM368" s="15">
        <f t="shared" si="668"/>
        <v>0</v>
      </c>
      <c r="AN368" s="15">
        <f t="shared" si="669"/>
        <v>0</v>
      </c>
      <c r="AO368" s="15">
        <f t="shared" si="670"/>
        <v>0</v>
      </c>
      <c r="AP368" s="15">
        <f t="shared" si="671"/>
        <v>0</v>
      </c>
      <c r="AQ368" s="15">
        <f t="shared" si="672"/>
        <v>0</v>
      </c>
      <c r="AR368" s="15">
        <f t="shared" si="673"/>
        <v>0</v>
      </c>
      <c r="AS368" s="15">
        <f t="shared" si="674"/>
        <v>0</v>
      </c>
      <c r="AT368" s="15">
        <f t="shared" si="675"/>
        <v>0</v>
      </c>
      <c r="AU368" s="15">
        <f t="shared" si="676"/>
        <v>0</v>
      </c>
      <c r="AV368" s="15">
        <f t="shared" si="677"/>
        <v>0</v>
      </c>
      <c r="AW368" s="15">
        <f t="shared" si="678"/>
        <v>0</v>
      </c>
      <c r="AX368" s="15">
        <f t="shared" si="679"/>
        <v>0</v>
      </c>
      <c r="AY368" s="15">
        <f t="shared" si="680"/>
        <v>0</v>
      </c>
      <c r="AZ368" s="15">
        <f t="shared" si="681"/>
        <v>0</v>
      </c>
      <c r="BA368" s="15">
        <f t="shared" si="682"/>
        <v>0</v>
      </c>
      <c r="BB368" s="15">
        <f t="shared" si="683"/>
        <v>0</v>
      </c>
      <c r="BC368" s="15">
        <f t="shared" si="684"/>
        <v>0</v>
      </c>
      <c r="BD368" s="15">
        <f t="shared" si="685"/>
        <v>0</v>
      </c>
      <c r="BE368" s="15">
        <f t="shared" si="686"/>
        <v>0</v>
      </c>
      <c r="BF368" s="15">
        <f t="shared" si="687"/>
        <v>0</v>
      </c>
      <c r="BG368" s="15">
        <f t="shared" si="688"/>
        <v>0</v>
      </c>
      <c r="BH368" s="15"/>
    </row>
    <row r="369" spans="2:60" ht="14.4" x14ac:dyDescent="0.3">
      <c r="B369" t="str">
        <f t="shared" si="654"/>
        <v>Mangere</v>
      </c>
      <c r="C369" s="2" t="str">
        <f t="shared" si="689"/>
        <v>Mangere</v>
      </c>
      <c r="D369" s="39">
        <f>VLOOKUP(C369,Summary!$A$12:$H$35,8,0)</f>
        <v>3.5292948738431273</v>
      </c>
      <c r="E369" s="16">
        <f t="shared" si="690"/>
        <v>0</v>
      </c>
      <c r="R369" s="48">
        <f>M333</f>
        <v>0.71186029293858111</v>
      </c>
      <c r="S369" s="9">
        <f t="shared" si="691"/>
        <v>1.0024389137811589</v>
      </c>
      <c r="T369" s="49">
        <f t="shared" si="692"/>
        <v>-8.5867036756601678E-3</v>
      </c>
      <c r="U369" s="49">
        <f t="shared" si="656"/>
        <v>3.5207081701674672</v>
      </c>
      <c r="V369" s="49">
        <f t="shared" si="693"/>
        <v>3.5292948738431273</v>
      </c>
      <c r="W369" s="10">
        <f t="shared" si="694"/>
        <v>3.5292948738431273</v>
      </c>
      <c r="X369" s="10">
        <f t="shared" si="695"/>
        <v>0</v>
      </c>
      <c r="Y369" s="10">
        <f t="shared" si="696"/>
        <v>0</v>
      </c>
      <c r="Z369" s="10">
        <f t="shared" si="697"/>
        <v>0</v>
      </c>
      <c r="AA369" s="15">
        <f t="shared" si="698"/>
        <v>3.5292948738431273</v>
      </c>
      <c r="AB369" s="15">
        <f t="shared" si="657"/>
        <v>1.0965333333333334</v>
      </c>
      <c r="AC369" s="15">
        <f t="shared" si="658"/>
        <v>1.1848657022093667</v>
      </c>
      <c r="AD369" s="15">
        <f t="shared" si="659"/>
        <v>1.2356876020133998</v>
      </c>
      <c r="AE369" s="15">
        <f t="shared" si="660"/>
        <v>1.2208236287027855E-2</v>
      </c>
      <c r="AF369" s="15">
        <f t="shared" si="661"/>
        <v>0</v>
      </c>
      <c r="AG369" s="15">
        <f t="shared" si="662"/>
        <v>0</v>
      </c>
      <c r="AH369" s="15">
        <f t="shared" si="663"/>
        <v>0</v>
      </c>
      <c r="AI369" s="15">
        <f t="shared" si="664"/>
        <v>0</v>
      </c>
      <c r="AJ369" s="15">
        <f t="shared" si="665"/>
        <v>0</v>
      </c>
      <c r="AK369" s="15">
        <f t="shared" si="666"/>
        <v>0</v>
      </c>
      <c r="AL369" s="15">
        <f t="shared" si="667"/>
        <v>0</v>
      </c>
      <c r="AM369" s="15">
        <f t="shared" si="668"/>
        <v>0</v>
      </c>
      <c r="AN369" s="15">
        <f t="shared" si="669"/>
        <v>0</v>
      </c>
      <c r="AO369" s="15">
        <f t="shared" si="670"/>
        <v>0</v>
      </c>
      <c r="AP369" s="15">
        <f t="shared" si="671"/>
        <v>0</v>
      </c>
      <c r="AQ369" s="15">
        <f t="shared" si="672"/>
        <v>0</v>
      </c>
      <c r="AR369" s="15">
        <f t="shared" si="673"/>
        <v>0</v>
      </c>
      <c r="AS369" s="15">
        <f t="shared" si="674"/>
        <v>0</v>
      </c>
      <c r="AT369" s="15">
        <f t="shared" si="675"/>
        <v>0</v>
      </c>
      <c r="AU369" s="15">
        <f t="shared" si="676"/>
        <v>0</v>
      </c>
      <c r="AV369" s="15">
        <f t="shared" si="677"/>
        <v>0</v>
      </c>
      <c r="AW369" s="15">
        <f t="shared" si="678"/>
        <v>0</v>
      </c>
      <c r="AX369" s="15">
        <f t="shared" si="679"/>
        <v>0</v>
      </c>
      <c r="AY369" s="15">
        <f t="shared" si="680"/>
        <v>0</v>
      </c>
      <c r="AZ369" s="15">
        <f t="shared" si="681"/>
        <v>0</v>
      </c>
      <c r="BA369" s="15">
        <f t="shared" si="682"/>
        <v>0</v>
      </c>
      <c r="BB369" s="15">
        <f t="shared" si="683"/>
        <v>0</v>
      </c>
      <c r="BC369" s="15">
        <f t="shared" si="684"/>
        <v>0</v>
      </c>
      <c r="BD369" s="15">
        <f t="shared" si="685"/>
        <v>0</v>
      </c>
      <c r="BE369" s="15">
        <f t="shared" si="686"/>
        <v>0</v>
      </c>
      <c r="BF369" s="15">
        <f t="shared" si="687"/>
        <v>0</v>
      </c>
      <c r="BG369" s="15">
        <f t="shared" si="688"/>
        <v>0</v>
      </c>
      <c r="BH369" s="15"/>
    </row>
    <row r="370" spans="2:60" ht="14.4" x14ac:dyDescent="0.3">
      <c r="B370" t="str">
        <f t="shared" si="654"/>
        <v>Central</v>
      </c>
      <c r="C370" s="2" t="str">
        <f t="shared" si="689"/>
        <v>Central</v>
      </c>
      <c r="D370" s="39"/>
      <c r="E370" s="16"/>
      <c r="R370" s="48"/>
      <c r="S370" s="9" t="str">
        <f t="shared" si="691"/>
        <v/>
      </c>
      <c r="T370" s="49">
        <f t="shared" si="692"/>
        <v>0</v>
      </c>
      <c r="U370" s="49">
        <f t="shared" si="656"/>
        <v>0</v>
      </c>
      <c r="V370" s="49">
        <f t="shared" si="693"/>
        <v>0</v>
      </c>
      <c r="W370" s="10">
        <f t="shared" si="694"/>
        <v>0</v>
      </c>
      <c r="X370" s="10">
        <f t="shared" si="695"/>
        <v>0</v>
      </c>
      <c r="Y370" s="10">
        <f t="shared" si="696"/>
        <v>0</v>
      </c>
      <c r="Z370" s="10">
        <f t="shared" si="697"/>
        <v>0</v>
      </c>
      <c r="AA370" s="15">
        <f t="shared" si="698"/>
        <v>0</v>
      </c>
      <c r="AB370" s="15">
        <f t="shared" si="657"/>
        <v>0</v>
      </c>
      <c r="AC370" s="15">
        <f t="shared" si="658"/>
        <v>0</v>
      </c>
      <c r="AD370" s="15">
        <f t="shared" si="659"/>
        <v>0</v>
      </c>
      <c r="AE370" s="15">
        <f t="shared" si="660"/>
        <v>0</v>
      </c>
      <c r="AF370" s="15">
        <f t="shared" si="661"/>
        <v>0</v>
      </c>
      <c r="AG370" s="15">
        <f t="shared" si="662"/>
        <v>0</v>
      </c>
      <c r="AH370" s="15">
        <f t="shared" si="663"/>
        <v>0</v>
      </c>
      <c r="AI370" s="15">
        <f t="shared" si="664"/>
        <v>0</v>
      </c>
      <c r="AJ370" s="15">
        <f t="shared" si="665"/>
        <v>0</v>
      </c>
      <c r="AK370" s="15">
        <f t="shared" si="666"/>
        <v>0</v>
      </c>
      <c r="AL370" s="15">
        <f t="shared" si="667"/>
        <v>0</v>
      </c>
      <c r="AM370" s="15">
        <f t="shared" si="668"/>
        <v>0</v>
      </c>
      <c r="AN370" s="15">
        <f t="shared" si="669"/>
        <v>0</v>
      </c>
      <c r="AO370" s="15">
        <f t="shared" si="670"/>
        <v>0</v>
      </c>
      <c r="AP370" s="15">
        <f t="shared" si="671"/>
        <v>0</v>
      </c>
      <c r="AQ370" s="15">
        <f t="shared" si="672"/>
        <v>0</v>
      </c>
      <c r="AR370" s="15">
        <f t="shared" si="673"/>
        <v>0</v>
      </c>
      <c r="AS370" s="15">
        <f t="shared" si="674"/>
        <v>0</v>
      </c>
      <c r="AT370" s="15">
        <f t="shared" si="675"/>
        <v>0</v>
      </c>
      <c r="AU370" s="15">
        <f t="shared" si="676"/>
        <v>0</v>
      </c>
      <c r="AV370" s="15">
        <f t="shared" si="677"/>
        <v>0</v>
      </c>
      <c r="AW370" s="15">
        <f t="shared" si="678"/>
        <v>0</v>
      </c>
      <c r="AX370" s="15">
        <f t="shared" si="679"/>
        <v>0</v>
      </c>
      <c r="AY370" s="15">
        <f t="shared" si="680"/>
        <v>0</v>
      </c>
      <c r="AZ370" s="15">
        <f t="shared" si="681"/>
        <v>0</v>
      </c>
      <c r="BA370" s="15">
        <f t="shared" si="682"/>
        <v>0</v>
      </c>
      <c r="BB370" s="15">
        <f t="shared" si="683"/>
        <v>0</v>
      </c>
      <c r="BC370" s="15">
        <f t="shared" si="684"/>
        <v>0</v>
      </c>
      <c r="BD370" s="15">
        <f t="shared" si="685"/>
        <v>0</v>
      </c>
      <c r="BE370" s="15">
        <f t="shared" si="686"/>
        <v>0</v>
      </c>
      <c r="BF370" s="15">
        <f t="shared" si="687"/>
        <v>0</v>
      </c>
      <c r="BG370" s="15">
        <f t="shared" si="688"/>
        <v>0</v>
      </c>
      <c r="BH370" s="15"/>
    </row>
    <row r="371" spans="2:60" ht="14.4" x14ac:dyDescent="0.3">
      <c r="B371" t="str">
        <f t="shared" si="654"/>
        <v>Flatbush</v>
      </c>
      <c r="C371" s="2" t="str">
        <f t="shared" si="689"/>
        <v>Flatbush</v>
      </c>
      <c r="D371" s="39">
        <f>VLOOKUP(C371,Summary!$A$12:$H$35,8,0)</f>
        <v>0</v>
      </c>
      <c r="E371" s="16">
        <f t="shared" si="690"/>
        <v>0</v>
      </c>
      <c r="R371" s="48"/>
      <c r="S371" s="9" t="str">
        <f t="shared" si="691"/>
        <v/>
      </c>
      <c r="T371" s="49">
        <f t="shared" si="692"/>
        <v>0</v>
      </c>
      <c r="U371" s="49">
        <f t="shared" si="656"/>
        <v>0</v>
      </c>
      <c r="V371" s="49">
        <f t="shared" si="693"/>
        <v>0</v>
      </c>
      <c r="W371" s="10">
        <f t="shared" si="694"/>
        <v>71.091368609090424</v>
      </c>
      <c r="X371" s="10">
        <f t="shared" si="695"/>
        <v>0</v>
      </c>
      <c r="Y371" s="10">
        <f t="shared" si="696"/>
        <v>0</v>
      </c>
      <c r="Z371" s="10">
        <f t="shared" si="697"/>
        <v>71.091368609090424</v>
      </c>
      <c r="AA371" s="15">
        <f t="shared" si="698"/>
        <v>0</v>
      </c>
      <c r="AB371" s="15">
        <f t="shared" si="657"/>
        <v>0</v>
      </c>
      <c r="AC371" s="15">
        <f t="shared" si="658"/>
        <v>0</v>
      </c>
      <c r="AD371" s="15">
        <f t="shared" si="659"/>
        <v>0</v>
      </c>
      <c r="AE371" s="15">
        <f t="shared" si="660"/>
        <v>0</v>
      </c>
      <c r="AF371" s="15">
        <f t="shared" si="661"/>
        <v>0</v>
      </c>
      <c r="AG371" s="15">
        <f t="shared" si="662"/>
        <v>0</v>
      </c>
      <c r="AH371" s="15">
        <f t="shared" si="663"/>
        <v>0</v>
      </c>
      <c r="AI371" s="15">
        <f t="shared" si="664"/>
        <v>0</v>
      </c>
      <c r="AJ371" s="15">
        <f t="shared" si="665"/>
        <v>0</v>
      </c>
      <c r="AK371" s="15">
        <f t="shared" si="666"/>
        <v>0</v>
      </c>
      <c r="AL371" s="15">
        <f t="shared" si="667"/>
        <v>5.5087350199265179</v>
      </c>
      <c r="AM371" s="15">
        <f t="shared" si="668"/>
        <v>5.9714934267881929</v>
      </c>
      <c r="AN371" s="15">
        <f t="shared" si="669"/>
        <v>6.4844402235852963</v>
      </c>
      <c r="AO371" s="15">
        <f t="shared" si="670"/>
        <v>6.6625107854762096</v>
      </c>
      <c r="AP371" s="15">
        <f t="shared" si="671"/>
        <v>3.3814364494008728</v>
      </c>
      <c r="AQ371" s="15">
        <f t="shared" si="672"/>
        <v>3.8927336607604461</v>
      </c>
      <c r="AR371" s="15">
        <f t="shared" si="673"/>
        <v>18.924332049641922</v>
      </c>
      <c r="AS371" s="15">
        <f t="shared" si="674"/>
        <v>20.265686993510968</v>
      </c>
      <c r="AT371" s="15">
        <f t="shared" si="675"/>
        <v>0</v>
      </c>
      <c r="AU371" s="15">
        <f t="shared" si="676"/>
        <v>0</v>
      </c>
      <c r="AV371" s="15">
        <f t="shared" si="677"/>
        <v>0</v>
      </c>
      <c r="AW371" s="15">
        <f t="shared" si="678"/>
        <v>0</v>
      </c>
      <c r="AX371" s="15">
        <f t="shared" si="679"/>
        <v>0</v>
      </c>
      <c r="AY371" s="15">
        <f t="shared" si="680"/>
        <v>0</v>
      </c>
      <c r="AZ371" s="15">
        <f t="shared" si="681"/>
        <v>0</v>
      </c>
      <c r="BA371" s="15">
        <f t="shared" si="682"/>
        <v>0</v>
      </c>
      <c r="BB371" s="15">
        <f t="shared" si="683"/>
        <v>0</v>
      </c>
      <c r="BC371" s="15">
        <f t="shared" si="684"/>
        <v>0</v>
      </c>
      <c r="BD371" s="15">
        <f t="shared" si="685"/>
        <v>0</v>
      </c>
      <c r="BE371" s="15">
        <f t="shared" si="686"/>
        <v>0</v>
      </c>
      <c r="BF371" s="15">
        <f t="shared" si="687"/>
        <v>0</v>
      </c>
      <c r="BG371" s="15">
        <f t="shared" si="688"/>
        <v>0</v>
      </c>
      <c r="BH371" s="15"/>
    </row>
    <row r="372" spans="2:60" ht="14.4" x14ac:dyDescent="0.3">
      <c r="B372" t="str">
        <f t="shared" si="654"/>
        <v>South (East)</v>
      </c>
      <c r="C372" s="2" t="str">
        <f t="shared" si="689"/>
        <v>South (East)</v>
      </c>
      <c r="D372" s="39"/>
      <c r="E372" s="16"/>
      <c r="R372" s="48"/>
      <c r="S372" s="9" t="str">
        <f t="shared" si="691"/>
        <v/>
      </c>
      <c r="T372" s="49">
        <f t="shared" si="692"/>
        <v>0</v>
      </c>
      <c r="U372" s="49">
        <f t="shared" si="656"/>
        <v>0</v>
      </c>
      <c r="V372" s="49">
        <f t="shared" si="693"/>
        <v>0</v>
      </c>
      <c r="W372" s="10">
        <f t="shared" si="694"/>
        <v>0</v>
      </c>
      <c r="X372" s="10">
        <f t="shared" si="695"/>
        <v>0</v>
      </c>
      <c r="Y372" s="10">
        <f t="shared" si="696"/>
        <v>0</v>
      </c>
      <c r="Z372" s="10">
        <f t="shared" si="697"/>
        <v>0</v>
      </c>
      <c r="AA372" s="15">
        <f t="shared" si="698"/>
        <v>0</v>
      </c>
      <c r="AB372" s="15">
        <f t="shared" si="657"/>
        <v>0</v>
      </c>
      <c r="AC372" s="15">
        <f t="shared" si="658"/>
        <v>0</v>
      </c>
      <c r="AD372" s="15">
        <f t="shared" si="659"/>
        <v>0</v>
      </c>
      <c r="AE372" s="15">
        <f t="shared" si="660"/>
        <v>0</v>
      </c>
      <c r="AF372" s="15">
        <f t="shared" si="661"/>
        <v>0</v>
      </c>
      <c r="AG372" s="15">
        <f t="shared" si="662"/>
        <v>0</v>
      </c>
      <c r="AH372" s="15">
        <f t="shared" si="663"/>
        <v>0</v>
      </c>
      <c r="AI372" s="15">
        <f t="shared" si="664"/>
        <v>0</v>
      </c>
      <c r="AJ372" s="15">
        <f t="shared" si="665"/>
        <v>0</v>
      </c>
      <c r="AK372" s="15">
        <f t="shared" si="666"/>
        <v>0</v>
      </c>
      <c r="AL372" s="15">
        <f t="shared" si="667"/>
        <v>0</v>
      </c>
      <c r="AM372" s="15">
        <f t="shared" si="668"/>
        <v>0</v>
      </c>
      <c r="AN372" s="15">
        <f t="shared" si="669"/>
        <v>0</v>
      </c>
      <c r="AO372" s="15">
        <f t="shared" si="670"/>
        <v>0</v>
      </c>
      <c r="AP372" s="15">
        <f t="shared" si="671"/>
        <v>0</v>
      </c>
      <c r="AQ372" s="15">
        <f t="shared" si="672"/>
        <v>0</v>
      </c>
      <c r="AR372" s="15">
        <f t="shared" si="673"/>
        <v>0</v>
      </c>
      <c r="AS372" s="15">
        <f t="shared" si="674"/>
        <v>0</v>
      </c>
      <c r="AT372" s="15">
        <f t="shared" si="675"/>
        <v>0</v>
      </c>
      <c r="AU372" s="15">
        <f t="shared" si="676"/>
        <v>0</v>
      </c>
      <c r="AV372" s="15">
        <f t="shared" si="677"/>
        <v>0</v>
      </c>
      <c r="AW372" s="15">
        <f t="shared" si="678"/>
        <v>0</v>
      </c>
      <c r="AX372" s="15">
        <f t="shared" si="679"/>
        <v>0</v>
      </c>
      <c r="AY372" s="15">
        <f t="shared" si="680"/>
        <v>0</v>
      </c>
      <c r="AZ372" s="15">
        <f t="shared" si="681"/>
        <v>0</v>
      </c>
      <c r="BA372" s="15">
        <f t="shared" si="682"/>
        <v>0</v>
      </c>
      <c r="BB372" s="15">
        <f t="shared" si="683"/>
        <v>0</v>
      </c>
      <c r="BC372" s="15">
        <f t="shared" si="684"/>
        <v>0</v>
      </c>
      <c r="BD372" s="15">
        <f t="shared" si="685"/>
        <v>0</v>
      </c>
      <c r="BE372" s="15">
        <f t="shared" si="686"/>
        <v>0</v>
      </c>
      <c r="BF372" s="15">
        <f t="shared" si="687"/>
        <v>0</v>
      </c>
      <c r="BG372" s="15">
        <f t="shared" si="688"/>
        <v>0</v>
      </c>
      <c r="BH372" s="15"/>
    </row>
    <row r="373" spans="2:60" ht="14.4" x14ac:dyDescent="0.3">
      <c r="B373" t="str">
        <f t="shared" si="654"/>
        <v>South (West)</v>
      </c>
      <c r="C373" s="2" t="str">
        <f t="shared" si="689"/>
        <v>South (West)</v>
      </c>
      <c r="D373" s="39">
        <f>VLOOKUP(C373,Summary!$A$12:$H$35,8,0)</f>
        <v>1.6312512207156011</v>
      </c>
      <c r="E373" s="16">
        <f t="shared" si="690"/>
        <v>0</v>
      </c>
      <c r="R373" s="48">
        <f>M337</f>
        <v>0.21355808788157429</v>
      </c>
      <c r="S373" s="9">
        <f t="shared" si="691"/>
        <v>0.33906108935432983</v>
      </c>
      <c r="T373" s="49">
        <f t="shared" si="692"/>
        <v>3.1798323035601399</v>
      </c>
      <c r="U373" s="49">
        <f t="shared" si="656"/>
        <v>4.811083524275741</v>
      </c>
      <c r="V373" s="49">
        <f t="shared" si="693"/>
        <v>1.6312512207156011</v>
      </c>
      <c r="W373" s="10">
        <f t="shared" si="694"/>
        <v>9.5397638380256744</v>
      </c>
      <c r="X373" s="10">
        <f t="shared" si="695"/>
        <v>0</v>
      </c>
      <c r="Y373" s="10">
        <f t="shared" si="696"/>
        <v>0</v>
      </c>
      <c r="Z373" s="10">
        <f t="shared" si="697"/>
        <v>7.9085126173100733</v>
      </c>
      <c r="AA373" s="15">
        <f t="shared" si="698"/>
        <v>1.6312512207156011</v>
      </c>
      <c r="AB373" s="15">
        <f t="shared" si="657"/>
        <v>0</v>
      </c>
      <c r="AC373" s="15">
        <f t="shared" si="658"/>
        <v>0</v>
      </c>
      <c r="AD373" s="15">
        <f t="shared" si="659"/>
        <v>0</v>
      </c>
      <c r="AE373" s="15">
        <f t="shared" si="660"/>
        <v>0</v>
      </c>
      <c r="AF373" s="15">
        <f t="shared" si="661"/>
        <v>0</v>
      </c>
      <c r="AG373" s="15">
        <f t="shared" si="662"/>
        <v>0</v>
      </c>
      <c r="AH373" s="15">
        <f t="shared" si="663"/>
        <v>0</v>
      </c>
      <c r="AI373" s="15">
        <f t="shared" si="664"/>
        <v>0.37382090066308915</v>
      </c>
      <c r="AJ373" s="15">
        <f t="shared" si="665"/>
        <v>0.40026429336592684</v>
      </c>
      <c r="AK373" s="15">
        <f t="shared" si="666"/>
        <v>0.85716602668658526</v>
      </c>
      <c r="AL373" s="15">
        <f t="shared" si="667"/>
        <v>2.2945508072615799</v>
      </c>
      <c r="AM373" s="15">
        <f t="shared" si="668"/>
        <v>2.4569414383431805</v>
      </c>
      <c r="AN373" s="15">
        <f t="shared" si="669"/>
        <v>3.1570203717053134</v>
      </c>
      <c r="AO373" s="15">
        <f t="shared" si="670"/>
        <v>0</v>
      </c>
      <c r="AP373" s="15">
        <f t="shared" si="671"/>
        <v>0</v>
      </c>
      <c r="AQ373" s="15">
        <f t="shared" si="672"/>
        <v>0</v>
      </c>
      <c r="AR373" s="15">
        <f t="shared" si="673"/>
        <v>0</v>
      </c>
      <c r="AS373" s="15">
        <f t="shared" si="674"/>
        <v>0</v>
      </c>
      <c r="AT373" s="15">
        <f t="shared" si="675"/>
        <v>0</v>
      </c>
      <c r="AU373" s="15">
        <f t="shared" si="676"/>
        <v>0</v>
      </c>
      <c r="AV373" s="15">
        <f t="shared" si="677"/>
        <v>0</v>
      </c>
      <c r="AW373" s="15">
        <f t="shared" si="678"/>
        <v>0</v>
      </c>
      <c r="AX373" s="15">
        <f t="shared" si="679"/>
        <v>0</v>
      </c>
      <c r="AY373" s="15">
        <f t="shared" si="680"/>
        <v>0</v>
      </c>
      <c r="AZ373" s="15">
        <f t="shared" si="681"/>
        <v>0</v>
      </c>
      <c r="BA373" s="15">
        <f t="shared" si="682"/>
        <v>0</v>
      </c>
      <c r="BB373" s="15">
        <f t="shared" si="683"/>
        <v>0</v>
      </c>
      <c r="BC373" s="15">
        <f t="shared" si="684"/>
        <v>0</v>
      </c>
      <c r="BD373" s="15">
        <f t="shared" si="685"/>
        <v>0</v>
      </c>
      <c r="BE373" s="15">
        <f t="shared" si="686"/>
        <v>0</v>
      </c>
      <c r="BF373" s="15">
        <f t="shared" si="687"/>
        <v>0</v>
      </c>
      <c r="BG373" s="15">
        <f t="shared" si="688"/>
        <v>0</v>
      </c>
      <c r="BH373" s="15"/>
    </row>
    <row r="374" spans="2:60" ht="14.4" x14ac:dyDescent="0.3">
      <c r="B374" t="str">
        <f t="shared" si="654"/>
        <v>Takanini North</v>
      </c>
      <c r="C374" s="2" t="str">
        <f t="shared" si="689"/>
        <v>Takanini North</v>
      </c>
      <c r="D374" s="39">
        <f>VLOOKUP(C374,Summary!$A$12:$H$35,8,0)</f>
        <v>0</v>
      </c>
      <c r="E374" s="16">
        <f t="shared" si="690"/>
        <v>0</v>
      </c>
      <c r="R374" s="48"/>
      <c r="S374" s="9" t="str">
        <f t="shared" si="691"/>
        <v/>
      </c>
      <c r="T374" s="49">
        <f t="shared" si="692"/>
        <v>0</v>
      </c>
      <c r="U374" s="49">
        <f t="shared" si="656"/>
        <v>0</v>
      </c>
      <c r="V374" s="49">
        <f t="shared" si="693"/>
        <v>0</v>
      </c>
      <c r="W374" s="10">
        <f t="shared" si="694"/>
        <v>220.55265556023357</v>
      </c>
      <c r="X374" s="10">
        <f t="shared" si="695"/>
        <v>110.58676619098205</v>
      </c>
      <c r="Y374" s="10">
        <f t="shared" si="696"/>
        <v>108.61382432871116</v>
      </c>
      <c r="Z374" s="10">
        <f t="shared" si="697"/>
        <v>1.3520650405403918</v>
      </c>
      <c r="AA374" s="15">
        <f t="shared" si="698"/>
        <v>0</v>
      </c>
      <c r="AB374" s="15">
        <f t="shared" si="657"/>
        <v>0</v>
      </c>
      <c r="AC374" s="15">
        <f t="shared" si="658"/>
        <v>0</v>
      </c>
      <c r="AD374" s="15">
        <f t="shared" si="659"/>
        <v>0</v>
      </c>
      <c r="AE374" s="15">
        <f t="shared" si="660"/>
        <v>0</v>
      </c>
      <c r="AF374" s="15">
        <f t="shared" si="661"/>
        <v>0</v>
      </c>
      <c r="AG374" s="15">
        <f t="shared" si="662"/>
        <v>0</v>
      </c>
      <c r="AH374" s="15">
        <f t="shared" si="663"/>
        <v>0</v>
      </c>
      <c r="AI374" s="15">
        <f t="shared" si="664"/>
        <v>0</v>
      </c>
      <c r="AJ374" s="15">
        <f t="shared" si="665"/>
        <v>0</v>
      </c>
      <c r="AK374" s="15">
        <f t="shared" si="666"/>
        <v>0</v>
      </c>
      <c r="AL374" s="15">
        <f t="shared" si="667"/>
        <v>0</v>
      </c>
      <c r="AM374" s="15">
        <f t="shared" si="668"/>
        <v>0</v>
      </c>
      <c r="AN374" s="15">
        <f t="shared" si="669"/>
        <v>0</v>
      </c>
      <c r="AO374" s="15">
        <f t="shared" si="670"/>
        <v>0</v>
      </c>
      <c r="AP374" s="15">
        <f t="shared" si="671"/>
        <v>0</v>
      </c>
      <c r="AQ374" s="15">
        <f t="shared" si="672"/>
        <v>0</v>
      </c>
      <c r="AR374" s="15">
        <f t="shared" si="673"/>
        <v>0</v>
      </c>
      <c r="AS374" s="15">
        <f t="shared" si="674"/>
        <v>0</v>
      </c>
      <c r="AT374" s="15">
        <f t="shared" si="675"/>
        <v>0.65291617920012768</v>
      </c>
      <c r="AU374" s="15">
        <f t="shared" si="676"/>
        <v>0.69914886134026411</v>
      </c>
      <c r="AV374" s="15">
        <f t="shared" si="677"/>
        <v>0.74866132784752282</v>
      </c>
      <c r="AW374" s="15">
        <f t="shared" si="678"/>
        <v>5.2894045225905808</v>
      </c>
      <c r="AX374" s="15">
        <f t="shared" si="679"/>
        <v>5.6635582985325748</v>
      </c>
      <c r="AY374" s="15">
        <f t="shared" si="680"/>
        <v>6.0642463257728867</v>
      </c>
      <c r="AZ374" s="15">
        <f t="shared" si="681"/>
        <v>6.4933518614842409</v>
      </c>
      <c r="BA374" s="15">
        <f t="shared" si="682"/>
        <v>7.7595403746871323</v>
      </c>
      <c r="BB374" s="15">
        <f t="shared" si="683"/>
        <v>8.3085487374168068</v>
      </c>
      <c r="BC374" s="15">
        <f t="shared" si="684"/>
        <v>8.8964944758150786</v>
      </c>
      <c r="BD374" s="15">
        <f t="shared" si="685"/>
        <v>9.5261412147565476</v>
      </c>
      <c r="BE374" s="15">
        <f t="shared" si="686"/>
        <v>49.863877189807788</v>
      </c>
      <c r="BF374" s="15">
        <f t="shared" si="687"/>
        <v>53.39989373928627</v>
      </c>
      <c r="BG374" s="15">
        <f t="shared" si="688"/>
        <v>57.18687245169577</v>
      </c>
      <c r="BH374" s="15"/>
    </row>
    <row r="375" spans="2:60" ht="14.4" x14ac:dyDescent="0.3">
      <c r="B375" t="str">
        <f t="shared" si="654"/>
        <v>Takanini South</v>
      </c>
      <c r="C375" s="2" t="str">
        <f t="shared" si="689"/>
        <v>Takanini South</v>
      </c>
      <c r="D375" s="39">
        <f>VLOOKUP(C375,Summary!$A$12:$H$35,8,0)</f>
        <v>0</v>
      </c>
      <c r="E375" s="16">
        <f t="shared" si="690"/>
        <v>0</v>
      </c>
      <c r="R375" s="48"/>
      <c r="S375" s="9" t="str">
        <f t="shared" si="691"/>
        <v/>
      </c>
      <c r="T375" s="49">
        <f t="shared" si="692"/>
        <v>0</v>
      </c>
      <c r="U375" s="49">
        <f t="shared" si="656"/>
        <v>0</v>
      </c>
      <c r="V375" s="49">
        <f t="shared" si="693"/>
        <v>0</v>
      </c>
      <c r="W375" s="10">
        <f t="shared" si="694"/>
        <v>20.207123652214193</v>
      </c>
      <c r="X375" s="10">
        <f t="shared" si="695"/>
        <v>11.64375170170973</v>
      </c>
      <c r="Y375" s="10">
        <f t="shared" si="696"/>
        <v>8.5633719505044628</v>
      </c>
      <c r="Z375" s="10">
        <f t="shared" si="697"/>
        <v>0</v>
      </c>
      <c r="AA375" s="15">
        <f t="shared" si="698"/>
        <v>0</v>
      </c>
      <c r="AB375" s="15">
        <f t="shared" si="657"/>
        <v>0</v>
      </c>
      <c r="AC375" s="15">
        <f t="shared" si="658"/>
        <v>0</v>
      </c>
      <c r="AD375" s="15">
        <f t="shared" si="659"/>
        <v>0</v>
      </c>
      <c r="AE375" s="15">
        <f t="shared" si="660"/>
        <v>0</v>
      </c>
      <c r="AF375" s="15">
        <f t="shared" si="661"/>
        <v>0</v>
      </c>
      <c r="AG375" s="15">
        <f t="shared" si="662"/>
        <v>0</v>
      </c>
      <c r="AH375" s="15">
        <f t="shared" si="663"/>
        <v>0</v>
      </c>
      <c r="AI375" s="15">
        <f t="shared" si="664"/>
        <v>0</v>
      </c>
      <c r="AJ375" s="15">
        <f t="shared" si="665"/>
        <v>0</v>
      </c>
      <c r="AK375" s="15">
        <f t="shared" si="666"/>
        <v>0</v>
      </c>
      <c r="AL375" s="15">
        <f t="shared" si="667"/>
        <v>0</v>
      </c>
      <c r="AM375" s="15">
        <f t="shared" si="668"/>
        <v>0</v>
      </c>
      <c r="AN375" s="15">
        <f t="shared" si="669"/>
        <v>0</v>
      </c>
      <c r="AO375" s="15">
        <f t="shared" si="670"/>
        <v>0</v>
      </c>
      <c r="AP375" s="15">
        <f t="shared" si="671"/>
        <v>0</v>
      </c>
      <c r="AQ375" s="15">
        <f t="shared" si="672"/>
        <v>0</v>
      </c>
      <c r="AR375" s="15">
        <f t="shared" si="673"/>
        <v>0</v>
      </c>
      <c r="AS375" s="15">
        <f t="shared" si="674"/>
        <v>0</v>
      </c>
      <c r="AT375" s="15">
        <f t="shared" si="675"/>
        <v>0</v>
      </c>
      <c r="AU375" s="15">
        <f t="shared" si="676"/>
        <v>0</v>
      </c>
      <c r="AV375" s="15">
        <f t="shared" si="677"/>
        <v>0</v>
      </c>
      <c r="AW375" s="15">
        <f t="shared" si="678"/>
        <v>0.19938059713209128</v>
      </c>
      <c r="AX375" s="15">
        <f t="shared" si="679"/>
        <v>0.21340386284638049</v>
      </c>
      <c r="AY375" s="15">
        <f t="shared" si="680"/>
        <v>0.22841985977937826</v>
      </c>
      <c r="AZ375" s="15">
        <f t="shared" si="681"/>
        <v>0.24449900759337884</v>
      </c>
      <c r="BA375" s="15">
        <f t="shared" si="682"/>
        <v>0.54621443038698092</v>
      </c>
      <c r="BB375" s="15">
        <f t="shared" si="683"/>
        <v>0.5847784092229722</v>
      </c>
      <c r="BC375" s="15">
        <f t="shared" si="684"/>
        <v>0.62607565115044628</v>
      </c>
      <c r="BD375" s="15">
        <f t="shared" si="685"/>
        <v>0.67030011270196921</v>
      </c>
      <c r="BE375" s="15">
        <f t="shared" si="686"/>
        <v>5.2503000196908651</v>
      </c>
      <c r="BF375" s="15">
        <f t="shared" si="687"/>
        <v>5.6225446465769817</v>
      </c>
      <c r="BG375" s="15">
        <f t="shared" si="688"/>
        <v>6.0212070551327486</v>
      </c>
      <c r="BH375" s="15"/>
    </row>
    <row r="376" spans="2:60" ht="14.4" x14ac:dyDescent="0.3">
      <c r="B376" t="str">
        <f t="shared" si="654"/>
        <v>Hingaia</v>
      </c>
      <c r="C376" s="2" t="str">
        <f t="shared" si="689"/>
        <v>Hingaia</v>
      </c>
      <c r="D376" s="39">
        <f>VLOOKUP(C376,Summary!$A$12:$H$35,8,0)</f>
        <v>24.404959779454902</v>
      </c>
      <c r="E376" s="16">
        <f t="shared" si="690"/>
        <v>0</v>
      </c>
      <c r="R376" s="48">
        <f>M340</f>
        <v>0.711860292938581</v>
      </c>
      <c r="S376" s="9">
        <f t="shared" si="691"/>
        <v>0.61711892234502841</v>
      </c>
      <c r="T376" s="49">
        <f t="shared" si="692"/>
        <v>15.141647682712982</v>
      </c>
      <c r="U376" s="49">
        <f t="shared" si="656"/>
        <v>39.546607462167884</v>
      </c>
      <c r="V376" s="49">
        <f t="shared" si="693"/>
        <v>24.404959779454902</v>
      </c>
      <c r="W376" s="10">
        <f t="shared" si="694"/>
        <v>64.301905770880893</v>
      </c>
      <c r="X376" s="10">
        <f t="shared" si="695"/>
        <v>0</v>
      </c>
      <c r="Y376" s="10">
        <f t="shared" si="696"/>
        <v>0</v>
      </c>
      <c r="Z376" s="10">
        <f t="shared" si="697"/>
        <v>39.896945991425994</v>
      </c>
      <c r="AA376" s="15">
        <f t="shared" si="698"/>
        <v>24.404959779454902</v>
      </c>
      <c r="AB376" s="15">
        <f t="shared" si="657"/>
        <v>6.4604433773910559</v>
      </c>
      <c r="AC376" s="15">
        <f t="shared" si="658"/>
        <v>1.3203941450689283</v>
      </c>
      <c r="AD376" s="15">
        <f t="shared" si="659"/>
        <v>1.7402036380464592</v>
      </c>
      <c r="AE376" s="15">
        <f t="shared" si="660"/>
        <v>0.76240841278225935</v>
      </c>
      <c r="AF376" s="15">
        <f t="shared" si="661"/>
        <v>1.3035214062801785</v>
      </c>
      <c r="AG376" s="15">
        <f t="shared" si="662"/>
        <v>3.2114298765941243</v>
      </c>
      <c r="AH376" s="15">
        <f t="shared" si="663"/>
        <v>2.8184558165601592</v>
      </c>
      <c r="AI376" s="15">
        <f t="shared" si="664"/>
        <v>3.2483324234523874</v>
      </c>
      <c r="AJ376" s="15">
        <f t="shared" si="665"/>
        <v>2.6946714055500203</v>
      </c>
      <c r="AK376" s="15">
        <f t="shared" si="666"/>
        <v>0.8450992777293268</v>
      </c>
      <c r="AL376" s="15">
        <f t="shared" si="667"/>
        <v>8.2347330690434148</v>
      </c>
      <c r="AM376" s="15">
        <f t="shared" si="668"/>
        <v>8.8040666340850198</v>
      </c>
      <c r="AN376" s="15">
        <f t="shared" si="669"/>
        <v>6.787895082898685</v>
      </c>
      <c r="AO376" s="15">
        <f t="shared" si="670"/>
        <v>6.9738907098833618</v>
      </c>
      <c r="AP376" s="15">
        <f t="shared" si="671"/>
        <v>3.5392739450848998</v>
      </c>
      <c r="AQ376" s="15">
        <f t="shared" si="672"/>
        <v>4.0742200333951351</v>
      </c>
      <c r="AR376" s="15">
        <f t="shared" si="673"/>
        <v>1.4828665170354762</v>
      </c>
      <c r="AS376" s="15">
        <f t="shared" si="674"/>
        <v>0</v>
      </c>
      <c r="AT376" s="15">
        <f t="shared" si="675"/>
        <v>0</v>
      </c>
      <c r="AU376" s="15">
        <f t="shared" si="676"/>
        <v>0</v>
      </c>
      <c r="AV376" s="15">
        <f t="shared" si="677"/>
        <v>0</v>
      </c>
      <c r="AW376" s="15">
        <f t="shared" si="678"/>
        <v>0</v>
      </c>
      <c r="AX376" s="15">
        <f t="shared" si="679"/>
        <v>0</v>
      </c>
      <c r="AY376" s="15">
        <f t="shared" si="680"/>
        <v>0</v>
      </c>
      <c r="AZ376" s="15">
        <f t="shared" si="681"/>
        <v>0</v>
      </c>
      <c r="BA376" s="15">
        <f t="shared" si="682"/>
        <v>0</v>
      </c>
      <c r="BB376" s="15">
        <f t="shared" si="683"/>
        <v>0</v>
      </c>
      <c r="BC376" s="15">
        <f t="shared" si="684"/>
        <v>0</v>
      </c>
      <c r="BD376" s="15">
        <f t="shared" si="685"/>
        <v>0</v>
      </c>
      <c r="BE376" s="15">
        <f t="shared" si="686"/>
        <v>0</v>
      </c>
      <c r="BF376" s="15">
        <f t="shared" si="687"/>
        <v>0</v>
      </c>
      <c r="BG376" s="15">
        <f t="shared" si="688"/>
        <v>0</v>
      </c>
      <c r="BH376" s="15"/>
    </row>
    <row r="377" spans="2:60" ht="14.4" x14ac:dyDescent="0.3">
      <c r="B377" t="str">
        <f t="shared" si="654"/>
        <v>Drury</v>
      </c>
      <c r="C377" s="2" t="str">
        <f t="shared" si="689"/>
        <v>Drury</v>
      </c>
      <c r="D377" s="39">
        <f>VLOOKUP(C377,Summary!$A$12:$H$35,8,0)</f>
        <v>52.299029605842442</v>
      </c>
      <c r="E377" s="16">
        <f t="shared" si="690"/>
        <v>0</v>
      </c>
      <c r="R377" s="48">
        <f>M341</f>
        <v>0.711860292938581</v>
      </c>
      <c r="S377" s="9">
        <f t="shared" si="691"/>
        <v>0.56689740007364675</v>
      </c>
      <c r="T377" s="49">
        <f t="shared" si="692"/>
        <v>39.955811568324471</v>
      </c>
      <c r="U377" s="49">
        <f t="shared" si="656"/>
        <v>92.254841174166913</v>
      </c>
      <c r="V377" s="49">
        <f t="shared" si="693"/>
        <v>52.299029605842442</v>
      </c>
      <c r="W377" s="10">
        <f t="shared" si="694"/>
        <v>482.9426570015213</v>
      </c>
      <c r="X377" s="10">
        <f t="shared" si="695"/>
        <v>0</v>
      </c>
      <c r="Y377" s="10">
        <f t="shared" si="696"/>
        <v>49.430447653962688</v>
      </c>
      <c r="Z377" s="10">
        <f t="shared" si="697"/>
        <v>381.2131797417162</v>
      </c>
      <c r="AA377" s="15">
        <f t="shared" si="698"/>
        <v>52.299029605842442</v>
      </c>
      <c r="AB377" s="15">
        <f t="shared" si="657"/>
        <v>5.3469187904331932</v>
      </c>
      <c r="AC377" s="15">
        <f t="shared" si="658"/>
        <v>4.3324023044459192</v>
      </c>
      <c r="AD377" s="15">
        <f t="shared" si="659"/>
        <v>2.2349974867673508</v>
      </c>
      <c r="AE377" s="15">
        <f t="shared" si="660"/>
        <v>1.5884822400482217</v>
      </c>
      <c r="AF377" s="15">
        <f t="shared" si="661"/>
        <v>2.3890812496569218</v>
      </c>
      <c r="AG377" s="15">
        <f t="shared" si="662"/>
        <v>7.0004626404182968</v>
      </c>
      <c r="AH377" s="15">
        <f t="shared" si="663"/>
        <v>6.3671966247582521</v>
      </c>
      <c r="AI377" s="15">
        <f t="shared" si="664"/>
        <v>9.4810948777832564</v>
      </c>
      <c r="AJ377" s="15">
        <f t="shared" si="665"/>
        <v>8.8405653049449047</v>
      </c>
      <c r="AK377" s="15">
        <f t="shared" si="666"/>
        <v>4.7178280865861302</v>
      </c>
      <c r="AL377" s="15">
        <f t="shared" si="667"/>
        <v>26.113202091107819</v>
      </c>
      <c r="AM377" s="15">
        <f t="shared" si="668"/>
        <v>28.1666653596094</v>
      </c>
      <c r="AN377" s="15">
        <f t="shared" si="669"/>
        <v>38.557770984775473</v>
      </c>
      <c r="AO377" s="15">
        <f t="shared" si="670"/>
        <v>40.138320950574602</v>
      </c>
      <c r="AP377" s="15">
        <f t="shared" si="671"/>
        <v>45.798516463318926</v>
      </c>
      <c r="AQ377" s="15">
        <f t="shared" si="672"/>
        <v>42.095811519130685</v>
      </c>
      <c r="AR377" s="15">
        <f t="shared" si="673"/>
        <v>39.070450383415903</v>
      </c>
      <c r="AS377" s="15">
        <f t="shared" si="674"/>
        <v>32.007044106482873</v>
      </c>
      <c r="AT377" s="15">
        <f t="shared" si="675"/>
        <v>43.105680804258931</v>
      </c>
      <c r="AU377" s="15">
        <f t="shared" si="676"/>
        <v>46.159717079041549</v>
      </c>
      <c r="AV377" s="15">
        <f t="shared" si="677"/>
        <v>49.430447653962688</v>
      </c>
      <c r="AW377" s="15">
        <f t="shared" si="678"/>
        <v>0</v>
      </c>
      <c r="AX377" s="15">
        <f t="shared" si="679"/>
        <v>0</v>
      </c>
      <c r="AY377" s="15">
        <f t="shared" si="680"/>
        <v>0</v>
      </c>
      <c r="AZ377" s="15">
        <f t="shared" si="681"/>
        <v>0</v>
      </c>
      <c r="BA377" s="15">
        <f t="shared" si="682"/>
        <v>0</v>
      </c>
      <c r="BB377" s="15">
        <f t="shared" si="683"/>
        <v>0</v>
      </c>
      <c r="BC377" s="15">
        <f t="shared" si="684"/>
        <v>0</v>
      </c>
      <c r="BD377" s="15">
        <f t="shared" si="685"/>
        <v>0</v>
      </c>
      <c r="BE377" s="15">
        <f t="shared" si="686"/>
        <v>0</v>
      </c>
      <c r="BF377" s="15">
        <f t="shared" si="687"/>
        <v>0</v>
      </c>
      <c r="BG377" s="15">
        <f t="shared" si="688"/>
        <v>0</v>
      </c>
      <c r="BH377" s="15"/>
    </row>
    <row r="378" spans="2:60" ht="14.4" x14ac:dyDescent="0.3">
      <c r="B378" t="str">
        <f t="shared" si="654"/>
        <v>Rural SE</v>
      </c>
      <c r="C378" s="2" t="str">
        <f t="shared" si="689"/>
        <v>Rural SE</v>
      </c>
      <c r="D378" s="39">
        <f>VLOOKUP(C378,Summary!$A$12:$H$35,8,0)</f>
        <v>3.1078056670393375</v>
      </c>
      <c r="E378" s="16">
        <f t="shared" si="690"/>
        <v>0</v>
      </c>
      <c r="R378" s="48">
        <f>M342</f>
        <v>0.21355808788157429</v>
      </c>
      <c r="S378" s="9">
        <f t="shared" si="691"/>
        <v>0.22376149250944813</v>
      </c>
      <c r="T378" s="49">
        <f t="shared" si="692"/>
        <v>10.781115220043649</v>
      </c>
      <c r="U378" s="49">
        <f t="shared" si="656"/>
        <v>13.888920887082987</v>
      </c>
      <c r="V378" s="49">
        <f t="shared" si="693"/>
        <v>3.1078056670393375</v>
      </c>
      <c r="W378" s="10">
        <f t="shared" si="694"/>
        <v>45.595196936087277</v>
      </c>
      <c r="X378" s="10">
        <f t="shared" si="695"/>
        <v>0</v>
      </c>
      <c r="Y378" s="10">
        <f t="shared" si="696"/>
        <v>0</v>
      </c>
      <c r="Z378" s="10">
        <f t="shared" si="697"/>
        <v>42.487391269047933</v>
      </c>
      <c r="AA378" s="15">
        <f t="shared" si="698"/>
        <v>3.1078056670393375</v>
      </c>
      <c r="AB378" s="15">
        <f t="shared" si="657"/>
        <v>0</v>
      </c>
      <c r="AC378" s="15">
        <f t="shared" si="658"/>
        <v>0</v>
      </c>
      <c r="AD378" s="15">
        <f t="shared" si="659"/>
        <v>0</v>
      </c>
      <c r="AE378" s="15">
        <f t="shared" si="660"/>
        <v>0</v>
      </c>
      <c r="AF378" s="15">
        <f t="shared" si="661"/>
        <v>0</v>
      </c>
      <c r="AG378" s="15">
        <f t="shared" si="662"/>
        <v>0</v>
      </c>
      <c r="AH378" s="15">
        <f t="shared" si="663"/>
        <v>0</v>
      </c>
      <c r="AI378" s="15">
        <f t="shared" si="664"/>
        <v>0</v>
      </c>
      <c r="AJ378" s="15">
        <f t="shared" si="665"/>
        <v>0.81588629852375294</v>
      </c>
      <c r="AK378" s="15">
        <f t="shared" si="666"/>
        <v>2.2919193685155843</v>
      </c>
      <c r="AL378" s="15">
        <f t="shared" si="667"/>
        <v>4.936203535390514</v>
      </c>
      <c r="AM378" s="15">
        <f t="shared" si="668"/>
        <v>5.2852371767598196</v>
      </c>
      <c r="AN378" s="15">
        <f t="shared" si="669"/>
        <v>2.1239009096439236</v>
      </c>
      <c r="AO378" s="15">
        <f t="shared" si="670"/>
        <v>4.5528838126632438</v>
      </c>
      <c r="AP378" s="15">
        <f t="shared" si="671"/>
        <v>6.0339859831462688</v>
      </c>
      <c r="AQ378" s="15">
        <f t="shared" si="672"/>
        <v>6.4611070020273651</v>
      </c>
      <c r="AR378" s="15">
        <f t="shared" si="673"/>
        <v>4.0697206997404285</v>
      </c>
      <c r="AS378" s="15">
        <f t="shared" si="674"/>
        <v>4.3578770702313783</v>
      </c>
      <c r="AT378" s="15">
        <f t="shared" si="675"/>
        <v>4.6664750794449912</v>
      </c>
      <c r="AU378" s="15">
        <f t="shared" si="676"/>
        <v>0</v>
      </c>
      <c r="AV378" s="15">
        <f t="shared" si="677"/>
        <v>0</v>
      </c>
      <c r="AW378" s="15">
        <f t="shared" si="678"/>
        <v>0</v>
      </c>
      <c r="AX378" s="15">
        <f t="shared" si="679"/>
        <v>0</v>
      </c>
      <c r="AY378" s="15">
        <f t="shared" si="680"/>
        <v>0</v>
      </c>
      <c r="AZ378" s="15">
        <f t="shared" si="681"/>
        <v>0</v>
      </c>
      <c r="BA378" s="15">
        <f t="shared" si="682"/>
        <v>0</v>
      </c>
      <c r="BB378" s="15">
        <f t="shared" si="683"/>
        <v>0</v>
      </c>
      <c r="BC378" s="15">
        <f t="shared" si="684"/>
        <v>0</v>
      </c>
      <c r="BD378" s="15">
        <f t="shared" si="685"/>
        <v>0</v>
      </c>
      <c r="BE378" s="15">
        <f t="shared" si="686"/>
        <v>0</v>
      </c>
      <c r="BF378" s="15">
        <f t="shared" si="687"/>
        <v>0</v>
      </c>
      <c r="BG378" s="15">
        <f t="shared" si="688"/>
        <v>0</v>
      </c>
      <c r="BH378" s="15"/>
    </row>
    <row r="379" spans="2:60" ht="14.4" x14ac:dyDescent="0.3">
      <c r="B379" t="str">
        <f t="shared" si="654"/>
        <v>Pukekohe-Paerata Surrounds</v>
      </c>
      <c r="C379" s="2" t="s">
        <v>196</v>
      </c>
      <c r="D379" s="39">
        <f>VLOOKUP(C379,Summary!$A$12:$H$35,8,0)</f>
        <v>39.827095742386597</v>
      </c>
      <c r="E379" s="16">
        <f t="shared" si="690"/>
        <v>0</v>
      </c>
      <c r="R379" s="48">
        <f>M343</f>
        <v>0.711860292938581</v>
      </c>
      <c r="S379" s="9">
        <f t="shared" si="691"/>
        <v>0.5301122786361695</v>
      </c>
      <c r="T379" s="49">
        <f t="shared" si="692"/>
        <v>35.30245199201142</v>
      </c>
      <c r="U379" s="49">
        <f t="shared" si="656"/>
        <v>75.129547734398017</v>
      </c>
      <c r="V379" s="49">
        <f t="shared" si="693"/>
        <v>39.827095742386597</v>
      </c>
      <c r="W379" s="10">
        <f t="shared" si="694"/>
        <v>416.45734104643702</v>
      </c>
      <c r="X379" s="10">
        <f t="shared" si="695"/>
        <v>0</v>
      </c>
      <c r="Y379" s="10">
        <f t="shared" si="696"/>
        <v>84.801514684253277</v>
      </c>
      <c r="Z379" s="10">
        <f t="shared" si="697"/>
        <v>291.82873061979711</v>
      </c>
      <c r="AA379" s="15">
        <f t="shared" si="698"/>
        <v>39.827095742386597</v>
      </c>
      <c r="AB379" s="15">
        <f t="shared" si="657"/>
        <v>3.7085096180411212</v>
      </c>
      <c r="AC379" s="15">
        <f t="shared" si="658"/>
        <v>2.0817663809480886</v>
      </c>
      <c r="AD379" s="15">
        <f t="shared" si="659"/>
        <v>2.7437029514971645</v>
      </c>
      <c r="AE379" s="15">
        <f t="shared" si="660"/>
        <v>1.2021584099603195</v>
      </c>
      <c r="AF379" s="15">
        <f t="shared" si="661"/>
        <v>2.055547481541482</v>
      </c>
      <c r="AG379" s="15">
        <f t="shared" si="662"/>
        <v>5.3181975940914468</v>
      </c>
      <c r="AH379" s="15">
        <f t="shared" si="663"/>
        <v>5.1767019954040769</v>
      </c>
      <c r="AI379" s="15">
        <f t="shared" si="664"/>
        <v>6.3554794372486043</v>
      </c>
      <c r="AJ379" s="15">
        <f t="shared" si="665"/>
        <v>5.9415060307450958</v>
      </c>
      <c r="AK379" s="15">
        <f t="shared" si="666"/>
        <v>5.2435258429091993</v>
      </c>
      <c r="AL379" s="15">
        <f t="shared" si="667"/>
        <v>20.147694967280994</v>
      </c>
      <c r="AM379" s="15">
        <f t="shared" si="668"/>
        <v>24.57157161640707</v>
      </c>
      <c r="AN379" s="15">
        <f t="shared" si="669"/>
        <v>26.53686456152634</v>
      </c>
      <c r="AO379" s="15">
        <f t="shared" si="670"/>
        <v>26.422964554767542</v>
      </c>
      <c r="AP379" s="15">
        <f t="shared" si="671"/>
        <v>29.943468968070391</v>
      </c>
      <c r="AQ379" s="15">
        <f t="shared" si="672"/>
        <v>44.138098083518507</v>
      </c>
      <c r="AR379" s="15">
        <f t="shared" si="673"/>
        <v>39.575301863181828</v>
      </c>
      <c r="AS379" s="15">
        <f t="shared" si="674"/>
        <v>29.805126114979956</v>
      </c>
      <c r="AT379" s="15">
        <f t="shared" si="675"/>
        <v>9.1304060746601614</v>
      </c>
      <c r="AU379" s="15">
        <f t="shared" si="676"/>
        <v>41.557233815404338</v>
      </c>
      <c r="AV379" s="15">
        <f t="shared" si="677"/>
        <v>40.950353852294789</v>
      </c>
      <c r="AW379" s="15">
        <f t="shared" si="678"/>
        <v>43.851160831958488</v>
      </c>
      <c r="AX379" s="15">
        <f t="shared" si="679"/>
        <v>0</v>
      </c>
      <c r="AY379" s="15">
        <f t="shared" si="680"/>
        <v>0</v>
      </c>
      <c r="AZ379" s="15">
        <f t="shared" si="681"/>
        <v>0</v>
      </c>
      <c r="BA379" s="15">
        <f t="shared" si="682"/>
        <v>0</v>
      </c>
      <c r="BB379" s="15">
        <f t="shared" si="683"/>
        <v>0</v>
      </c>
      <c r="BC379" s="15">
        <f t="shared" si="684"/>
        <v>0</v>
      </c>
      <c r="BD379" s="15">
        <f t="shared" si="685"/>
        <v>0</v>
      </c>
      <c r="BE379" s="15">
        <f t="shared" si="686"/>
        <v>0</v>
      </c>
      <c r="BF379" s="15">
        <f t="shared" si="687"/>
        <v>0</v>
      </c>
      <c r="BG379" s="15">
        <f t="shared" si="688"/>
        <v>0</v>
      </c>
      <c r="BH379" s="15"/>
    </row>
    <row r="380" spans="2:60" ht="14.4" x14ac:dyDescent="0.3">
      <c r="B380" t="str">
        <f>B345</f>
        <v>Rural SW</v>
      </c>
      <c r="C380" s="2" t="str">
        <f t="shared" si="689"/>
        <v>Rural SW</v>
      </c>
      <c r="D380" s="39">
        <f>VLOOKUP(C380,Summary!$A$12:$H$35,8,0)</f>
        <v>5.0676186528429916</v>
      </c>
      <c r="E380" s="16">
        <f t="shared" si="690"/>
        <v>0</v>
      </c>
      <c r="R380" s="48">
        <f>M345</f>
        <v>0.21355808788157429</v>
      </c>
      <c r="S380" s="9">
        <f t="shared" si="691"/>
        <v>0.19326831380160783</v>
      </c>
      <c r="T380" s="49">
        <f t="shared" si="692"/>
        <v>21.153020173886571</v>
      </c>
      <c r="U380" s="49">
        <f>V345</f>
        <v>26.220638826729562</v>
      </c>
      <c r="V380" s="49">
        <f t="shared" si="693"/>
        <v>5.0676186528429916</v>
      </c>
      <c r="W380" s="10">
        <f t="shared" si="694"/>
        <v>60.484832365421354</v>
      </c>
      <c r="X380" s="10">
        <f t="shared" si="695"/>
        <v>0</v>
      </c>
      <c r="Y380" s="10">
        <f t="shared" si="696"/>
        <v>0</v>
      </c>
      <c r="Z380" s="10">
        <f t="shared" si="697"/>
        <v>55.417213712578359</v>
      </c>
      <c r="AA380" s="15">
        <f t="shared" si="698"/>
        <v>5.0676186528429916</v>
      </c>
      <c r="AB380" s="15">
        <f t="shared" si="657"/>
        <v>1.1649039464250002</v>
      </c>
      <c r="AC380" s="15">
        <f t="shared" si="658"/>
        <v>0.49845451066280999</v>
      </c>
      <c r="AD380" s="15">
        <f t="shared" si="659"/>
        <v>0</v>
      </c>
      <c r="AE380" s="15">
        <f t="shared" si="660"/>
        <v>0</v>
      </c>
      <c r="AF380" s="15">
        <f t="shared" si="661"/>
        <v>0</v>
      </c>
      <c r="AG380" s="15">
        <f t="shared" si="662"/>
        <v>0</v>
      </c>
      <c r="AH380" s="15">
        <f t="shared" si="663"/>
        <v>0</v>
      </c>
      <c r="AI380" s="15">
        <f t="shared" si="664"/>
        <v>0</v>
      </c>
      <c r="AJ380" s="15">
        <f t="shared" si="665"/>
        <v>0.50549918656437898</v>
      </c>
      <c r="AK380" s="15">
        <f t="shared" si="666"/>
        <v>2.8987610091908023</v>
      </c>
      <c r="AL380" s="15">
        <f t="shared" si="667"/>
        <v>10.738308425979469</v>
      </c>
      <c r="AM380" s="15">
        <f t="shared" si="668"/>
        <v>5.2479701971195762</v>
      </c>
      <c r="AN380" s="15">
        <f t="shared" si="669"/>
        <v>6.5043223942679544</v>
      </c>
      <c r="AO380" s="15">
        <f t="shared" si="670"/>
        <v>10.339670389335215</v>
      </c>
      <c r="AP380" s="15">
        <f t="shared" si="671"/>
        <v>8.7074302568755666</v>
      </c>
      <c r="AQ380" s="15">
        <f t="shared" si="672"/>
        <v>7.8265050607987616</v>
      </c>
      <c r="AR380" s="15">
        <f t="shared" si="673"/>
        <v>1.8813416605475579</v>
      </c>
      <c r="AS380" s="15">
        <f t="shared" si="674"/>
        <v>2.0145200188511243</v>
      </c>
      <c r="AT380" s="15">
        <f t="shared" si="675"/>
        <v>2.1571453088031469</v>
      </c>
      <c r="AU380" s="15">
        <f t="shared" si="676"/>
        <v>0</v>
      </c>
      <c r="AV380" s="15">
        <f t="shared" si="677"/>
        <v>0</v>
      </c>
      <c r="AW380" s="15">
        <f t="shared" si="678"/>
        <v>0</v>
      </c>
      <c r="AX380" s="15">
        <f t="shared" si="679"/>
        <v>0</v>
      </c>
      <c r="AY380" s="15">
        <f t="shared" si="680"/>
        <v>0</v>
      </c>
      <c r="AZ380" s="15">
        <f t="shared" si="681"/>
        <v>0</v>
      </c>
      <c r="BA380" s="15">
        <f t="shared" si="682"/>
        <v>0</v>
      </c>
      <c r="BB380" s="15">
        <f t="shared" si="683"/>
        <v>0</v>
      </c>
      <c r="BC380" s="15">
        <f t="shared" si="684"/>
        <v>0</v>
      </c>
      <c r="BD380" s="15">
        <f t="shared" si="685"/>
        <v>0</v>
      </c>
      <c r="BE380" s="15">
        <f t="shared" si="686"/>
        <v>0</v>
      </c>
      <c r="BF380" s="15">
        <f t="shared" si="687"/>
        <v>0</v>
      </c>
      <c r="BG380" s="15">
        <f t="shared" si="688"/>
        <v>0</v>
      </c>
      <c r="BH380" s="15"/>
    </row>
    <row r="381" spans="2:60" ht="14.4" x14ac:dyDescent="0.3">
      <c r="B381" t="str">
        <f>B346</f>
        <v>Reg Sportsfield</v>
      </c>
      <c r="C381" s="2" t="str">
        <f t="shared" si="689"/>
        <v>Reg Sportsfield</v>
      </c>
      <c r="D381" s="39">
        <f>VLOOKUP(C381,Summary!$A$12:$H$35,8,0)</f>
        <v>72.634585876801495</v>
      </c>
      <c r="E381" s="16">
        <f t="shared" si="690"/>
        <v>0</v>
      </c>
      <c r="R381" s="48"/>
      <c r="S381" s="9"/>
      <c r="T381" s="49"/>
      <c r="U381" s="49"/>
      <c r="V381" s="49">
        <f t="shared" si="693"/>
        <v>72.634585876801495</v>
      </c>
      <c r="W381" s="10">
        <f t="shared" ref="W381" si="699">SUM(AB381:BG381)</f>
        <v>118.02525630441104</v>
      </c>
      <c r="X381" s="10">
        <f t="shared" ref="X381" si="700">SUM(BF381:BG381)</f>
        <v>0</v>
      </c>
      <c r="Y381" s="10">
        <f t="shared" ref="Y381" si="701">SUM(AV381:BE381)</f>
        <v>20.175574934925002</v>
      </c>
      <c r="Z381" s="10">
        <f t="shared" ref="Z381" si="702">SUM(AL381:AU381)</f>
        <v>25.215095492684547</v>
      </c>
      <c r="AA381" s="15">
        <f t="shared" si="698"/>
        <v>72.634585876801495</v>
      </c>
      <c r="AB381" s="15">
        <f t="shared" si="657"/>
        <v>0</v>
      </c>
      <c r="AC381" s="15">
        <f t="shared" si="658"/>
        <v>2.6446414646628109</v>
      </c>
      <c r="AD381" s="15">
        <f t="shared" si="659"/>
        <v>5.5166457000520417</v>
      </c>
      <c r="AE381" s="15">
        <f t="shared" si="660"/>
        <v>16.824181452135825</v>
      </c>
      <c r="AF381" s="15">
        <f t="shared" si="661"/>
        <v>18.018339413090629</v>
      </c>
      <c r="AG381" s="15">
        <f t="shared" si="662"/>
        <v>19.297274692985997</v>
      </c>
      <c r="AH381" s="15">
        <f t="shared" si="663"/>
        <v>10.33350315387419</v>
      </c>
      <c r="AI381" s="15">
        <f t="shared" si="664"/>
        <v>0</v>
      </c>
      <c r="AJ381" s="15">
        <f t="shared" si="665"/>
        <v>0</v>
      </c>
      <c r="AK381" s="15">
        <f t="shared" si="666"/>
        <v>0</v>
      </c>
      <c r="AL381" s="15">
        <f t="shared" si="667"/>
        <v>0</v>
      </c>
      <c r="AM381" s="15">
        <f t="shared" si="668"/>
        <v>0</v>
      </c>
      <c r="AN381" s="15">
        <f t="shared" si="669"/>
        <v>0</v>
      </c>
      <c r="AO381" s="15">
        <f t="shared" si="670"/>
        <v>2.4458207629605733</v>
      </c>
      <c r="AP381" s="15">
        <f t="shared" si="671"/>
        <v>2.6191765844031831</v>
      </c>
      <c r="AQ381" s="15">
        <f t="shared" si="672"/>
        <v>2.8048341252082114</v>
      </c>
      <c r="AR381" s="15">
        <f t="shared" si="673"/>
        <v>3.9012026661621984</v>
      </c>
      <c r="AS381" s="15">
        <f t="shared" si="674"/>
        <v>4.1779499157025279</v>
      </c>
      <c r="AT381" s="15">
        <f t="shared" si="675"/>
        <v>4.4743409808855619</v>
      </c>
      <c r="AU381" s="15">
        <f t="shared" si="676"/>
        <v>4.7917704573622917</v>
      </c>
      <c r="AV381" s="15">
        <f t="shared" si="677"/>
        <v>4.5375698074117876</v>
      </c>
      <c r="AW381" s="15">
        <f t="shared" si="678"/>
        <v>4.8596073648318709</v>
      </c>
      <c r="AX381" s="15">
        <f t="shared" si="679"/>
        <v>5.2045067310528434</v>
      </c>
      <c r="AY381" s="15">
        <f t="shared" si="680"/>
        <v>5.5738910316284995</v>
      </c>
      <c r="AZ381" s="15">
        <f t="shared" si="681"/>
        <v>0</v>
      </c>
      <c r="BA381" s="15">
        <f t="shared" si="682"/>
        <v>0</v>
      </c>
      <c r="BB381" s="15">
        <f t="shared" si="683"/>
        <v>0</v>
      </c>
      <c r="BC381" s="15">
        <f t="shared" si="684"/>
        <v>0</v>
      </c>
      <c r="BD381" s="15">
        <f t="shared" si="685"/>
        <v>0</v>
      </c>
      <c r="BE381" s="15">
        <f t="shared" si="686"/>
        <v>0</v>
      </c>
      <c r="BF381" s="15">
        <f t="shared" si="687"/>
        <v>0</v>
      </c>
      <c r="BG381" s="15">
        <f t="shared" si="688"/>
        <v>0</v>
      </c>
      <c r="BH381" s="15"/>
    </row>
    <row r="382" spans="2:60" ht="14.4" x14ac:dyDescent="0.3">
      <c r="B382" t="str">
        <f>B347</f>
        <v>Total</v>
      </c>
      <c r="R382" s="48"/>
      <c r="S382" s="9">
        <f t="shared" si="691"/>
        <v>0.62244553209234399</v>
      </c>
      <c r="T382" s="49">
        <f t="shared" si="692"/>
        <v>240.64579212880329</v>
      </c>
      <c r="U382" s="49">
        <f>V347</f>
        <v>637.38033206817079</v>
      </c>
      <c r="V382" s="49">
        <f t="shared" si="693"/>
        <v>396.73453993936749</v>
      </c>
      <c r="W382" s="50">
        <f t="shared" ref="W382:BG382" si="703">SUM(W353:W381)</f>
        <v>5231.3039914909396</v>
      </c>
      <c r="X382" s="50">
        <f t="shared" si="703"/>
        <v>1335.0285912160916</v>
      </c>
      <c r="Y382" s="50">
        <f t="shared" si="703"/>
        <v>1752.0214917163651</v>
      </c>
      <c r="Z382" s="50">
        <f t="shared" si="703"/>
        <v>1747.5193686191146</v>
      </c>
      <c r="AA382" s="24">
        <f t="shared" si="703"/>
        <v>396.73453993936744</v>
      </c>
      <c r="AB382" s="51">
        <f t="shared" si="703"/>
        <v>33.453160579999995</v>
      </c>
      <c r="AC382" s="51">
        <f t="shared" si="703"/>
        <v>24.039469839999995</v>
      </c>
      <c r="AD382" s="51">
        <f t="shared" si="703"/>
        <v>25.906675280000012</v>
      </c>
      <c r="AE382" s="51">
        <f t="shared" si="703"/>
        <v>30.168247409999999</v>
      </c>
      <c r="AF382" s="51">
        <f t="shared" si="703"/>
        <v>37.667599000000024</v>
      </c>
      <c r="AG382" s="51">
        <f t="shared" si="703"/>
        <v>61.372845659999982</v>
      </c>
      <c r="AH382" s="51">
        <f t="shared" si="703"/>
        <v>51.777209506680123</v>
      </c>
      <c r="AI382" s="51">
        <f t="shared" si="703"/>
        <v>50.058611997174225</v>
      </c>
      <c r="AJ382" s="51">
        <f t="shared" si="703"/>
        <v>45.234530705513109</v>
      </c>
      <c r="AK382" s="51">
        <f t="shared" si="703"/>
        <v>37.056189959999998</v>
      </c>
      <c r="AL382" s="51">
        <f t="shared" si="703"/>
        <v>154.25693541399977</v>
      </c>
      <c r="AM382" s="51">
        <f t="shared" si="703"/>
        <v>165.20951034614262</v>
      </c>
      <c r="AN382" s="51">
        <f t="shared" si="703"/>
        <v>176.93945658180363</v>
      </c>
      <c r="AO382" s="51">
        <f t="shared" si="703"/>
        <v>189.50217013823828</v>
      </c>
      <c r="AP382" s="51">
        <f t="shared" si="703"/>
        <v>202.95996706989621</v>
      </c>
      <c r="AQ382" s="51">
        <f t="shared" si="703"/>
        <v>217.37428186735616</v>
      </c>
      <c r="AR382" s="51">
        <f t="shared" si="703"/>
        <v>212.90811821771675</v>
      </c>
      <c r="AS382" s="51">
        <f t="shared" si="703"/>
        <v>163.32173981385782</v>
      </c>
      <c r="AT382" s="51">
        <f t="shared" si="703"/>
        <v>113.43728210682605</v>
      </c>
      <c r="AU382" s="51">
        <f t="shared" si="703"/>
        <v>151.60990706327732</v>
      </c>
      <c r="AV382" s="51">
        <f t="shared" si="703"/>
        <v>133.01545341524982</v>
      </c>
      <c r="AW382" s="51">
        <f t="shared" si="703"/>
        <v>145.5764820936123</v>
      </c>
      <c r="AX382" s="51">
        <f t="shared" si="703"/>
        <v>89.873140630306011</v>
      </c>
      <c r="AY382" s="51">
        <f t="shared" si="703"/>
        <v>96.236699078268998</v>
      </c>
      <c r="AZ382" s="51">
        <f t="shared" si="703"/>
        <v>118.31824956456752</v>
      </c>
      <c r="BA382" s="51">
        <f t="shared" si="703"/>
        <v>143.92650794912518</v>
      </c>
      <c r="BB382" s="51">
        <f t="shared" si="703"/>
        <v>154.12175506035223</v>
      </c>
      <c r="BC382" s="51">
        <f t="shared" si="703"/>
        <v>129.89804231913206</v>
      </c>
      <c r="BD382" s="51">
        <f t="shared" si="703"/>
        <v>139.10045708913614</v>
      </c>
      <c r="BE382" s="51">
        <f t="shared" si="703"/>
        <v>601.95470451661504</v>
      </c>
      <c r="BF382" s="51">
        <f t="shared" si="703"/>
        <v>644.65093323673022</v>
      </c>
      <c r="BG382" s="51">
        <f t="shared" si="703"/>
        <v>690.3776579793614</v>
      </c>
      <c r="BH382" s="51"/>
    </row>
    <row r="383" spans="2:60" ht="14.4" x14ac:dyDescent="0.3">
      <c r="B383"/>
      <c r="S383" s="43"/>
      <c r="T383" s="43"/>
      <c r="U383" s="43"/>
      <c r="V383" s="43"/>
      <c r="W383" s="43"/>
      <c r="X383" s="43"/>
      <c r="Y383" s="43"/>
      <c r="Z383" s="43"/>
      <c r="AA383" s="43"/>
      <c r="AB383" s="65"/>
      <c r="AC383" s="65"/>
      <c r="AD383" s="65"/>
      <c r="AE383" s="65"/>
      <c r="AF383" s="65"/>
      <c r="AG383" s="65"/>
      <c r="AH383" s="65"/>
      <c r="AI383" s="65"/>
      <c r="AJ383" s="65"/>
      <c r="AK383" s="65"/>
      <c r="AL383" s="43"/>
      <c r="AM383" s="43"/>
      <c r="AN383" s="43"/>
      <c r="AO383" s="43"/>
      <c r="AP383" s="43"/>
      <c r="AQ383" s="43"/>
      <c r="AR383" s="43"/>
      <c r="AS383" s="43"/>
      <c r="AT383" s="43"/>
      <c r="AU383" s="43"/>
      <c r="AV383" s="43"/>
      <c r="AW383" s="43"/>
      <c r="AX383" s="43"/>
      <c r="AY383" s="43"/>
      <c r="AZ383" s="43"/>
      <c r="BA383" s="43"/>
      <c r="BB383" s="43"/>
      <c r="BC383" s="43"/>
      <c r="BD383" s="43"/>
      <c r="BE383" s="43"/>
      <c r="BF383" s="43"/>
      <c r="BG383" s="43"/>
      <c r="BH383" s="43"/>
    </row>
    <row r="384" spans="2:60" ht="14.4" x14ac:dyDescent="0.3">
      <c r="B384"/>
    </row>
    <row r="385" spans="2:2" ht="14.4" x14ac:dyDescent="0.3">
      <c r="B385"/>
    </row>
    <row r="386" spans="2:2" ht="14.4" x14ac:dyDescent="0.3">
      <c r="B386"/>
    </row>
    <row r="387" spans="2:2" ht="14.4" x14ac:dyDescent="0.3">
      <c r="B387"/>
    </row>
    <row r="388" spans="2:2" ht="14.4" x14ac:dyDescent="0.3">
      <c r="B388"/>
    </row>
    <row r="389" spans="2:2" ht="14.4" x14ac:dyDescent="0.3">
      <c r="B389"/>
    </row>
    <row r="390" spans="2:2" ht="14.4" x14ac:dyDescent="0.3">
      <c r="B390"/>
    </row>
    <row r="391" spans="2:2" ht="14.4" x14ac:dyDescent="0.3">
      <c r="B391"/>
    </row>
    <row r="392" spans="2:2" ht="14.4" x14ac:dyDescent="0.3">
      <c r="B392"/>
    </row>
    <row r="393" spans="2:2" ht="14.4" x14ac:dyDescent="0.3">
      <c r="B393"/>
    </row>
    <row r="394" spans="2:2" ht="14.4" x14ac:dyDescent="0.3">
      <c r="B394"/>
    </row>
    <row r="395" spans="2:2" ht="14.4" x14ac:dyDescent="0.3">
      <c r="B395"/>
    </row>
    <row r="396" spans="2:2" ht="14.4" x14ac:dyDescent="0.3">
      <c r="B396"/>
    </row>
    <row r="397" spans="2:2" ht="14.4" x14ac:dyDescent="0.3">
      <c r="B397"/>
    </row>
    <row r="398" spans="2:2" ht="14.4" x14ac:dyDescent="0.3">
      <c r="B398"/>
    </row>
    <row r="399" spans="2:2" ht="14.4" x14ac:dyDescent="0.3">
      <c r="B399"/>
    </row>
    <row r="400" spans="2:2" ht="14.4" x14ac:dyDescent="0.3">
      <c r="B400"/>
    </row>
    <row r="401" spans="2:2" ht="14.4" x14ac:dyDescent="0.3">
      <c r="B401"/>
    </row>
    <row r="402" spans="2:2" ht="14.4" x14ac:dyDescent="0.3">
      <c r="B402"/>
    </row>
    <row r="403" spans="2:2" ht="14.4" x14ac:dyDescent="0.3">
      <c r="B403"/>
    </row>
    <row r="404" spans="2:2" ht="14.4" x14ac:dyDescent="0.3">
      <c r="B404"/>
    </row>
    <row r="405" spans="2:2" ht="14.4" x14ac:dyDescent="0.3">
      <c r="B405"/>
    </row>
    <row r="406" spans="2:2" ht="14.4" x14ac:dyDescent="0.3">
      <c r="B406"/>
    </row>
    <row r="407" spans="2:2" ht="14.4" x14ac:dyDescent="0.3">
      <c r="B407"/>
    </row>
    <row r="408" spans="2:2" ht="14.4" x14ac:dyDescent="0.3">
      <c r="B408"/>
    </row>
    <row r="409" spans="2:2" ht="14.4" x14ac:dyDescent="0.3">
      <c r="B409"/>
    </row>
    <row r="410" spans="2:2" ht="14.4" x14ac:dyDescent="0.3">
      <c r="B410"/>
    </row>
    <row r="411" spans="2:2" ht="14.4" x14ac:dyDescent="0.3">
      <c r="B411"/>
    </row>
    <row r="412" spans="2:2" ht="14.4" x14ac:dyDescent="0.3">
      <c r="B412"/>
    </row>
    <row r="413" spans="2:2" ht="14.4" x14ac:dyDescent="0.3">
      <c r="B413"/>
    </row>
    <row r="414" spans="2:2" ht="14.4" x14ac:dyDescent="0.3">
      <c r="B414"/>
    </row>
    <row r="415" spans="2:2" ht="14.4" x14ac:dyDescent="0.3">
      <c r="B415"/>
    </row>
    <row r="416" spans="2:2" ht="14.4" x14ac:dyDescent="0.3">
      <c r="B416"/>
    </row>
    <row r="417" spans="2:2" ht="14.4" x14ac:dyDescent="0.3">
      <c r="B417"/>
    </row>
    <row r="418" spans="2:2" ht="14.4" x14ac:dyDescent="0.3">
      <c r="B418"/>
    </row>
    <row r="419" spans="2:2" ht="14.4" x14ac:dyDescent="0.3">
      <c r="B419"/>
    </row>
    <row r="420" spans="2:2" ht="14.4" x14ac:dyDescent="0.3">
      <c r="B420"/>
    </row>
    <row r="421" spans="2:2" ht="14.4" x14ac:dyDescent="0.3">
      <c r="B421"/>
    </row>
    <row r="422" spans="2:2" ht="14.4" x14ac:dyDescent="0.3">
      <c r="B422"/>
    </row>
    <row r="423" spans="2:2" ht="14.4" x14ac:dyDescent="0.3">
      <c r="B423"/>
    </row>
    <row r="424" spans="2:2" ht="14.4" x14ac:dyDescent="0.3">
      <c r="B424"/>
    </row>
    <row r="425" spans="2:2" ht="14.4" x14ac:dyDescent="0.3">
      <c r="B425"/>
    </row>
    <row r="426" spans="2:2" ht="14.4" x14ac:dyDescent="0.3">
      <c r="B426"/>
    </row>
    <row r="427" spans="2:2" ht="14.4" x14ac:dyDescent="0.3">
      <c r="B427"/>
    </row>
    <row r="428" spans="2:2" ht="14.4" x14ac:dyDescent="0.3">
      <c r="B428"/>
    </row>
    <row r="429" spans="2:2" ht="14.4" x14ac:dyDescent="0.3">
      <c r="B429"/>
    </row>
    <row r="430" spans="2:2" ht="14.4" x14ac:dyDescent="0.3">
      <c r="B430"/>
    </row>
    <row r="431" spans="2:2" ht="14.4" x14ac:dyDescent="0.3">
      <c r="B431"/>
    </row>
    <row r="432" spans="2:2" ht="14.4" x14ac:dyDescent="0.3">
      <c r="B432"/>
    </row>
    <row r="433" spans="2:2" ht="14.4" x14ac:dyDescent="0.3">
      <c r="B433"/>
    </row>
    <row r="434" spans="2:2" ht="14.4" x14ac:dyDescent="0.3">
      <c r="B434"/>
    </row>
    <row r="435" spans="2:2" ht="14.4" x14ac:dyDescent="0.3">
      <c r="B435"/>
    </row>
    <row r="436" spans="2:2" ht="14.4" x14ac:dyDescent="0.3">
      <c r="B436"/>
    </row>
    <row r="437" spans="2:2" ht="14.4" x14ac:dyDescent="0.3">
      <c r="B437"/>
    </row>
    <row r="438" spans="2:2" ht="14.4" x14ac:dyDescent="0.3">
      <c r="B438"/>
    </row>
    <row r="439" spans="2:2" ht="14.4" x14ac:dyDescent="0.3">
      <c r="B439"/>
    </row>
    <row r="440" spans="2:2" ht="14.4" x14ac:dyDescent="0.3">
      <c r="B440"/>
    </row>
    <row r="441" spans="2:2" ht="14.4" x14ac:dyDescent="0.3">
      <c r="B441"/>
    </row>
    <row r="442" spans="2:2" ht="14.4" x14ac:dyDescent="0.3">
      <c r="B442"/>
    </row>
    <row r="443" spans="2:2" ht="14.4" x14ac:dyDescent="0.3">
      <c r="B443"/>
    </row>
    <row r="444" spans="2:2" ht="14.4" x14ac:dyDescent="0.3">
      <c r="B444"/>
    </row>
    <row r="445" spans="2:2" ht="14.4" x14ac:dyDescent="0.3">
      <c r="B445"/>
    </row>
    <row r="446" spans="2:2" ht="14.4" x14ac:dyDescent="0.3">
      <c r="B446"/>
    </row>
    <row r="447" spans="2:2" ht="14.4" x14ac:dyDescent="0.3">
      <c r="B447"/>
    </row>
    <row r="448" spans="2:2" ht="14.4" x14ac:dyDescent="0.3">
      <c r="B448"/>
    </row>
    <row r="449" spans="2:2" ht="14.4" x14ac:dyDescent="0.3">
      <c r="B449"/>
    </row>
    <row r="450" spans="2:2" ht="14.4" x14ac:dyDescent="0.3">
      <c r="B450"/>
    </row>
    <row r="451" spans="2:2" ht="14.4" x14ac:dyDescent="0.3">
      <c r="B451"/>
    </row>
    <row r="452" spans="2:2" ht="14.4" x14ac:dyDescent="0.3">
      <c r="B452"/>
    </row>
    <row r="453" spans="2:2" ht="14.4" x14ac:dyDescent="0.3">
      <c r="B453"/>
    </row>
    <row r="454" spans="2:2" ht="14.4" x14ac:dyDescent="0.3">
      <c r="B454"/>
    </row>
    <row r="455" spans="2:2" ht="14.4" x14ac:dyDescent="0.3">
      <c r="B455"/>
    </row>
    <row r="456" spans="2:2" ht="14.4" x14ac:dyDescent="0.3">
      <c r="B456"/>
    </row>
    <row r="457" spans="2:2" ht="14.4" x14ac:dyDescent="0.3">
      <c r="B457"/>
    </row>
    <row r="458" spans="2:2" ht="14.4" x14ac:dyDescent="0.3">
      <c r="B458"/>
    </row>
    <row r="459" spans="2:2" ht="14.4" x14ac:dyDescent="0.3">
      <c r="B459"/>
    </row>
    <row r="460" spans="2:2" ht="14.4" x14ac:dyDescent="0.3">
      <c r="B460"/>
    </row>
    <row r="461" spans="2:2" ht="14.4" x14ac:dyDescent="0.3">
      <c r="B461"/>
    </row>
    <row r="462" spans="2:2" ht="14.4" x14ac:dyDescent="0.3">
      <c r="B462"/>
    </row>
    <row r="463" spans="2:2" ht="14.4" x14ac:dyDescent="0.3">
      <c r="B463"/>
    </row>
    <row r="464" spans="2:2" ht="14.4" x14ac:dyDescent="0.3">
      <c r="B464"/>
    </row>
    <row r="465" spans="2:2" ht="14.4" x14ac:dyDescent="0.3">
      <c r="B465"/>
    </row>
    <row r="466" spans="2:2" ht="14.4" x14ac:dyDescent="0.3">
      <c r="B466"/>
    </row>
    <row r="467" spans="2:2" ht="14.4" x14ac:dyDescent="0.3">
      <c r="B467"/>
    </row>
    <row r="468" spans="2:2" ht="14.4" x14ac:dyDescent="0.3">
      <c r="B468"/>
    </row>
    <row r="469" spans="2:2" ht="14.4" x14ac:dyDescent="0.3">
      <c r="B469"/>
    </row>
    <row r="470" spans="2:2" ht="14.4" x14ac:dyDescent="0.3">
      <c r="B470"/>
    </row>
    <row r="471" spans="2:2" ht="14.4" x14ac:dyDescent="0.3">
      <c r="B471"/>
    </row>
    <row r="472" spans="2:2" ht="14.4" x14ac:dyDescent="0.3">
      <c r="B472"/>
    </row>
    <row r="473" spans="2:2" ht="14.4" x14ac:dyDescent="0.3">
      <c r="B473"/>
    </row>
    <row r="474" spans="2:2" ht="14.4" x14ac:dyDescent="0.3">
      <c r="B474"/>
    </row>
    <row r="475" spans="2:2" ht="14.4" x14ac:dyDescent="0.3">
      <c r="B475"/>
    </row>
    <row r="476" spans="2:2" ht="14.4" x14ac:dyDescent="0.3">
      <c r="B476"/>
    </row>
    <row r="477" spans="2:2" ht="14.4" x14ac:dyDescent="0.3">
      <c r="B477"/>
    </row>
    <row r="478" spans="2:2" ht="14.4" x14ac:dyDescent="0.3">
      <c r="B478"/>
    </row>
    <row r="479" spans="2:2" ht="14.4" x14ac:dyDescent="0.3">
      <c r="B479"/>
    </row>
    <row r="480" spans="2:2" ht="14.4" x14ac:dyDescent="0.3">
      <c r="B480"/>
    </row>
    <row r="481" spans="2:2" ht="14.4" x14ac:dyDescent="0.3">
      <c r="B481"/>
    </row>
    <row r="482" spans="2:2" ht="14.4" x14ac:dyDescent="0.3">
      <c r="B482"/>
    </row>
    <row r="483" spans="2:2" ht="14.4" x14ac:dyDescent="0.3">
      <c r="B483"/>
    </row>
    <row r="484" spans="2:2" ht="14.4" x14ac:dyDescent="0.3">
      <c r="B484"/>
    </row>
    <row r="485" spans="2:2" ht="14.4" x14ac:dyDescent="0.3">
      <c r="B485"/>
    </row>
    <row r="486" spans="2:2" ht="14.4" x14ac:dyDescent="0.3">
      <c r="B486"/>
    </row>
    <row r="487" spans="2:2" ht="14.4" x14ac:dyDescent="0.3">
      <c r="B487"/>
    </row>
    <row r="488" spans="2:2" ht="14.4" x14ac:dyDescent="0.3">
      <c r="B488"/>
    </row>
    <row r="489" spans="2:2" ht="14.4" x14ac:dyDescent="0.3">
      <c r="B489"/>
    </row>
    <row r="490" spans="2:2" ht="14.4" x14ac:dyDescent="0.3">
      <c r="B490"/>
    </row>
    <row r="491" spans="2:2" ht="14.4" x14ac:dyDescent="0.3">
      <c r="B491"/>
    </row>
    <row r="492" spans="2:2" ht="14.4" x14ac:dyDescent="0.3">
      <c r="B492"/>
    </row>
    <row r="493" spans="2:2" ht="14.4" x14ac:dyDescent="0.3">
      <c r="B493"/>
    </row>
    <row r="494" spans="2:2" ht="14.4" x14ac:dyDescent="0.3">
      <c r="B494"/>
    </row>
    <row r="495" spans="2:2" ht="14.4" x14ac:dyDescent="0.3">
      <c r="B495"/>
    </row>
    <row r="496" spans="2:2" ht="14.4" x14ac:dyDescent="0.3">
      <c r="B496"/>
    </row>
    <row r="497" spans="2:2" ht="14.4" x14ac:dyDescent="0.3">
      <c r="B497"/>
    </row>
    <row r="498" spans="2:2" ht="14.4" x14ac:dyDescent="0.3">
      <c r="B498"/>
    </row>
  </sheetData>
  <sheetProtection algorithmName="SHA-512" hashValue="CjeBEH5dlAv4+QqnYq8YnUR0qRyYTCX/1lXgZYkzU2oWpTSGUF9ZNk6KddvV0WNe6lmNVpy6T4Eoe5ARqRP71Q==" saltValue="s0CudVeXQGGoyiqSHTbD+A==" spinCount="100000" sheet="1" objects="1" scenarios="1"/>
  <sortState xmlns:xlrd2="http://schemas.microsoft.com/office/spreadsheetml/2017/richdata2" ref="A103:E142">
    <sortCondition ref="B103:B142"/>
  </sortState>
  <mergeCells count="2">
    <mergeCell ref="F4:I4"/>
    <mergeCell ref="J4:M4"/>
  </mergeCells>
  <phoneticPr fontId="14" type="noConversion"/>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2735C21-D2AE-48C3-80FD-51149CB435D6}">
          <x14:formula1>
            <xm:f>'Park spec inputs'!#REF!</xm:f>
          </x14:formula1>
          <xm:sqref>B8:B102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771E5-15B0-446F-B8A6-57C72D125307}">
  <dimension ref="A1:AO26"/>
  <sheetViews>
    <sheetView workbookViewId="0">
      <selection activeCell="F11" sqref="F11"/>
    </sheetView>
  </sheetViews>
  <sheetFormatPr defaultRowHeight="14.4" x14ac:dyDescent="0.3"/>
  <cols>
    <col min="1" max="1" width="23.33203125" customWidth="1"/>
    <col min="4" max="4" width="17.6640625" bestFit="1" customWidth="1"/>
    <col min="14" max="27" width="7.6640625" customWidth="1"/>
    <col min="28" max="28" width="8.109375" customWidth="1"/>
    <col min="29" max="33" width="9.5546875" bestFit="1" customWidth="1"/>
  </cols>
  <sheetData>
    <row r="1" spans="1:41" x14ac:dyDescent="0.3">
      <c r="D1" s="289" t="s">
        <v>43</v>
      </c>
      <c r="E1" s="289" t="s">
        <v>44</v>
      </c>
      <c r="F1" s="289" t="s">
        <v>45</v>
      </c>
      <c r="N1" s="4">
        <v>2026</v>
      </c>
      <c r="O1" s="4">
        <v>2027</v>
      </c>
      <c r="P1" s="4">
        <v>2028</v>
      </c>
      <c r="Q1" s="4">
        <v>2029</v>
      </c>
      <c r="R1" s="4">
        <v>2030</v>
      </c>
      <c r="S1" s="4">
        <v>2031</v>
      </c>
      <c r="T1" s="4">
        <v>2032</v>
      </c>
      <c r="U1" s="4">
        <v>2033</v>
      </c>
      <c r="V1" s="4">
        <v>2034</v>
      </c>
      <c r="W1" s="4">
        <v>2035</v>
      </c>
      <c r="X1" s="4">
        <v>2036</v>
      </c>
      <c r="Y1" s="4">
        <v>2037</v>
      </c>
      <c r="Z1" s="4">
        <v>2038</v>
      </c>
      <c r="AA1" s="4">
        <v>2039</v>
      </c>
      <c r="AB1" s="4">
        <v>2040</v>
      </c>
      <c r="AC1" s="4">
        <v>2041</v>
      </c>
      <c r="AD1" s="4">
        <v>2042</v>
      </c>
      <c r="AE1" s="4">
        <v>2043</v>
      </c>
      <c r="AF1" s="4">
        <v>2044</v>
      </c>
      <c r="AG1" s="4">
        <v>2045</v>
      </c>
    </row>
    <row r="2" spans="1:41" x14ac:dyDescent="0.3">
      <c r="A2" s="286" t="s">
        <v>126</v>
      </c>
      <c r="B2" s="290" t="s">
        <v>81</v>
      </c>
      <c r="C2" s="291">
        <v>2033</v>
      </c>
      <c r="D2" s="291">
        <f>E2-4</f>
        <v>2029</v>
      </c>
      <c r="E2" s="291">
        <f>C2</f>
        <v>2033</v>
      </c>
      <c r="F2" s="291">
        <f>E2+4</f>
        <v>2037</v>
      </c>
      <c r="M2" t="s">
        <v>447</v>
      </c>
      <c r="N2" s="6">
        <v>1</v>
      </c>
      <c r="O2" s="6">
        <v>1</v>
      </c>
      <c r="P2" s="6">
        <v>1</v>
      </c>
      <c r="Q2" s="6">
        <v>2</v>
      </c>
      <c r="R2" s="6">
        <v>2</v>
      </c>
      <c r="S2" s="6">
        <v>2</v>
      </c>
      <c r="T2" s="6">
        <v>2</v>
      </c>
      <c r="U2" s="6">
        <v>3</v>
      </c>
      <c r="V2" s="6">
        <v>3</v>
      </c>
      <c r="W2" s="6">
        <v>3</v>
      </c>
      <c r="X2" s="6">
        <v>3</v>
      </c>
      <c r="Y2" s="6">
        <v>4</v>
      </c>
      <c r="Z2" s="6">
        <v>4</v>
      </c>
      <c r="AA2" s="6">
        <v>4</v>
      </c>
      <c r="AB2" s="6">
        <v>4</v>
      </c>
      <c r="AC2" s="6">
        <v>4</v>
      </c>
      <c r="AD2" s="6">
        <v>4</v>
      </c>
      <c r="AE2" s="6">
        <v>4</v>
      </c>
      <c r="AF2" s="6">
        <v>4</v>
      </c>
      <c r="AG2" s="6">
        <v>4</v>
      </c>
    </row>
    <row r="3" spans="1:41" x14ac:dyDescent="0.3">
      <c r="L3" s="292"/>
      <c r="M3" t="s">
        <v>446</v>
      </c>
      <c r="N3" s="6" cm="1">
        <f t="array" ref="N3">INDEX('Cost inputs'!$B$35:$E$35,N2)</f>
        <v>130</v>
      </c>
      <c r="O3" s="6" cm="1">
        <f t="array" ref="O3">INDEX('Cost inputs'!$B$35:$E$35,O2)</f>
        <v>130</v>
      </c>
      <c r="P3" s="6" cm="1">
        <f t="array" ref="P3">INDEX('Cost inputs'!$B$35:$E$35,P2)</f>
        <v>130</v>
      </c>
      <c r="Q3" s="6" cm="1">
        <f t="array" ref="Q3">INDEX('Cost inputs'!$B$35:$E$35,Q2)</f>
        <v>240</v>
      </c>
      <c r="R3" s="6" cm="1">
        <f t="array" ref="R3">INDEX('Cost inputs'!$B$35:$E$35,R2)</f>
        <v>240</v>
      </c>
      <c r="S3" s="6" cm="1">
        <f t="array" ref="S3">INDEX('Cost inputs'!$B$35:$E$35,S2)</f>
        <v>240</v>
      </c>
      <c r="T3" s="6" cm="1">
        <f t="array" ref="T3">INDEX('Cost inputs'!$B$35:$E$35,T2)</f>
        <v>240</v>
      </c>
      <c r="U3" s="6" cm="1">
        <f t="array" ref="U3">INDEX('Cost inputs'!$B$35:$E$35,U2)</f>
        <v>335</v>
      </c>
      <c r="V3" s="6" cm="1">
        <f t="array" ref="V3">INDEX('Cost inputs'!$B$35:$E$35,V2)</f>
        <v>335</v>
      </c>
      <c r="W3" s="6" cm="1">
        <f t="array" ref="W3">INDEX('Cost inputs'!$B$35:$E$35,W2)</f>
        <v>335</v>
      </c>
      <c r="X3" s="6" cm="1">
        <f t="array" ref="X3">INDEX('Cost inputs'!$B$35:$E$35,X2)</f>
        <v>335</v>
      </c>
      <c r="Y3" s="6" cm="1">
        <f t="array" ref="Y3">INDEX('Cost inputs'!$B$35:$E$35,Y2)</f>
        <v>1000</v>
      </c>
      <c r="Z3" s="6" cm="1">
        <f t="array" ref="Z3">INDEX('Cost inputs'!$B$35:$E$35,Z2)</f>
        <v>1000</v>
      </c>
      <c r="AA3" s="6" cm="1">
        <f t="array" ref="AA3">INDEX('Cost inputs'!$B$35:$E$35,AA2)</f>
        <v>1000</v>
      </c>
      <c r="AB3" s="6" cm="1">
        <f t="array" ref="AB3">INDEX('Cost inputs'!$B$35:$E$35,AB2)</f>
        <v>1000</v>
      </c>
      <c r="AC3" s="6" cm="1">
        <f t="array" ref="AC3">INDEX('Cost inputs'!$B$35:$E$35,AC2)</f>
        <v>1000</v>
      </c>
      <c r="AD3" s="6" cm="1">
        <f t="array" ref="AD3">INDEX('Cost inputs'!$B$35:$E$35,AD2)</f>
        <v>1000</v>
      </c>
      <c r="AE3" s="6" cm="1">
        <f t="array" ref="AE3">INDEX('Cost inputs'!$B$35:$E$35,AE2)</f>
        <v>1000</v>
      </c>
      <c r="AF3" s="6" cm="1">
        <f t="array" ref="AF3">INDEX('Cost inputs'!$B$35:$E$35,AF2)</f>
        <v>1000</v>
      </c>
      <c r="AG3" s="6" cm="1">
        <f t="array" ref="AG3">INDEX('Cost inputs'!$B$35:$E$35,AG2)</f>
        <v>1000</v>
      </c>
    </row>
    <row r="4" spans="1:41" x14ac:dyDescent="0.3">
      <c r="A4" s="287"/>
      <c r="B4" s="293"/>
      <c r="C4" s="294"/>
      <c r="D4" s="294"/>
      <c r="E4" s="294"/>
      <c r="F4" s="294"/>
      <c r="M4" t="s">
        <v>448</v>
      </c>
      <c r="N4" s="295">
        <f>N3*'Land Price Phase Sc1&amp;2'!K114</f>
        <v>142.9948</v>
      </c>
      <c r="O4" s="295">
        <f>O3*'Land Price Phase Sc1&amp;2'!L114</f>
        <v>149.1435764</v>
      </c>
      <c r="P4" s="295">
        <f>P3*'Land Price Phase Sc1&amp;2'!M114</f>
        <v>159.73277032440001</v>
      </c>
      <c r="Q4" s="295">
        <f>Q3*'Land Price Phase Sc1&amp;2'!N114</f>
        <v>315.82854833987523</v>
      </c>
      <c r="R4" s="295">
        <f>R3*'Land Price Phase Sc1&amp;2'!O114</f>
        <v>338.25237527200636</v>
      </c>
      <c r="S4" s="295">
        <f>S3*'Land Price Phase Sc1&amp;2'!P114</f>
        <v>362.26829391631878</v>
      </c>
      <c r="T4" s="295">
        <f>T3*'Land Price Phase Sc1&amp;2'!Q114</f>
        <v>387.98934278437741</v>
      </c>
      <c r="U4" s="295">
        <f>U3*'Land Price Phase Sc1&amp;2'!R114</f>
        <v>580.0198181287202</v>
      </c>
      <c r="V4" s="295">
        <f>V3*'Land Price Phase Sc1&amp;2'!S114</f>
        <v>621.20122521585938</v>
      </c>
      <c r="W4" s="295">
        <f>W3*'Land Price Phase Sc1&amp;2'!T114</f>
        <v>665.3065122061854</v>
      </c>
      <c r="X4" s="295">
        <f>X3*'Land Price Phase Sc1&amp;2'!U114</f>
        <v>712.54327457282443</v>
      </c>
      <c r="Y4" s="295">
        <f>Y3*'Land Price Phase Sc1&amp;2'!V114</f>
        <v>2278.0114837835667</v>
      </c>
      <c r="Z4" s="295">
        <f>Z3*'Land Price Phase Sc1&amp;2'!W114</f>
        <v>2439.7502991321999</v>
      </c>
      <c r="AA4" s="295">
        <f>AA3*'Land Price Phase Sc1&amp;2'!X114</f>
        <v>2612.9725703705858</v>
      </c>
      <c r="AB4" s="295">
        <f>AB3*'Land Price Phase Sc1&amp;2'!Y114</f>
        <v>2798.4936228668971</v>
      </c>
      <c r="AC4" s="295">
        <f>AC3*'Land Price Phase Sc1&amp;2'!Z114</f>
        <v>2997.186670090447</v>
      </c>
      <c r="AD4" s="295">
        <f>AD3*'Land Price Phase Sc1&amp;2'!AA114</f>
        <v>3209.9869236668687</v>
      </c>
      <c r="AE4" s="295">
        <f>AE3*'Land Price Phase Sc1&amp;2'!AB114</f>
        <v>3437.895995247216</v>
      </c>
      <c r="AF4" s="295">
        <f>AF3*'Land Price Phase Sc1&amp;2'!AC114</f>
        <v>3681.9866109097679</v>
      </c>
      <c r="AG4" s="295">
        <f>AG3*'Land Price Phase Sc1&amp;2'!AD114</f>
        <v>3943.4076602843611</v>
      </c>
    </row>
    <row r="5" spans="1:41" x14ac:dyDescent="0.3">
      <c r="A5" s="287"/>
      <c r="B5" s="293"/>
      <c r="C5" s="294"/>
      <c r="D5" s="294"/>
      <c r="E5" s="294"/>
      <c r="F5" s="294"/>
      <c r="M5" s="296" t="s">
        <v>449</v>
      </c>
      <c r="N5" s="297">
        <v>142.29729729729732</v>
      </c>
      <c r="O5" s="297">
        <v>151.36154411340979</v>
      </c>
      <c r="P5" s="297">
        <v>162.10821374546191</v>
      </c>
      <c r="Q5" s="297">
        <v>320.52534816256559</v>
      </c>
      <c r="R5" s="297">
        <v>343.28264788210777</v>
      </c>
      <c r="S5" s="297">
        <v>367.65571588173736</v>
      </c>
      <c r="T5" s="297">
        <v>393.75927170934074</v>
      </c>
      <c r="U5" s="297">
        <v>588.64550125098253</v>
      </c>
      <c r="V5" s="297">
        <v>630.43933183980221</v>
      </c>
      <c r="W5" s="297">
        <v>675.20052440042809</v>
      </c>
      <c r="X5" s="297">
        <v>723.13976163285849</v>
      </c>
      <c r="Y5" s="297">
        <v>2311.8886110710187</v>
      </c>
      <c r="Z5" s="297">
        <v>2476.0327024570611</v>
      </c>
      <c r="AA5" s="297">
        <v>2651.8310243315118</v>
      </c>
      <c r="AB5" s="297">
        <v>2840.1110270590489</v>
      </c>
      <c r="AC5" s="297">
        <v>3041.7589099802417</v>
      </c>
      <c r="AD5" s="297">
        <v>3257.7237925888385</v>
      </c>
      <c r="AE5" s="297">
        <v>3489.0221818626455</v>
      </c>
      <c r="AF5" s="297">
        <v>3736.7427567748932</v>
      </c>
      <c r="AG5" s="297">
        <v>4002.0514925059106</v>
      </c>
    </row>
    <row r="13" spans="1:41" x14ac:dyDescent="0.3">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row>
    <row r="14" spans="1:41" x14ac:dyDescent="0.3">
      <c r="AO14" s="288"/>
    </row>
    <row r="15" spans="1:41" x14ac:dyDescent="0.3">
      <c r="AO15" s="288"/>
    </row>
    <row r="16" spans="1:41" x14ac:dyDescent="0.3">
      <c r="AO16" s="288"/>
    </row>
    <row r="17" spans="2:4" x14ac:dyDescent="0.3">
      <c r="B17" s="298"/>
      <c r="C17" s="299"/>
      <c r="D17" s="299"/>
    </row>
    <row r="20" spans="2:4" x14ac:dyDescent="0.3">
      <c r="C20" s="299"/>
      <c r="D20" s="299"/>
    </row>
    <row r="24" spans="2:4" x14ac:dyDescent="0.3">
      <c r="B24" s="299"/>
      <c r="C24" s="299"/>
      <c r="D24" s="299"/>
    </row>
    <row r="26" spans="2:4" x14ac:dyDescent="0.3">
      <c r="C26" s="299"/>
      <c r="D26" s="299"/>
    </row>
  </sheetData>
  <sheetProtection algorithmName="SHA-512" hashValue="gaRhpyXy1S6JpHLWbgQ3oNavu4i/QmvPosKRgyl6R9YkVoy6t3NdE8Tm3Ai4BMClw9vlzJ+yZHJN7iHm3LNlfA==" saltValue="AHHC0GmAOZvb70SYNopaTg==" spinCount="100000" sheet="1" objects="1" scenarios="1"/>
  <phoneticPr fontId="14"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E3C8A-D900-45A4-92EC-276AD92026F9}">
  <dimension ref="A1:AS172"/>
  <sheetViews>
    <sheetView workbookViewId="0">
      <selection activeCell="T6" sqref="T6"/>
    </sheetView>
  </sheetViews>
  <sheetFormatPr defaultColWidth="9.109375" defaultRowHeight="13.8" x14ac:dyDescent="0.25"/>
  <cols>
    <col min="1" max="1" width="25.6640625" style="1" customWidth="1"/>
    <col min="2" max="2" width="12" style="1" customWidth="1"/>
    <col min="3" max="3" width="11" style="1" customWidth="1"/>
    <col min="4" max="4" width="11.44140625" style="1" customWidth="1"/>
    <col min="5" max="5" width="12.109375" style="1" customWidth="1"/>
    <col min="6" max="6" width="9.6640625" style="1" customWidth="1"/>
    <col min="7" max="12" width="8.109375" style="1" customWidth="1"/>
    <col min="13" max="20" width="6.33203125" style="1" customWidth="1"/>
    <col min="21" max="21" width="8.5546875" style="1" customWidth="1"/>
    <col min="22" max="22" width="7.5546875" style="1" customWidth="1"/>
    <col min="23" max="27" width="6.33203125" style="1" customWidth="1"/>
    <col min="28" max="28" width="7" style="1" customWidth="1"/>
    <col min="29" max="45" width="6.33203125" style="1" customWidth="1"/>
    <col min="46" max="16384" width="9.109375" style="1"/>
  </cols>
  <sheetData>
    <row r="1" spans="1:45" ht="14.4" x14ac:dyDescent="0.3">
      <c r="A1" s="5" t="s">
        <v>424</v>
      </c>
    </row>
    <row r="2" spans="1:45" ht="14.4" x14ac:dyDescent="0.3">
      <c r="A2" s="5" t="s">
        <v>423</v>
      </c>
    </row>
    <row r="3" spans="1:45" ht="14.4" x14ac:dyDescent="0.3">
      <c r="A3" s="2" t="s">
        <v>402</v>
      </c>
    </row>
    <row r="4" spans="1:45" ht="14.4" x14ac:dyDescent="0.3">
      <c r="A4" s="2" t="s">
        <v>397</v>
      </c>
    </row>
    <row r="5" spans="1:45" ht="14.4" x14ac:dyDescent="0.3">
      <c r="A5" s="2" t="s">
        <v>398</v>
      </c>
    </row>
    <row r="6" spans="1:45" ht="14.4" x14ac:dyDescent="0.3">
      <c r="A6" s="2" t="s">
        <v>427</v>
      </c>
      <c r="M6" s="79"/>
    </row>
    <row r="7" spans="1:45" ht="14.4" x14ac:dyDescent="0.3">
      <c r="A7" s="2"/>
    </row>
    <row r="8" spans="1:45" ht="14.4" x14ac:dyDescent="0.3">
      <c r="A8" s="2" t="s">
        <v>401</v>
      </c>
    </row>
    <row r="9" spans="1:45" ht="14.4" x14ac:dyDescent="0.3">
      <c r="A9" s="2"/>
      <c r="E9" s="2" t="s">
        <v>405</v>
      </c>
      <c r="F9" s="2"/>
      <c r="G9" s="8" t="s">
        <v>341</v>
      </c>
      <c r="H9" s="8" t="s">
        <v>341</v>
      </c>
      <c r="I9" s="8" t="s">
        <v>341</v>
      </c>
      <c r="J9" s="8" t="s">
        <v>341</v>
      </c>
      <c r="K9" s="8" t="s">
        <v>341</v>
      </c>
      <c r="L9" s="8" t="s">
        <v>341</v>
      </c>
      <c r="M9" s="8" t="s">
        <v>341</v>
      </c>
      <c r="N9" s="8" t="s">
        <v>341</v>
      </c>
      <c r="O9" s="8" t="s">
        <v>341</v>
      </c>
      <c r="P9" s="8" t="s">
        <v>341</v>
      </c>
      <c r="Q9" s="8" t="s">
        <v>341</v>
      </c>
      <c r="R9" s="8" t="s">
        <v>341</v>
      </c>
      <c r="S9" s="8" t="s">
        <v>341</v>
      </c>
      <c r="T9" s="8" t="s">
        <v>341</v>
      </c>
      <c r="U9" s="8" t="s">
        <v>341</v>
      </c>
      <c r="V9" s="8" t="s">
        <v>341</v>
      </c>
      <c r="W9" s="8" t="s">
        <v>341</v>
      </c>
      <c r="X9" s="8" t="s">
        <v>341</v>
      </c>
      <c r="Y9" s="8" t="s">
        <v>341</v>
      </c>
      <c r="Z9" s="8" t="s">
        <v>341</v>
      </c>
      <c r="AA9" s="8" t="s">
        <v>341</v>
      </c>
      <c r="AB9" s="8" t="s">
        <v>341</v>
      </c>
      <c r="AC9" s="8" t="s">
        <v>341</v>
      </c>
      <c r="AD9" s="8" t="s">
        <v>341</v>
      </c>
      <c r="AE9" s="8" t="s">
        <v>341</v>
      </c>
      <c r="AF9" s="8" t="s">
        <v>341</v>
      </c>
      <c r="AG9" s="8" t="s">
        <v>341</v>
      </c>
      <c r="AH9" s="8" t="s">
        <v>341</v>
      </c>
      <c r="AI9" s="8" t="s">
        <v>341</v>
      </c>
      <c r="AJ9" s="8" t="s">
        <v>341</v>
      </c>
      <c r="AK9" s="8" t="s">
        <v>341</v>
      </c>
      <c r="AL9" s="8" t="s">
        <v>341</v>
      </c>
      <c r="AM9" s="8" t="s">
        <v>341</v>
      </c>
      <c r="AN9" s="8" t="s">
        <v>341</v>
      </c>
      <c r="AO9" s="8" t="s">
        <v>341</v>
      </c>
      <c r="AP9" s="8" t="s">
        <v>341</v>
      </c>
      <c r="AQ9" s="8" t="s">
        <v>341</v>
      </c>
      <c r="AR9" s="8" t="s">
        <v>341</v>
      </c>
    </row>
    <row r="10" spans="1:45" ht="14.4" x14ac:dyDescent="0.3">
      <c r="A10" s="5" t="s">
        <v>202</v>
      </c>
      <c r="B10" s="5" t="s">
        <v>396</v>
      </c>
      <c r="C10" s="2" t="s">
        <v>421</v>
      </c>
      <c r="D10" s="2" t="s">
        <v>403</v>
      </c>
      <c r="E10" s="2" t="s">
        <v>404</v>
      </c>
      <c r="F10" s="2" t="s">
        <v>417</v>
      </c>
      <c r="G10" s="8" t="s">
        <v>410</v>
      </c>
      <c r="H10" s="8" t="s">
        <v>369</v>
      </c>
      <c r="I10" s="8" t="s">
        <v>406</v>
      </c>
      <c r="J10" s="8" t="s">
        <v>407</v>
      </c>
      <c r="K10" s="8" t="s">
        <v>408</v>
      </c>
      <c r="L10" s="8" t="s">
        <v>411</v>
      </c>
      <c r="M10" s="5">
        <v>2025</v>
      </c>
      <c r="N10" s="5">
        <v>2026</v>
      </c>
      <c r="O10" s="5">
        <v>2027</v>
      </c>
      <c r="P10" s="5">
        <v>2028</v>
      </c>
      <c r="Q10" s="5">
        <v>2029</v>
      </c>
      <c r="R10" s="5">
        <v>2030</v>
      </c>
      <c r="S10" s="5">
        <v>2031</v>
      </c>
      <c r="T10" s="5">
        <v>2032</v>
      </c>
      <c r="U10" s="5">
        <v>2033</v>
      </c>
      <c r="V10" s="5">
        <v>2034</v>
      </c>
      <c r="W10" s="5">
        <v>2035</v>
      </c>
      <c r="X10" s="5">
        <v>2036</v>
      </c>
      <c r="Y10" s="5">
        <v>2037</v>
      </c>
      <c r="Z10" s="5">
        <v>2038</v>
      </c>
      <c r="AA10" s="5">
        <v>2039</v>
      </c>
      <c r="AB10" s="5">
        <v>2040</v>
      </c>
      <c r="AC10" s="5">
        <v>2041</v>
      </c>
      <c r="AD10" s="5">
        <v>2042</v>
      </c>
      <c r="AE10" s="5">
        <v>2043</v>
      </c>
      <c r="AF10" s="5">
        <v>2044</v>
      </c>
      <c r="AG10" s="5">
        <v>2045</v>
      </c>
      <c r="AH10" s="5">
        <v>2046</v>
      </c>
      <c r="AI10" s="5">
        <v>2047</v>
      </c>
      <c r="AJ10" s="5">
        <v>2048</v>
      </c>
      <c r="AK10" s="5">
        <v>2049</v>
      </c>
      <c r="AL10" s="5">
        <v>2050</v>
      </c>
      <c r="AM10" s="5">
        <v>2051</v>
      </c>
      <c r="AN10" s="5">
        <v>2052</v>
      </c>
      <c r="AO10" s="5">
        <v>2053</v>
      </c>
      <c r="AP10" s="5">
        <v>2054</v>
      </c>
      <c r="AQ10" s="5">
        <v>2055</v>
      </c>
      <c r="AR10" s="5">
        <v>2056</v>
      </c>
      <c r="AS10" s="5"/>
    </row>
    <row r="11" spans="1:45" ht="38.4" x14ac:dyDescent="0.25">
      <c r="A11" s="54" t="s">
        <v>187</v>
      </c>
      <c r="B11" s="54" t="s">
        <v>425</v>
      </c>
      <c r="C11" s="54" t="s">
        <v>419</v>
      </c>
      <c r="D11" s="54" t="s">
        <v>420</v>
      </c>
      <c r="E11" s="54" t="s">
        <v>458</v>
      </c>
      <c r="F11" s="67" t="s">
        <v>418</v>
      </c>
      <c r="G11" s="306" t="s">
        <v>413</v>
      </c>
      <c r="H11" s="306"/>
      <c r="I11" s="54"/>
      <c r="J11" s="54"/>
      <c r="K11" s="54" t="s">
        <v>409</v>
      </c>
      <c r="L11" s="54" t="s">
        <v>412</v>
      </c>
    </row>
    <row r="12" spans="1:45" s="2" customFormat="1" x14ac:dyDescent="0.3">
      <c r="A12" s="2" t="str">
        <f>'OS Acq model'!B353</f>
        <v>Rural North</v>
      </c>
      <c r="B12" s="53">
        <v>10</v>
      </c>
      <c r="C12" s="55">
        <v>0</v>
      </c>
      <c r="D12" s="56">
        <f>1-C12</f>
        <v>1</v>
      </c>
      <c r="E12" s="14">
        <f>1-F45</f>
        <v>2.4270664815624121E-2</v>
      </c>
      <c r="F12" s="14">
        <f t="shared" ref="F12:F34" si="0">AVERAGE(D12:E12)</f>
        <v>0.51213533240781206</v>
      </c>
      <c r="G12" s="44">
        <f>SUM(M12:AR12)</f>
        <v>39.78185740355196</v>
      </c>
      <c r="H12" s="44">
        <f>SUM(M12:V12)</f>
        <v>1.679071231603749</v>
      </c>
      <c r="I12" s="44">
        <f>SUM(W12:AF12)</f>
        <v>32.161164700673936</v>
      </c>
      <c r="J12" s="44">
        <f>SUM(AG12:AP12)</f>
        <v>5.9416214712742672</v>
      </c>
      <c r="K12" s="44">
        <f>SUM(AQ12:AR12)</f>
        <v>0</v>
      </c>
      <c r="L12" s="44">
        <f>SUM(M12:AR12)</f>
        <v>39.78185740355196</v>
      </c>
      <c r="M12" s="44">
        <f>SUMIF('OS Acq model'!$C$353:$C$381,Summary!$A12,'OS Acq model'!AB$353:AB$381)</f>
        <v>0</v>
      </c>
      <c r="N12" s="44">
        <f>SUMIF('OS Acq model'!$C$353:$C$381,Summary!$A12,'OS Acq model'!AC$353:AC$381)</f>
        <v>0</v>
      </c>
      <c r="O12" s="44">
        <f>SUMIF('OS Acq model'!$C$353:$C$381,Summary!$A12,'OS Acq model'!AD$353:AD$381)</f>
        <v>0</v>
      </c>
      <c r="P12" s="44">
        <f>SUMIF('OS Acq model'!$C$353:$C$381,Summary!$A12,'OS Acq model'!AE$353:AE$381)</f>
        <v>0</v>
      </c>
      <c r="Q12" s="44">
        <f>SUMIF('OS Acq model'!$C$353:$C$381,Summary!$A12,'OS Acq model'!AF$353:AF$381)</f>
        <v>0</v>
      </c>
      <c r="R12" s="44">
        <f>SUMIF('OS Acq model'!$C$353:$C$381,Summary!$A12,'OS Acq model'!AG$353:AG$381)</f>
        <v>0</v>
      </c>
      <c r="S12" s="44">
        <f>SUMIF('OS Acq model'!$C$353:$C$381,Summary!$A12,'OS Acq model'!AH$353:AH$381)</f>
        <v>0</v>
      </c>
      <c r="T12" s="44">
        <f>SUMIF('OS Acq model'!$C$353:$C$381,Summary!$A12,'OS Acq model'!AI$353:AI$381)</f>
        <v>0</v>
      </c>
      <c r="U12" s="44">
        <f>SUMIF('OS Acq model'!$C$353:$C$381,Summary!$A12,'OS Acq model'!AJ$353:AJ$381)</f>
        <v>0</v>
      </c>
      <c r="V12" s="44">
        <f>SUMIF('OS Acq model'!$C$353:$C$381,Summary!$A12,'OS Acq model'!AK$353:AK$381)</f>
        <v>1.679071231603749</v>
      </c>
      <c r="W12" s="44">
        <f>SUMIF('OS Acq model'!$C$353:$C$381,Summary!$A12,'OS Acq model'!AL$353:AL$381)</f>
        <v>1.7977868405856565</v>
      </c>
      <c r="X12" s="44">
        <f>SUMIF('OS Acq model'!$C$353:$C$381,Summary!$A12,'OS Acq model'!AM$353:AM$381)</f>
        <v>1.9249202919391162</v>
      </c>
      <c r="Y12" s="44">
        <f>SUMIF('OS Acq model'!$C$353:$C$381,Summary!$A12,'OS Acq model'!AN$353:AN$381)</f>
        <v>2.0610690112234527</v>
      </c>
      <c r="Z12" s="44">
        <f>SUMIF('OS Acq model'!$C$353:$C$381,Summary!$A12,'OS Acq model'!AO$353:AO$381)</f>
        <v>3.5539523052804425</v>
      </c>
      <c r="AA12" s="44">
        <f>SUMIF('OS Acq model'!$C$353:$C$381,Summary!$A12,'OS Acq model'!AP$353:AP$381)</f>
        <v>3.8054835147499544</v>
      </c>
      <c r="AB12" s="44">
        <f>SUMIF('OS Acq model'!$C$353:$C$381,Summary!$A12,'OS Acq model'!AQ$353:AQ$381)</f>
        <v>4.0748558531992831</v>
      </c>
      <c r="AC12" s="44">
        <f>SUMIF('OS Acq model'!$C$353:$C$381,Summary!$A12,'OS Acq model'!AR$353:AR$381)</f>
        <v>2.0340359911614403</v>
      </c>
      <c r="AD12" s="44">
        <f>SUMIF('OS Acq model'!$C$353:$C$381,Summary!$A12,'OS Acq model'!AS$353:AS$381)</f>
        <v>2.177916732080234</v>
      </c>
      <c r="AE12" s="44">
        <f>SUMIF('OS Acq model'!$C$353:$C$381,Summary!$A12,'OS Acq model'!AT$353:AT$381)</f>
        <v>5.1822249281917347</v>
      </c>
      <c r="AF12" s="44">
        <f>SUMIF('OS Acq model'!$C$353:$C$381,Summary!$A12,'OS Acq model'!AU$353:AU$381)</f>
        <v>5.5489192322626231</v>
      </c>
      <c r="AG12" s="44">
        <f>SUMIF('OS Acq model'!$C$353:$C$381,Summary!$A12,'OS Acq model'!AV$353:AV$381)</f>
        <v>5.9416214712742672</v>
      </c>
      <c r="AH12" s="44">
        <f>SUMIF('OS Acq model'!$C$353:$C$381,Summary!$A12,'OS Acq model'!AW$353:AW$381)</f>
        <v>0</v>
      </c>
      <c r="AI12" s="44">
        <f>SUMIF('OS Acq model'!$C$353:$C$381,Summary!$A12,'OS Acq model'!AX$353:AX$381)</f>
        <v>0</v>
      </c>
      <c r="AJ12" s="44">
        <f>SUMIF('OS Acq model'!$C$353:$C$381,Summary!$A12,'OS Acq model'!AY$353:AY$381)</f>
        <v>0</v>
      </c>
      <c r="AK12" s="44">
        <f>SUMIF('OS Acq model'!$C$353:$C$381,Summary!$A12,'OS Acq model'!AZ$353:AZ$381)</f>
        <v>0</v>
      </c>
      <c r="AL12" s="44">
        <f>SUMIF('OS Acq model'!$C$353:$C$381,Summary!$A12,'OS Acq model'!BA$353:BA$381)</f>
        <v>0</v>
      </c>
      <c r="AM12" s="44">
        <f>SUMIF('OS Acq model'!$C$353:$C$381,Summary!$A12,'OS Acq model'!BB$353:BB$381)</f>
        <v>0</v>
      </c>
      <c r="AN12" s="44">
        <f>SUMIF('OS Acq model'!$C$353:$C$381,Summary!$A12,'OS Acq model'!BC$353:BC$381)</f>
        <v>0</v>
      </c>
      <c r="AO12" s="44">
        <f>SUMIF('OS Acq model'!$C$353:$C$381,Summary!$A12,'OS Acq model'!BD$353:BD$381)</f>
        <v>0</v>
      </c>
      <c r="AP12" s="44">
        <f>SUMIF('OS Acq model'!$C$353:$C$381,Summary!$A12,'OS Acq model'!BE$353:BE$381)</f>
        <v>0</v>
      </c>
      <c r="AQ12" s="44">
        <f>SUMIF('OS Acq model'!$C$353:$C$381,Summary!$A12,'OS Acq model'!BF$353:BF$381)</f>
        <v>0</v>
      </c>
      <c r="AR12" s="44">
        <f>SUMIF('OS Acq model'!$C$353:$C$381,Summary!$A12,'OS Acq model'!BG$353:BG$381)</f>
        <v>0</v>
      </c>
      <c r="AS12" s="10"/>
    </row>
    <row r="13" spans="1:45" s="2" customFormat="1" x14ac:dyDescent="0.3">
      <c r="A13" s="2" t="str">
        <f>'OS Acq model'!B354</f>
        <v>Warkworth</v>
      </c>
      <c r="B13" s="53">
        <v>10</v>
      </c>
      <c r="C13" s="55">
        <v>0</v>
      </c>
      <c r="D13" s="56">
        <f t="shared" ref="D13:D35" si="1">1-C13</f>
        <v>1</v>
      </c>
      <c r="E13" s="14">
        <f t="shared" ref="E13:E18" si="2">1-F46</f>
        <v>0.58061444818116725</v>
      </c>
      <c r="F13" s="14">
        <f t="shared" si="0"/>
        <v>0.79030722409058363</v>
      </c>
      <c r="G13" s="44">
        <f t="shared" ref="G13:G35" si="3">SUM(M13:AP13)</f>
        <v>198.76582114558548</v>
      </c>
      <c r="H13" s="44">
        <f t="shared" ref="H13:H35" si="4">SUM(M13:V13)</f>
        <v>4.6524672891379275</v>
      </c>
      <c r="I13" s="44">
        <f t="shared" ref="I13:I35" si="5">SUM(W13:AF13)</f>
        <v>52.466212739618229</v>
      </c>
      <c r="J13" s="44">
        <f t="shared" ref="J13:J35" si="6">SUM(AG13:AP13)</f>
        <v>141.64714111682932</v>
      </c>
      <c r="K13" s="44">
        <f t="shared" ref="K13:K35" si="7">SUM(AQ13:AR13)</f>
        <v>0</v>
      </c>
      <c r="L13" s="44">
        <f t="shared" ref="L13:L35" si="8">SUM(M13:AR13)</f>
        <v>198.76582114558548</v>
      </c>
      <c r="M13" s="44">
        <f>SUMIF('OS Acq model'!$C$353:$C$381,Summary!$A13,'OS Acq model'!AB$353:AB$381)</f>
        <v>0</v>
      </c>
      <c r="N13" s="44">
        <f>SUMIF('OS Acq model'!$C$353:$C$381,Summary!$A13,'OS Acq model'!AC$353:AC$381)</f>
        <v>0</v>
      </c>
      <c r="O13" s="44">
        <f>SUMIF('OS Acq model'!$C$353:$C$381,Summary!$A13,'OS Acq model'!AD$353:AD$381)</f>
        <v>0</v>
      </c>
      <c r="P13" s="44">
        <f>SUMIF('OS Acq model'!$C$353:$C$381,Summary!$A13,'OS Acq model'!AE$353:AE$381)</f>
        <v>0</v>
      </c>
      <c r="Q13" s="44">
        <f>SUMIF('OS Acq model'!$C$353:$C$381,Summary!$A13,'OS Acq model'!AF$353:AF$381)</f>
        <v>6.2405327721277451E-2</v>
      </c>
      <c r="R13" s="44">
        <f>SUMIF('OS Acq model'!$C$353:$C$381,Summary!$A13,'OS Acq model'!AG$353:AG$381)</f>
        <v>0.40188850361832845</v>
      </c>
      <c r="S13" s="44">
        <f>SUMIF('OS Acq model'!$C$353:$C$381,Summary!$A13,'OS Acq model'!AH$353:AH$381)</f>
        <v>0.73506228368882232</v>
      </c>
      <c r="T13" s="44">
        <f>SUMIF('OS Acq model'!$C$353:$C$381,Summary!$A13,'OS Acq model'!AI$353:AI$381)</f>
        <v>0.78697632684130137</v>
      </c>
      <c r="U13" s="44">
        <f>SUMIF('OS Acq model'!$C$353:$C$381,Summary!$A13,'OS Acq model'!AJ$353:AJ$381)</f>
        <v>0.97752972104701408</v>
      </c>
      <c r="V13" s="44">
        <f>SUMIF('OS Acq model'!$C$353:$C$381,Summary!$A13,'OS Acq model'!AK$353:AK$381)</f>
        <v>1.6886051262211836</v>
      </c>
      <c r="W13" s="44">
        <f>SUMIF('OS Acq model'!$C$353:$C$381,Summary!$A13,'OS Acq model'!AL$353:AL$381)</f>
        <v>1.9785073100482662</v>
      </c>
      <c r="X13" s="44">
        <f>SUMIF('OS Acq model'!$C$353:$C$381,Summary!$A13,'OS Acq model'!AM$353:AM$381)</f>
        <v>2.4630682290954393</v>
      </c>
      <c r="Y13" s="44">
        <f>SUMIF('OS Acq model'!$C$353:$C$381,Summary!$A13,'OS Acq model'!AN$353:AN$381)</f>
        <v>1.8362126398523562</v>
      </c>
      <c r="Z13" s="44">
        <f>SUMIF('OS Acq model'!$C$353:$C$381,Summary!$A13,'OS Acq model'!AO$353:AO$381)</f>
        <v>2.5187342978932161</v>
      </c>
      <c r="AA13" s="44">
        <f>SUMIF('OS Acq model'!$C$353:$C$381,Summary!$A13,'OS Acq model'!AP$353:AP$381)</f>
        <v>4.9483479802922803</v>
      </c>
      <c r="AB13" s="44">
        <f>SUMIF('OS Acq model'!$C$353:$C$381,Summary!$A13,'OS Acq model'!AQ$353:AQ$381)</f>
        <v>4.620018685170745</v>
      </c>
      <c r="AC13" s="44">
        <f>SUMIF('OS Acq model'!$C$353:$C$381,Summary!$A13,'OS Acq model'!AR$353:AR$381)</f>
        <v>7.8533537111977383</v>
      </c>
      <c r="AD13" s="44">
        <f>SUMIF('OS Acq model'!$C$353:$C$381,Summary!$A13,'OS Acq model'!AS$353:AS$381)</f>
        <v>5.1975415645062402</v>
      </c>
      <c r="AE13" s="44">
        <f>SUMIF('OS Acq model'!$C$353:$C$381,Summary!$A13,'OS Acq model'!AT$353:AT$381)</f>
        <v>5.5630785856630807</v>
      </c>
      <c r="AF13" s="44">
        <f>SUMIF('OS Acq model'!$C$353:$C$381,Summary!$A13,'OS Acq model'!AU$353:AU$381)</f>
        <v>15.487349735898865</v>
      </c>
      <c r="AG13" s="44">
        <f>SUMIF('OS Acq model'!$C$353:$C$381,Summary!$A13,'OS Acq model'!AV$353:AV$381)</f>
        <v>17.499632550249963</v>
      </c>
      <c r="AH13" s="44">
        <f>SUMIF('OS Acq model'!$C$353:$C$381,Summary!$A13,'OS Acq model'!AW$353:AW$381)</f>
        <v>18.737624949055405</v>
      </c>
      <c r="AI13" s="44">
        <f>SUMIF('OS Acq model'!$C$353:$C$381,Summary!$A13,'OS Acq model'!AX$353:AX$381)</f>
        <v>6.4382869150540456</v>
      </c>
      <c r="AJ13" s="44">
        <f>SUMIF('OS Acq model'!$C$353:$C$381,Summary!$A13,'OS Acq model'!AY$353:AY$381)</f>
        <v>6.8934379647510031</v>
      </c>
      <c r="AK13" s="44">
        <f>SUMIF('OS Acq model'!$C$353:$C$381,Summary!$A13,'OS Acq model'!AZ$353:AZ$381)</f>
        <v>28.616923038891791</v>
      </c>
      <c r="AL13" s="44">
        <f>SUMIF('OS Acq model'!$C$353:$C$381,Summary!$A13,'OS Acq model'!BA$353:BA$381)</f>
        <v>30.644756616269831</v>
      </c>
      <c r="AM13" s="44">
        <f>SUMIF('OS Acq model'!$C$353:$C$381,Summary!$A13,'OS Acq model'!BB$353:BB$381)</f>
        <v>32.816479082557287</v>
      </c>
      <c r="AN13" s="44">
        <f>SUMIF('OS Acq model'!$C$353:$C$381,Summary!$A13,'OS Acq model'!BC$353:BC$381)</f>
        <v>0</v>
      </c>
      <c r="AO13" s="44">
        <f>SUMIF('OS Acq model'!$C$353:$C$381,Summary!$A13,'OS Acq model'!BD$353:BD$381)</f>
        <v>0</v>
      </c>
      <c r="AP13" s="44">
        <f>SUMIF('OS Acq model'!$C$353:$C$381,Summary!$A13,'OS Acq model'!BE$353:BE$381)</f>
        <v>0</v>
      </c>
      <c r="AQ13" s="44">
        <f>SUMIF('OS Acq model'!$C$353:$C$381,Summary!$A13,'OS Acq model'!BF$353:BF$381)</f>
        <v>0</v>
      </c>
      <c r="AR13" s="44">
        <f>SUMIF('OS Acq model'!$C$353:$C$381,Summary!$A13,'OS Acq model'!BG$353:BG$381)</f>
        <v>0</v>
      </c>
    </row>
    <row r="14" spans="1:45" s="2" customFormat="1" x14ac:dyDescent="0.3">
      <c r="A14" s="2" t="str">
        <f>'OS Acq model'!B355</f>
        <v>Hibiscus</v>
      </c>
      <c r="B14" s="53">
        <v>10</v>
      </c>
      <c r="C14" s="55">
        <v>0</v>
      </c>
      <c r="D14" s="56">
        <f t="shared" si="1"/>
        <v>1</v>
      </c>
      <c r="E14" s="14">
        <f t="shared" si="2"/>
        <v>5.4696756659125767E-2</v>
      </c>
      <c r="F14" s="14">
        <f t="shared" si="0"/>
        <v>0.52734837832956294</v>
      </c>
      <c r="G14" s="44">
        <f t="shared" si="3"/>
        <v>20.216016730908382</v>
      </c>
      <c r="H14" s="44">
        <f t="shared" si="4"/>
        <v>7.2775518103507864</v>
      </c>
      <c r="I14" s="44">
        <f t="shared" si="5"/>
        <v>12.938464920557598</v>
      </c>
      <c r="J14" s="44">
        <f t="shared" si="6"/>
        <v>0</v>
      </c>
      <c r="K14" s="44">
        <f t="shared" si="7"/>
        <v>0</v>
      </c>
      <c r="L14" s="44">
        <f t="shared" si="8"/>
        <v>20.216016730908382</v>
      </c>
      <c r="M14" s="44">
        <f>SUMIF('OS Acq model'!$C$353:$C$381,Summary!$A14,'OS Acq model'!AB$353:AB$381)</f>
        <v>1.3107344523666666</v>
      </c>
      <c r="N14" s="44">
        <f>SUMIF('OS Acq model'!$C$353:$C$381,Summary!$A14,'OS Acq model'!AC$353:AC$381)</f>
        <v>1.4012420799614334</v>
      </c>
      <c r="O14" s="44">
        <f>SUMIF('OS Acq model'!$C$353:$C$381,Summary!$A14,'OS Acq model'!AD$353:AD$381)</f>
        <v>1.4611135132268658</v>
      </c>
      <c r="P14" s="44">
        <f>SUMIF('OS Acq model'!$C$353:$C$381,Summary!$A14,'OS Acq model'!AE$353:AE$381)</f>
        <v>0.96528043255594775</v>
      </c>
      <c r="Q14" s="44">
        <f>SUMIF('OS Acq model'!$C$353:$C$381,Summary!$A14,'OS Acq model'!AF$353:AF$381)</f>
        <v>1.0332171396893557</v>
      </c>
      <c r="R14" s="44">
        <f>SUMIF('OS Acq model'!$C$353:$C$381,Summary!$A14,'OS Acq model'!AG$353:AG$381)</f>
        <v>1.1059641925505181</v>
      </c>
      <c r="S14" s="44">
        <f>SUMIF('OS Acq model'!$C$353:$C$381,Summary!$A14,'OS Acq model'!AH$353:AH$381)</f>
        <v>0</v>
      </c>
      <c r="T14" s="44">
        <f>SUMIF('OS Acq model'!$C$353:$C$381,Summary!$A14,'OS Acq model'!AI$353:AI$381)</f>
        <v>0</v>
      </c>
      <c r="U14" s="44">
        <f>SUMIF('OS Acq model'!$C$353:$C$381,Summary!$A14,'OS Acq model'!AJ$353:AJ$381)</f>
        <v>0</v>
      </c>
      <c r="V14" s="44">
        <f>SUMIF('OS Acq model'!$C$353:$C$381,Summary!$A14,'OS Acq model'!AK$353:AK$381)</f>
        <v>0</v>
      </c>
      <c r="W14" s="44">
        <f>SUMIF('OS Acq model'!$C$353:$C$381,Summary!$A14,'OS Acq model'!AL$353:AL$381)</f>
        <v>1.0028063869566644</v>
      </c>
      <c r="X14" s="44">
        <f>SUMIF('OS Acq model'!$C$353:$C$381,Summary!$A14,'OS Acq model'!AM$353:AM$381)</f>
        <v>1.0869863838371769</v>
      </c>
      <c r="Y14" s="44">
        <f>SUMIF('OS Acq model'!$C$353:$C$381,Summary!$A14,'OS Acq model'!AN$353:AN$381)</f>
        <v>1.1802952680244354</v>
      </c>
      <c r="Z14" s="44">
        <f>SUMIF('OS Acq model'!$C$353:$C$381,Summary!$A14,'OS Acq model'!AO$353:AO$381)</f>
        <v>1.2126463761194093</v>
      </c>
      <c r="AA14" s="44">
        <f>SUMIF('OS Acq model'!$C$353:$C$381,Summary!$A14,'OS Acq model'!AP$353:AP$381)</f>
        <v>0.61542700299775677</v>
      </c>
      <c r="AB14" s="44">
        <f>SUMIF('OS Acq model'!$C$353:$C$381,Summary!$A14,'OS Acq model'!AQ$353:AQ$381)</f>
        <v>0.70845134652828134</v>
      </c>
      <c r="AC14" s="44">
        <f>SUMIF('OS Acq model'!$C$353:$C$381,Summary!$A14,'OS Acq model'!AR$353:AR$381)</f>
        <v>3.4439499343349858</v>
      </c>
      <c r="AD14" s="44">
        <f>SUMIF('OS Acq model'!$C$353:$C$381,Summary!$A14,'OS Acq model'!AS$353:AS$381)</f>
        <v>3.6879022217588866</v>
      </c>
      <c r="AE14" s="44">
        <f>SUMIF('OS Acq model'!$C$353:$C$381,Summary!$A14,'OS Acq model'!AT$353:AT$381)</f>
        <v>0</v>
      </c>
      <c r="AF14" s="44">
        <f>SUMIF('OS Acq model'!$C$353:$C$381,Summary!$A14,'OS Acq model'!AU$353:AU$381)</f>
        <v>0</v>
      </c>
      <c r="AG14" s="44">
        <f>SUMIF('OS Acq model'!$C$353:$C$381,Summary!$A14,'OS Acq model'!AV$353:AV$381)</f>
        <v>0</v>
      </c>
      <c r="AH14" s="44">
        <f>SUMIF('OS Acq model'!$C$353:$C$381,Summary!$A14,'OS Acq model'!AW$353:AW$381)</f>
        <v>0</v>
      </c>
      <c r="AI14" s="44">
        <f>SUMIF('OS Acq model'!$C$353:$C$381,Summary!$A14,'OS Acq model'!AX$353:AX$381)</f>
        <v>0</v>
      </c>
      <c r="AJ14" s="44">
        <f>SUMIF('OS Acq model'!$C$353:$C$381,Summary!$A14,'OS Acq model'!AY$353:AY$381)</f>
        <v>0</v>
      </c>
      <c r="AK14" s="44">
        <f>SUMIF('OS Acq model'!$C$353:$C$381,Summary!$A14,'OS Acq model'!AZ$353:AZ$381)</f>
        <v>0</v>
      </c>
      <c r="AL14" s="44">
        <f>SUMIF('OS Acq model'!$C$353:$C$381,Summary!$A14,'OS Acq model'!BA$353:BA$381)</f>
        <v>0</v>
      </c>
      <c r="AM14" s="44">
        <f>SUMIF('OS Acq model'!$C$353:$C$381,Summary!$A14,'OS Acq model'!BB$353:BB$381)</f>
        <v>0</v>
      </c>
      <c r="AN14" s="44">
        <f>SUMIF('OS Acq model'!$C$353:$C$381,Summary!$A14,'OS Acq model'!BC$353:BC$381)</f>
        <v>0</v>
      </c>
      <c r="AO14" s="44">
        <f>SUMIF('OS Acq model'!$C$353:$C$381,Summary!$A14,'OS Acq model'!BD$353:BD$381)</f>
        <v>0</v>
      </c>
      <c r="AP14" s="44">
        <f>SUMIF('OS Acq model'!$C$353:$C$381,Summary!$A14,'OS Acq model'!BE$353:BE$381)</f>
        <v>0</v>
      </c>
      <c r="AQ14" s="44">
        <f>SUMIF('OS Acq model'!$C$353:$C$381,Summary!$A14,'OS Acq model'!BF$353:BF$381)</f>
        <v>0</v>
      </c>
      <c r="AR14" s="44">
        <f>SUMIF('OS Acq model'!$C$353:$C$381,Summary!$A14,'OS Acq model'!BG$353:BG$381)</f>
        <v>0</v>
      </c>
    </row>
    <row r="15" spans="1:45" s="2" customFormat="1" x14ac:dyDescent="0.3">
      <c r="A15" s="2" t="str">
        <f>'OS Acq model'!B356</f>
        <v>Wainui east MD</v>
      </c>
      <c r="B15" s="53">
        <v>10</v>
      </c>
      <c r="C15" s="55">
        <v>0</v>
      </c>
      <c r="D15" s="56">
        <f t="shared" si="1"/>
        <v>1</v>
      </c>
      <c r="E15" s="14">
        <f t="shared" si="2"/>
        <v>0.84754740975375997</v>
      </c>
      <c r="F15" s="14">
        <f t="shared" si="0"/>
        <v>0.92377370487687993</v>
      </c>
      <c r="G15" s="44">
        <f t="shared" si="3"/>
        <v>131.77366154159645</v>
      </c>
      <c r="H15" s="44">
        <f t="shared" si="4"/>
        <v>43.99632020962629</v>
      </c>
      <c r="I15" s="44">
        <f t="shared" si="5"/>
        <v>87.777341331970121</v>
      </c>
      <c r="J15" s="44">
        <f t="shared" si="6"/>
        <v>0</v>
      </c>
      <c r="K15" s="44">
        <f t="shared" si="7"/>
        <v>0</v>
      </c>
      <c r="L15" s="44">
        <f t="shared" si="8"/>
        <v>131.77366154159645</v>
      </c>
      <c r="M15" s="44">
        <f>SUMIF('OS Acq model'!$C$353:$C$381,Summary!$A15,'OS Acq model'!AB$353:AB$381)</f>
        <v>5.1908256475367063</v>
      </c>
      <c r="N15" s="44">
        <f>SUMIF('OS Acq model'!$C$353:$C$381,Summary!$A15,'OS Acq model'!AC$353:AC$381)</f>
        <v>2.8539628739471326</v>
      </c>
      <c r="O15" s="44">
        <f>SUMIF('OS Acq model'!$C$353:$C$381,Summary!$A15,'OS Acq model'!AD$353:AD$381)</f>
        <v>3.7614869724743598</v>
      </c>
      <c r="P15" s="44">
        <f>SUMIF('OS Acq model'!$C$353:$C$381,Summary!$A15,'OS Acq model'!AE$353:AE$381)</f>
        <v>1.6482024098897243</v>
      </c>
      <c r="Q15" s="44">
        <f>SUMIF('OS Acq model'!$C$353:$C$381,Summary!$A15,'OS Acq model'!AF$353:AF$381)</f>
        <v>2.8183928995503593</v>
      </c>
      <c r="R15" s="44">
        <f>SUMIF('OS Acq model'!$C$353:$C$381,Summary!$A15,'OS Acq model'!AG$353:AG$381)</f>
        <v>6.9444774642845406</v>
      </c>
      <c r="S15" s="44">
        <f>SUMIF('OS Acq model'!$C$353:$C$381,Summary!$A15,'OS Acq model'!AH$353:AH$381)</f>
        <v>6.095474265714282</v>
      </c>
      <c r="T15" s="44">
        <f>SUMIF('OS Acq model'!$C$353:$C$381,Summary!$A15,'OS Acq model'!AI$353:AI$381)</f>
        <v>7.0260199409321906</v>
      </c>
      <c r="U15" s="44">
        <f>SUMIF('OS Acq model'!$C$353:$C$381,Summary!$A15,'OS Acq model'!AJ$353:AJ$381)</f>
        <v>5.8291465722808429</v>
      </c>
      <c r="V15" s="44">
        <f>SUMIF('OS Acq model'!$C$353:$C$381,Summary!$A15,'OS Acq model'!AK$353:AK$381)</f>
        <v>1.8283311630161545</v>
      </c>
      <c r="W15" s="44">
        <f>SUMIF('OS Acq model'!$C$353:$C$381,Summary!$A15,'OS Acq model'!AL$353:AL$381)</f>
        <v>14.511658808086045</v>
      </c>
      <c r="X15" s="44">
        <f>SUMIF('OS Acq model'!$C$353:$C$381,Summary!$A15,'OS Acq model'!AM$353:AM$381)</f>
        <v>15.731265266935182</v>
      </c>
      <c r="Y15" s="44">
        <f>SUMIF('OS Acq model'!$C$353:$C$381,Summary!$A15,'OS Acq model'!AN$353:AN$381)</f>
        <v>17.083151800641552</v>
      </c>
      <c r="Z15" s="44">
        <f>SUMIF('OS Acq model'!$C$353:$C$381,Summary!$A15,'OS Acq model'!AO$353:AO$381)</f>
        <v>17.552847226615754</v>
      </c>
      <c r="AA15" s="44">
        <f>SUMIF('OS Acq model'!$C$353:$C$381,Summary!$A15,'OS Acq model'!AP$353:AP$381)</f>
        <v>8.9089059194247149</v>
      </c>
      <c r="AB15" s="44">
        <f>SUMIF('OS Acq model'!$C$353:$C$381,Summary!$A15,'OS Acq model'!AQ$353:AQ$381)</f>
        <v>10.25629996236464</v>
      </c>
      <c r="AC15" s="44">
        <f>SUMIF('OS Acq model'!$C$353:$C$381,Summary!$A15,'OS Acq model'!AR$353:AR$381)</f>
        <v>3.7332123479022439</v>
      </c>
      <c r="AD15" s="44">
        <f>SUMIF('OS Acq model'!$C$353:$C$381,Summary!$A15,'OS Acq model'!AS$353:AS$381)</f>
        <v>0</v>
      </c>
      <c r="AE15" s="44">
        <f>SUMIF('OS Acq model'!$C$353:$C$381,Summary!$A15,'OS Acq model'!AT$353:AT$381)</f>
        <v>0</v>
      </c>
      <c r="AF15" s="44">
        <f>SUMIF('OS Acq model'!$C$353:$C$381,Summary!$A15,'OS Acq model'!AU$353:AU$381)</f>
        <v>0</v>
      </c>
      <c r="AG15" s="44">
        <f>SUMIF('OS Acq model'!$C$353:$C$381,Summary!$A15,'OS Acq model'!AV$353:AV$381)</f>
        <v>0</v>
      </c>
      <c r="AH15" s="44">
        <f>SUMIF('OS Acq model'!$C$353:$C$381,Summary!$A15,'OS Acq model'!AW$353:AW$381)</f>
        <v>0</v>
      </c>
      <c r="AI15" s="44">
        <f>SUMIF('OS Acq model'!$C$353:$C$381,Summary!$A15,'OS Acq model'!AX$353:AX$381)</f>
        <v>0</v>
      </c>
      <c r="AJ15" s="44">
        <f>SUMIF('OS Acq model'!$C$353:$C$381,Summary!$A15,'OS Acq model'!AY$353:AY$381)</f>
        <v>0</v>
      </c>
      <c r="AK15" s="44">
        <f>SUMIF('OS Acq model'!$C$353:$C$381,Summary!$A15,'OS Acq model'!AZ$353:AZ$381)</f>
        <v>0</v>
      </c>
      <c r="AL15" s="44">
        <f>SUMIF('OS Acq model'!$C$353:$C$381,Summary!$A15,'OS Acq model'!BA$353:BA$381)</f>
        <v>0</v>
      </c>
      <c r="AM15" s="44">
        <f>SUMIF('OS Acq model'!$C$353:$C$381,Summary!$A15,'OS Acq model'!BB$353:BB$381)</f>
        <v>0</v>
      </c>
      <c r="AN15" s="44">
        <f>SUMIF('OS Acq model'!$C$353:$C$381,Summary!$A15,'OS Acq model'!BC$353:BC$381)</f>
        <v>0</v>
      </c>
      <c r="AO15" s="44">
        <f>SUMIF('OS Acq model'!$C$353:$C$381,Summary!$A15,'OS Acq model'!BD$353:BD$381)</f>
        <v>0</v>
      </c>
      <c r="AP15" s="44">
        <f>SUMIF('OS Acq model'!$C$353:$C$381,Summary!$A15,'OS Acq model'!BE$353:BE$381)</f>
        <v>0</v>
      </c>
      <c r="AQ15" s="44">
        <f>SUMIF('OS Acq model'!$C$353:$C$381,Summary!$A15,'OS Acq model'!BF$353:BF$381)</f>
        <v>0</v>
      </c>
      <c r="AR15" s="44">
        <f>SUMIF('OS Acq model'!$C$353:$C$381,Summary!$A15,'OS Acq model'!BG$353:BG$381)</f>
        <v>0</v>
      </c>
    </row>
    <row r="16" spans="1:45" s="2" customFormat="1" x14ac:dyDescent="0.3">
      <c r="A16" s="2" t="str">
        <f>'OS Acq model'!B357</f>
        <v>Dairy Flat (incl W.East new)</v>
      </c>
      <c r="B16" s="53">
        <v>10</v>
      </c>
      <c r="C16" s="55">
        <v>0</v>
      </c>
      <c r="D16" s="56">
        <f t="shared" si="1"/>
        <v>1</v>
      </c>
      <c r="E16" s="14">
        <f t="shared" si="2"/>
        <v>0.60735124311289579</v>
      </c>
      <c r="F16" s="14">
        <f t="shared" si="0"/>
        <v>0.80367562155644789</v>
      </c>
      <c r="G16" s="44">
        <f t="shared" si="3"/>
        <v>869.40456449097792</v>
      </c>
      <c r="H16" s="44">
        <f t="shared" si="4"/>
        <v>1.7275033036941649</v>
      </c>
      <c r="I16" s="44">
        <f t="shared" si="5"/>
        <v>134.90920284312404</v>
      </c>
      <c r="J16" s="44">
        <f t="shared" si="6"/>
        <v>732.76785834415978</v>
      </c>
      <c r="K16" s="44">
        <f t="shared" si="7"/>
        <v>695.03538188347432</v>
      </c>
      <c r="L16" s="44">
        <f t="shared" si="8"/>
        <v>1564.4399463744521</v>
      </c>
      <c r="M16" s="44">
        <f>SUMIF('OS Acq model'!$C$353:$C$381,Summary!$A16,'OS Acq model'!AB$353:AB$381)</f>
        <v>0</v>
      </c>
      <c r="N16" s="44">
        <f>SUMIF('OS Acq model'!$C$353:$C$381,Summary!$A16,'OS Acq model'!AC$353:AC$381)</f>
        <v>0</v>
      </c>
      <c r="O16" s="44">
        <f>SUMIF('OS Acq model'!$C$353:$C$381,Summary!$A16,'OS Acq model'!AD$353:AD$381)</f>
        <v>0</v>
      </c>
      <c r="P16" s="44">
        <f>SUMIF('OS Acq model'!$C$353:$C$381,Summary!$A16,'OS Acq model'!AE$353:AE$381)</f>
        <v>0</v>
      </c>
      <c r="Q16" s="44">
        <f>SUMIF('OS Acq model'!$C$353:$C$381,Summary!$A16,'OS Acq model'!AF$353:AF$381)</f>
        <v>0</v>
      </c>
      <c r="R16" s="44">
        <f>SUMIF('OS Acq model'!$C$353:$C$381,Summary!$A16,'OS Acq model'!AG$353:AG$381)</f>
        <v>0</v>
      </c>
      <c r="S16" s="44">
        <f>SUMIF('OS Acq model'!$C$353:$C$381,Summary!$A16,'OS Acq model'!AH$353:AH$381)</f>
        <v>0</v>
      </c>
      <c r="T16" s="44">
        <f>SUMIF('OS Acq model'!$C$353:$C$381,Summary!$A16,'OS Acq model'!AI$353:AI$381)</f>
        <v>0</v>
      </c>
      <c r="U16" s="44">
        <f>SUMIF('OS Acq model'!$C$353:$C$381,Summary!$A16,'OS Acq model'!AJ$353:AJ$381)</f>
        <v>0.58639005589976989</v>
      </c>
      <c r="V16" s="44">
        <f>SUMIF('OS Acq model'!$C$353:$C$381,Summary!$A16,'OS Acq model'!AK$353:AK$381)</f>
        <v>1.141113247794395</v>
      </c>
      <c r="W16" s="44">
        <f>SUMIF('OS Acq model'!$C$353:$C$381,Summary!$A16,'OS Acq model'!AL$353:AL$381)</f>
        <v>2.1597966481683657</v>
      </c>
      <c r="X16" s="44">
        <f>SUMIF('OS Acq model'!$C$353:$C$381,Summary!$A16,'OS Acq model'!AM$353:AM$381)</f>
        <v>4.2299753164201856</v>
      </c>
      <c r="Y16" s="44">
        <f>SUMIF('OS Acq model'!$C$353:$C$381,Summary!$A16,'OS Acq model'!AN$353:AN$381)</f>
        <v>4.5293958136771169</v>
      </c>
      <c r="Z16" s="44">
        <f>SUMIF('OS Acq model'!$C$353:$C$381,Summary!$A16,'OS Acq model'!AO$353:AO$381)</f>
        <v>5.4424245393333415</v>
      </c>
      <c r="AA16" s="44">
        <f>SUMIF('OS Acq model'!$C$353:$C$381,Summary!$A16,'OS Acq model'!AP$353:AP$381)</f>
        <v>17.429152129183677</v>
      </c>
      <c r="AB16" s="44">
        <f>SUMIF('OS Acq model'!$C$353:$C$381,Summary!$A16,'OS Acq model'!AQ$353:AQ$381)</f>
        <v>12.365728182717444</v>
      </c>
      <c r="AC16" s="44">
        <f>SUMIF('OS Acq model'!$C$353:$C$381,Summary!$A16,'OS Acq model'!AR$353:AR$381)</f>
        <v>13.242500689702535</v>
      </c>
      <c r="AD16" s="44">
        <f>SUMIF('OS Acq model'!$C$353:$C$381,Summary!$A16,'OS Acq model'!AS$353:AS$381)</f>
        <v>22.68318128304216</v>
      </c>
      <c r="AE16" s="44">
        <f>SUMIF('OS Acq model'!$C$353:$C$381,Summary!$A16,'OS Acq model'!AT$353:AT$381)</f>
        <v>27.377190084532582</v>
      </c>
      <c r="AF16" s="44">
        <f>SUMIF('OS Acq model'!$C$353:$C$381,Summary!$A16,'OS Acq model'!AU$353:AU$381)</f>
        <v>25.449858156346629</v>
      </c>
      <c r="AG16" s="44">
        <f>SUMIF('OS Acq model'!$C$353:$C$381,Summary!$A16,'OS Acq model'!AV$353:AV$381)</f>
        <v>8.2719048477949482</v>
      </c>
      <c r="AH16" s="44">
        <f>SUMIF('OS Acq model'!$C$353:$C$381,Summary!$A16,'OS Acq model'!AW$353:AW$381)</f>
        <v>38.350441334594073</v>
      </c>
      <c r="AI16" s="44">
        <f>SUMIF('OS Acq model'!$C$353:$C$381,Summary!$A16,'OS Acq model'!AX$353:AX$381)</f>
        <v>35.635456116301128</v>
      </c>
      <c r="AJ16" s="44">
        <f>SUMIF('OS Acq model'!$C$353:$C$381,Summary!$A16,'OS Acq model'!AY$353:AY$381)</f>
        <v>38.157365022148241</v>
      </c>
      <c r="AK16" s="44">
        <f>SUMIF('OS Acq model'!$C$353:$C$381,Summary!$A16,'OS Acq model'!AZ$353:AZ$381)</f>
        <v>40.858148873785481</v>
      </c>
      <c r="AL16" s="44">
        <f>SUMIF('OS Acq model'!$C$353:$C$381,Summary!$A16,'OS Acq model'!BA$353:BA$381)</f>
        <v>58.062030774853092</v>
      </c>
      <c r="AM16" s="44">
        <f>SUMIF('OS Acq model'!$C$353:$C$381,Summary!$A16,'OS Acq model'!BB$353:BB$381)</f>
        <v>62.173826127135172</v>
      </c>
      <c r="AN16" s="44">
        <f>SUMIF('OS Acq model'!$C$353:$C$381,Summary!$A16,'OS Acq model'!BC$353:BC$381)</f>
        <v>66.577325555109169</v>
      </c>
      <c r="AO16" s="44">
        <f>SUMIF('OS Acq model'!$C$353:$C$381,Summary!$A16,'OS Acq model'!BD$353:BD$381)</f>
        <v>71.293234913474151</v>
      </c>
      <c r="AP16" s="44">
        <f>SUMIF('OS Acq model'!$C$353:$C$381,Summary!$A16,'OS Acq model'!BE$353:BE$381)</f>
        <v>313.38812477896437</v>
      </c>
      <c r="AQ16" s="44">
        <f>SUMIF('OS Acq model'!$C$353:$C$381,Summary!$A16,'OS Acq model'!BF$353:BF$381)</f>
        <v>335.61529728994083</v>
      </c>
      <c r="AR16" s="44">
        <f>SUMIF('OS Acq model'!$C$353:$C$381,Summary!$A16,'OS Acq model'!BG$353:BG$381)</f>
        <v>359.42008459353349</v>
      </c>
    </row>
    <row r="17" spans="1:44" s="2" customFormat="1" x14ac:dyDescent="0.3">
      <c r="A17" s="2" t="str">
        <f>'OS Acq model'!B358</f>
        <v>North Shore</v>
      </c>
      <c r="B17" s="53">
        <v>10</v>
      </c>
      <c r="C17" s="55">
        <v>0</v>
      </c>
      <c r="D17" s="56">
        <f t="shared" si="1"/>
        <v>1</v>
      </c>
      <c r="E17" s="14">
        <f t="shared" si="2"/>
        <v>0.14499931564464918</v>
      </c>
      <c r="F17" s="14">
        <f t="shared" si="0"/>
        <v>0.57249965782232459</v>
      </c>
      <c r="G17" s="44">
        <f t="shared" si="3"/>
        <v>19.138822884680696</v>
      </c>
      <c r="H17" s="44">
        <f t="shared" si="4"/>
        <v>1.8595486399753667</v>
      </c>
      <c r="I17" s="44">
        <f t="shared" si="5"/>
        <v>17.279274244705327</v>
      </c>
      <c r="J17" s="44">
        <f t="shared" si="6"/>
        <v>0</v>
      </c>
      <c r="K17" s="44">
        <f t="shared" si="7"/>
        <v>0</v>
      </c>
      <c r="L17" s="44">
        <f t="shared" si="8"/>
        <v>19.138822884680696</v>
      </c>
      <c r="M17" s="44">
        <f>SUMIF('OS Acq model'!$C$353:$C$381,Summary!$A17,'OS Acq model'!AB$353:AB$381)</f>
        <v>0</v>
      </c>
      <c r="N17" s="44">
        <f>SUMIF('OS Acq model'!$C$353:$C$381,Summary!$A17,'OS Acq model'!AC$353:AC$381)</f>
        <v>0</v>
      </c>
      <c r="O17" s="44">
        <f>SUMIF('OS Acq model'!$C$353:$C$381,Summary!$A17,'OS Acq model'!AD$353:AD$381)</f>
        <v>0</v>
      </c>
      <c r="P17" s="44">
        <f>SUMIF('OS Acq model'!$C$353:$C$381,Summary!$A17,'OS Acq model'!AE$353:AE$381)</f>
        <v>0</v>
      </c>
      <c r="Q17" s="44">
        <f>SUMIF('OS Acq model'!$C$353:$C$381,Summary!$A17,'OS Acq model'!AF$353:AF$381)</f>
        <v>0</v>
      </c>
      <c r="R17" s="44">
        <f>SUMIF('OS Acq model'!$C$353:$C$381,Summary!$A17,'OS Acq model'!AG$353:AG$381)</f>
        <v>0</v>
      </c>
      <c r="S17" s="44">
        <f>SUMIF('OS Acq model'!$C$353:$C$381,Summary!$A17,'OS Acq model'!AH$353:AH$381)</f>
        <v>0</v>
      </c>
      <c r="T17" s="44">
        <f>SUMIF('OS Acq model'!$C$353:$C$381,Summary!$A17,'OS Acq model'!AI$353:AI$381)</f>
        <v>0</v>
      </c>
      <c r="U17" s="44">
        <f>SUMIF('OS Acq model'!$C$353:$C$381,Summary!$A17,'OS Acq model'!AJ$353:AJ$381)</f>
        <v>0</v>
      </c>
      <c r="V17" s="44">
        <f>SUMIF('OS Acq model'!$C$353:$C$381,Summary!$A17,'OS Acq model'!AK$353:AK$381)</f>
        <v>1.8595486399753667</v>
      </c>
      <c r="W17" s="44">
        <f>SUMIF('OS Acq model'!$C$353:$C$381,Summary!$A17,'OS Acq model'!AL$353:AL$381)</f>
        <v>1.9913209788177415</v>
      </c>
      <c r="X17" s="44">
        <f>SUMIF('OS Acq model'!$C$353:$C$381,Summary!$A17,'OS Acq model'!AM$353:AM$381)</f>
        <v>2.1324435301968148</v>
      </c>
      <c r="Y17" s="44">
        <f>SUMIF('OS Acq model'!$C$353:$C$381,Summary!$A17,'OS Acq model'!AN$353:AN$381)</f>
        <v>2.2835800354852296</v>
      </c>
      <c r="Z17" s="44">
        <f>SUMIF('OS Acq model'!$C$353:$C$381,Summary!$A17,'OS Acq model'!AO$353:AO$381)</f>
        <v>2.4454413589712996</v>
      </c>
      <c r="AA17" s="44">
        <f>SUMIF('OS Acq model'!$C$353:$C$381,Summary!$A17,'OS Acq model'!AP$353:AP$381)</f>
        <v>2.6187888335261453</v>
      </c>
      <c r="AB17" s="44">
        <f>SUMIF('OS Acq model'!$C$353:$C$381,Summary!$A17,'OS Acq model'!AQ$353:AQ$381)</f>
        <v>2.8044378438118791</v>
      </c>
      <c r="AC17" s="44">
        <f>SUMIF('OS Acq model'!$C$353:$C$381,Summary!$A17,'OS Acq model'!AR$353:AR$381)</f>
        <v>3.0032616638962191</v>
      </c>
      <c r="AD17" s="44">
        <f>SUMIF('OS Acq model'!$C$353:$C$381,Summary!$A17,'OS Acq model'!AS$353:AS$381)</f>
        <v>0</v>
      </c>
      <c r="AE17" s="44">
        <f>SUMIF('OS Acq model'!$C$353:$C$381,Summary!$A17,'OS Acq model'!AT$353:AT$381)</f>
        <v>0</v>
      </c>
      <c r="AF17" s="44">
        <f>SUMIF('OS Acq model'!$C$353:$C$381,Summary!$A17,'OS Acq model'!AU$353:AU$381)</f>
        <v>0</v>
      </c>
      <c r="AG17" s="44">
        <f>SUMIF('OS Acq model'!$C$353:$C$381,Summary!$A17,'OS Acq model'!AV$353:AV$381)</f>
        <v>0</v>
      </c>
      <c r="AH17" s="44">
        <f>SUMIF('OS Acq model'!$C$353:$C$381,Summary!$A17,'OS Acq model'!AW$353:AW$381)</f>
        <v>0</v>
      </c>
      <c r="AI17" s="44">
        <f>SUMIF('OS Acq model'!$C$353:$C$381,Summary!$A17,'OS Acq model'!AX$353:AX$381)</f>
        <v>0</v>
      </c>
      <c r="AJ17" s="44">
        <f>SUMIF('OS Acq model'!$C$353:$C$381,Summary!$A17,'OS Acq model'!AY$353:AY$381)</f>
        <v>0</v>
      </c>
      <c r="AK17" s="44">
        <f>SUMIF('OS Acq model'!$C$353:$C$381,Summary!$A17,'OS Acq model'!AZ$353:AZ$381)</f>
        <v>0</v>
      </c>
      <c r="AL17" s="44">
        <f>SUMIF('OS Acq model'!$C$353:$C$381,Summary!$A17,'OS Acq model'!BA$353:BA$381)</f>
        <v>0</v>
      </c>
      <c r="AM17" s="44">
        <f>SUMIF('OS Acq model'!$C$353:$C$381,Summary!$A17,'OS Acq model'!BB$353:BB$381)</f>
        <v>0</v>
      </c>
      <c r="AN17" s="44">
        <f>SUMIF('OS Acq model'!$C$353:$C$381,Summary!$A17,'OS Acq model'!BC$353:BC$381)</f>
        <v>0</v>
      </c>
      <c r="AO17" s="44">
        <f>SUMIF('OS Acq model'!$C$353:$C$381,Summary!$A17,'OS Acq model'!BD$353:BD$381)</f>
        <v>0</v>
      </c>
      <c r="AP17" s="44">
        <f>SUMIF('OS Acq model'!$C$353:$C$381,Summary!$A17,'OS Acq model'!BE$353:BE$381)</f>
        <v>0</v>
      </c>
      <c r="AQ17" s="44">
        <f>SUMIF('OS Acq model'!$C$353:$C$381,Summary!$A17,'OS Acq model'!BF$353:BF$381)</f>
        <v>0</v>
      </c>
      <c r="AR17" s="44">
        <f>SUMIF('OS Acq model'!$C$353:$C$381,Summary!$A17,'OS Acq model'!BG$353:BG$381)</f>
        <v>0</v>
      </c>
    </row>
    <row r="18" spans="1:44" s="2" customFormat="1" x14ac:dyDescent="0.3">
      <c r="A18" s="2" t="str">
        <f>'OS Acq model'!B359</f>
        <v>Rural NW</v>
      </c>
      <c r="B18" s="53">
        <v>10</v>
      </c>
      <c r="C18" s="55">
        <v>0</v>
      </c>
      <c r="D18" s="56">
        <f t="shared" si="1"/>
        <v>1</v>
      </c>
      <c r="E18" s="14">
        <f t="shared" si="2"/>
        <v>2.9633206054320294E-3</v>
      </c>
      <c r="F18" s="14">
        <f t="shared" si="0"/>
        <v>0.50148166030271601</v>
      </c>
      <c r="G18" s="44">
        <f t="shared" si="3"/>
        <v>26.990322917213316</v>
      </c>
      <c r="H18" s="44">
        <f t="shared" si="4"/>
        <v>0.15089784650120361</v>
      </c>
      <c r="I18" s="44">
        <f t="shared" si="5"/>
        <v>26.839425070712114</v>
      </c>
      <c r="J18" s="44">
        <f t="shared" si="6"/>
        <v>0</v>
      </c>
      <c r="K18" s="44">
        <f t="shared" si="7"/>
        <v>0</v>
      </c>
      <c r="L18" s="44">
        <f t="shared" si="8"/>
        <v>26.990322917213316</v>
      </c>
      <c r="M18" s="44">
        <f>SUMIF('OS Acq model'!$C$353:$C$381,Summary!$A18,'OS Acq model'!AB$353:AB$381)</f>
        <v>0</v>
      </c>
      <c r="N18" s="44">
        <f>SUMIF('OS Acq model'!$C$353:$C$381,Summary!$A18,'OS Acq model'!AC$353:AC$381)</f>
        <v>0</v>
      </c>
      <c r="O18" s="44">
        <f>SUMIF('OS Acq model'!$C$353:$C$381,Summary!$A18,'OS Acq model'!AD$353:AD$381)</f>
        <v>0</v>
      </c>
      <c r="P18" s="44">
        <f>SUMIF('OS Acq model'!$C$353:$C$381,Summary!$A18,'OS Acq model'!AE$353:AE$381)</f>
        <v>0</v>
      </c>
      <c r="Q18" s="44">
        <f>SUMIF('OS Acq model'!$C$353:$C$381,Summary!$A18,'OS Acq model'!AF$353:AF$381)</f>
        <v>0</v>
      </c>
      <c r="R18" s="44">
        <f>SUMIF('OS Acq model'!$C$353:$C$381,Summary!$A18,'OS Acq model'!AG$353:AG$381)</f>
        <v>0</v>
      </c>
      <c r="S18" s="44">
        <f>SUMIF('OS Acq model'!$C$353:$C$381,Summary!$A18,'OS Acq model'!AH$353:AH$381)</f>
        <v>0</v>
      </c>
      <c r="T18" s="44">
        <f>SUMIF('OS Acq model'!$C$353:$C$381,Summary!$A18,'OS Acq model'!AI$353:AI$381)</f>
        <v>0</v>
      </c>
      <c r="U18" s="44">
        <f>SUMIF('OS Acq model'!$C$353:$C$381,Summary!$A18,'OS Acq model'!AJ$353:AJ$381)</f>
        <v>0</v>
      </c>
      <c r="V18" s="44">
        <f>SUMIF('OS Acq model'!$C$353:$C$381,Summary!$A18,'OS Acq model'!AK$353:AK$381)</f>
        <v>0.15089784650120361</v>
      </c>
      <c r="W18" s="44">
        <f>SUMIF('OS Acq model'!$C$353:$C$381,Summary!$A18,'OS Acq model'!AL$353:AL$381)</f>
        <v>0.26259032511017177</v>
      </c>
      <c r="X18" s="44">
        <f>SUMIF('OS Acq model'!$C$353:$C$381,Summary!$A18,'OS Acq model'!AM$353:AM$381)</f>
        <v>0.28092075245261133</v>
      </c>
      <c r="Y18" s="44">
        <f>SUMIF('OS Acq model'!$C$353:$C$381,Summary!$A18,'OS Acq model'!AN$353:AN$381)</f>
        <v>0.30054574345007573</v>
      </c>
      <c r="Z18" s="44">
        <f>SUMIF('OS Acq model'!$C$353:$C$381,Summary!$A18,'OS Acq model'!AO$353:AO$381)</f>
        <v>0.4823355905924599</v>
      </c>
      <c r="AA18" s="44">
        <f>SUMIF('OS Acq model'!$C$353:$C$381,Summary!$A18,'OS Acq model'!AP$353:AP$381)</f>
        <v>2.1269770556801824</v>
      </c>
      <c r="AB18" s="44">
        <f>SUMIF('OS Acq model'!$C$353:$C$381,Summary!$A18,'OS Acq model'!AQ$353:AQ$381)</f>
        <v>2.2774794322231542</v>
      </c>
      <c r="AC18" s="44">
        <f>SUMIF('OS Acq model'!$C$353:$C$381,Summary!$A18,'OS Acq model'!AR$353:AR$381)</f>
        <v>2.4386561916236507</v>
      </c>
      <c r="AD18" s="44">
        <f>SUMIF('OS Acq model'!$C$353:$C$381,Summary!$A18,'OS Acq model'!AS$353:AS$381)</f>
        <v>5.8028110372783575</v>
      </c>
      <c r="AE18" s="44">
        <f>SUMIF('OS Acq model'!$C$353:$C$381,Summary!$A18,'OS Acq model'!AT$353:AT$381)</f>
        <v>6.2135937267658985</v>
      </c>
      <c r="AF18" s="44">
        <f>SUMIF('OS Acq model'!$C$353:$C$381,Summary!$A18,'OS Acq model'!AU$353:AU$381)</f>
        <v>6.6535152155355535</v>
      </c>
      <c r="AG18" s="44">
        <f>SUMIF('OS Acq model'!$C$353:$C$381,Summary!$A18,'OS Acq model'!AV$353:AV$381)</f>
        <v>0</v>
      </c>
      <c r="AH18" s="44">
        <f>SUMIF('OS Acq model'!$C$353:$C$381,Summary!$A18,'OS Acq model'!AW$353:AW$381)</f>
        <v>0</v>
      </c>
      <c r="AI18" s="44">
        <f>SUMIF('OS Acq model'!$C$353:$C$381,Summary!$A18,'OS Acq model'!AX$353:AX$381)</f>
        <v>0</v>
      </c>
      <c r="AJ18" s="44">
        <f>SUMIF('OS Acq model'!$C$353:$C$381,Summary!$A18,'OS Acq model'!AY$353:AY$381)</f>
        <v>0</v>
      </c>
      <c r="AK18" s="44">
        <f>SUMIF('OS Acq model'!$C$353:$C$381,Summary!$A18,'OS Acq model'!AZ$353:AZ$381)</f>
        <v>0</v>
      </c>
      <c r="AL18" s="44">
        <f>SUMIF('OS Acq model'!$C$353:$C$381,Summary!$A18,'OS Acq model'!BA$353:BA$381)</f>
        <v>0</v>
      </c>
      <c r="AM18" s="44">
        <f>SUMIF('OS Acq model'!$C$353:$C$381,Summary!$A18,'OS Acq model'!BB$353:BB$381)</f>
        <v>0</v>
      </c>
      <c r="AN18" s="44">
        <f>SUMIF('OS Acq model'!$C$353:$C$381,Summary!$A18,'OS Acq model'!BC$353:BC$381)</f>
        <v>0</v>
      </c>
      <c r="AO18" s="44">
        <f>SUMIF('OS Acq model'!$C$353:$C$381,Summary!$A18,'OS Acq model'!BD$353:BD$381)</f>
        <v>0</v>
      </c>
      <c r="AP18" s="44">
        <f>SUMIF('OS Acq model'!$C$353:$C$381,Summary!$A18,'OS Acq model'!BE$353:BE$381)</f>
        <v>0</v>
      </c>
      <c r="AQ18" s="44">
        <f>SUMIF('OS Acq model'!$C$353:$C$381,Summary!$A18,'OS Acq model'!BF$353:BF$381)</f>
        <v>0</v>
      </c>
      <c r="AR18" s="44">
        <f>SUMIF('OS Acq model'!$C$353:$C$381,Summary!$A18,'OS Acq model'!BG$353:BG$381)</f>
        <v>0</v>
      </c>
    </row>
    <row r="19" spans="1:44" s="2" customFormat="1" x14ac:dyDescent="0.3">
      <c r="A19" s="43" t="str">
        <f>'OS Acq model'!B360</f>
        <v>Kumeu-Huapai-RH</v>
      </c>
      <c r="B19" s="73">
        <v>10</v>
      </c>
      <c r="C19" s="74">
        <v>0</v>
      </c>
      <c r="D19" s="75">
        <f t="shared" si="1"/>
        <v>1</v>
      </c>
      <c r="E19" s="76"/>
      <c r="F19" s="14"/>
      <c r="G19" s="44">
        <f t="shared" si="3"/>
        <v>0</v>
      </c>
      <c r="H19" s="44">
        <f t="shared" si="4"/>
        <v>0</v>
      </c>
      <c r="I19" s="44">
        <f t="shared" si="5"/>
        <v>0</v>
      </c>
      <c r="J19" s="44">
        <f t="shared" si="6"/>
        <v>0</v>
      </c>
      <c r="K19" s="44">
        <f t="shared" si="7"/>
        <v>0</v>
      </c>
      <c r="L19" s="44">
        <f t="shared" si="8"/>
        <v>0</v>
      </c>
      <c r="M19" s="44">
        <f>SUMIF('OS Acq model'!$C$353:$C$381,Summary!$A19,'OS Acq model'!AB$353:AB$381)</f>
        <v>0</v>
      </c>
      <c r="N19" s="44">
        <f>SUMIF('OS Acq model'!$C$353:$C$381,Summary!$A19,'OS Acq model'!AC$353:AC$381)</f>
        <v>0</v>
      </c>
      <c r="O19" s="44">
        <f>SUMIF('OS Acq model'!$C$353:$C$381,Summary!$A19,'OS Acq model'!AD$353:AD$381)</f>
        <v>0</v>
      </c>
      <c r="P19" s="44">
        <f>SUMIF('OS Acq model'!$C$353:$C$381,Summary!$A19,'OS Acq model'!AE$353:AE$381)</f>
        <v>0</v>
      </c>
      <c r="Q19" s="44">
        <f>SUMIF('OS Acq model'!$C$353:$C$381,Summary!$A19,'OS Acq model'!AF$353:AF$381)</f>
        <v>0</v>
      </c>
      <c r="R19" s="44">
        <f>SUMIF('OS Acq model'!$C$353:$C$381,Summary!$A19,'OS Acq model'!AG$353:AG$381)</f>
        <v>0</v>
      </c>
      <c r="S19" s="44">
        <f>SUMIF('OS Acq model'!$C$353:$C$381,Summary!$A19,'OS Acq model'!AH$353:AH$381)</f>
        <v>0</v>
      </c>
      <c r="T19" s="44">
        <f>SUMIF('OS Acq model'!$C$353:$C$381,Summary!$A19,'OS Acq model'!AI$353:AI$381)</f>
        <v>0</v>
      </c>
      <c r="U19" s="44">
        <f>SUMIF('OS Acq model'!$C$353:$C$381,Summary!$A19,'OS Acq model'!AJ$353:AJ$381)</f>
        <v>0</v>
      </c>
      <c r="V19" s="44">
        <f>SUMIF('OS Acq model'!$C$353:$C$381,Summary!$A19,'OS Acq model'!AK$353:AK$381)</f>
        <v>0</v>
      </c>
      <c r="W19" s="44">
        <f>SUMIF('OS Acq model'!$C$353:$C$381,Summary!$A19,'OS Acq model'!AL$353:AL$381)</f>
        <v>0</v>
      </c>
      <c r="X19" s="44">
        <f>SUMIF('OS Acq model'!$C$353:$C$381,Summary!$A19,'OS Acq model'!AM$353:AM$381)</f>
        <v>0</v>
      </c>
      <c r="Y19" s="44">
        <f>SUMIF('OS Acq model'!$C$353:$C$381,Summary!$A19,'OS Acq model'!AN$353:AN$381)</f>
        <v>0</v>
      </c>
      <c r="Z19" s="44">
        <f>SUMIF('OS Acq model'!$C$353:$C$381,Summary!$A19,'OS Acq model'!AO$353:AO$381)</f>
        <v>0</v>
      </c>
      <c r="AA19" s="44">
        <f>SUMIF('OS Acq model'!$C$353:$C$381,Summary!$A19,'OS Acq model'!AP$353:AP$381)</f>
        <v>0</v>
      </c>
      <c r="AB19" s="44">
        <f>SUMIF('OS Acq model'!$C$353:$C$381,Summary!$A19,'OS Acq model'!AQ$353:AQ$381)</f>
        <v>0</v>
      </c>
      <c r="AC19" s="44">
        <f>SUMIF('OS Acq model'!$C$353:$C$381,Summary!$A19,'OS Acq model'!AR$353:AR$381)</f>
        <v>0</v>
      </c>
      <c r="AD19" s="44">
        <f>SUMIF('OS Acq model'!$C$353:$C$381,Summary!$A19,'OS Acq model'!AS$353:AS$381)</f>
        <v>0</v>
      </c>
      <c r="AE19" s="44">
        <f>SUMIF('OS Acq model'!$C$353:$C$381,Summary!$A19,'OS Acq model'!AT$353:AT$381)</f>
        <v>0</v>
      </c>
      <c r="AF19" s="44">
        <f>SUMIF('OS Acq model'!$C$353:$C$381,Summary!$A19,'OS Acq model'!AU$353:AU$381)</f>
        <v>0</v>
      </c>
      <c r="AG19" s="44">
        <f>SUMIF('OS Acq model'!$C$353:$C$381,Summary!$A19,'OS Acq model'!AV$353:AV$381)</f>
        <v>0</v>
      </c>
      <c r="AH19" s="44">
        <f>SUMIF('OS Acq model'!$C$353:$C$381,Summary!$A19,'OS Acq model'!AW$353:AW$381)</f>
        <v>0</v>
      </c>
      <c r="AI19" s="44">
        <f>SUMIF('OS Acq model'!$C$353:$C$381,Summary!$A19,'OS Acq model'!AX$353:AX$381)</f>
        <v>0</v>
      </c>
      <c r="AJ19" s="44">
        <f>SUMIF('OS Acq model'!$C$353:$C$381,Summary!$A19,'OS Acq model'!AY$353:AY$381)</f>
        <v>0</v>
      </c>
      <c r="AK19" s="44">
        <f>SUMIF('OS Acq model'!$C$353:$C$381,Summary!$A19,'OS Acq model'!AZ$353:AZ$381)</f>
        <v>0</v>
      </c>
      <c r="AL19" s="44">
        <f>SUMIF('OS Acq model'!$C$353:$C$381,Summary!$A19,'OS Acq model'!BA$353:BA$381)</f>
        <v>0</v>
      </c>
      <c r="AM19" s="44">
        <f>SUMIF('OS Acq model'!$C$353:$C$381,Summary!$A19,'OS Acq model'!BB$353:BB$381)</f>
        <v>0</v>
      </c>
      <c r="AN19" s="44">
        <f>SUMIF('OS Acq model'!$C$353:$C$381,Summary!$A19,'OS Acq model'!BC$353:BC$381)</f>
        <v>0</v>
      </c>
      <c r="AO19" s="44">
        <f>SUMIF('OS Acq model'!$C$353:$C$381,Summary!$A19,'OS Acq model'!BD$353:BD$381)</f>
        <v>0</v>
      </c>
      <c r="AP19" s="44">
        <f>SUMIF('OS Acq model'!$C$353:$C$381,Summary!$A19,'OS Acq model'!BE$353:BE$381)</f>
        <v>0</v>
      </c>
      <c r="AQ19" s="44">
        <f>SUMIF('OS Acq model'!$C$353:$C$381,Summary!$A19,'OS Acq model'!BF$353:BF$381)</f>
        <v>0</v>
      </c>
      <c r="AR19" s="44">
        <f>SUMIF('OS Acq model'!$C$353:$C$381,Summary!$A19,'OS Acq model'!BG$353:BG$381)</f>
        <v>0</v>
      </c>
    </row>
    <row r="20" spans="1:44" s="2" customFormat="1" x14ac:dyDescent="0.3">
      <c r="A20" s="9" t="str">
        <f>'OS Acq model'!B361</f>
        <v>Kumeu-Huapai-RH RedFlag</v>
      </c>
      <c r="B20" s="57">
        <v>10</v>
      </c>
      <c r="C20" s="58">
        <v>0</v>
      </c>
      <c r="D20" s="59">
        <f t="shared" si="1"/>
        <v>1</v>
      </c>
      <c r="E20" s="76"/>
      <c r="F20" s="14"/>
      <c r="G20" s="44">
        <f t="shared" si="3"/>
        <v>474.09705908309274</v>
      </c>
      <c r="H20" s="44">
        <f t="shared" si="4"/>
        <v>0</v>
      </c>
      <c r="I20" s="44">
        <f t="shared" si="5"/>
        <v>7.5015368620742731</v>
      </c>
      <c r="J20" s="44">
        <f t="shared" si="6"/>
        <v>466.59552222101843</v>
      </c>
      <c r="K20" s="44">
        <f t="shared" si="7"/>
        <v>408.72903587706293</v>
      </c>
      <c r="L20" s="44">
        <f t="shared" si="8"/>
        <v>882.82609496015561</v>
      </c>
      <c r="M20" s="44">
        <f>SUMIF('OS Acq model'!$C$353:$C$381,Summary!$A20,'OS Acq model'!AB$353:AB$381)</f>
        <v>0</v>
      </c>
      <c r="N20" s="44">
        <f>SUMIF('OS Acq model'!$C$353:$C$381,Summary!$A20,'OS Acq model'!AC$353:AC$381)</f>
        <v>0</v>
      </c>
      <c r="O20" s="44">
        <f>SUMIF('OS Acq model'!$C$353:$C$381,Summary!$A20,'OS Acq model'!AD$353:AD$381)</f>
        <v>0</v>
      </c>
      <c r="P20" s="44">
        <f>SUMIF('OS Acq model'!$C$353:$C$381,Summary!$A20,'OS Acq model'!AE$353:AE$381)</f>
        <v>0</v>
      </c>
      <c r="Q20" s="44">
        <f>SUMIF('OS Acq model'!$C$353:$C$381,Summary!$A20,'OS Acq model'!AF$353:AF$381)</f>
        <v>0</v>
      </c>
      <c r="R20" s="44">
        <f>SUMIF('OS Acq model'!$C$353:$C$381,Summary!$A20,'OS Acq model'!AG$353:AG$381)</f>
        <v>0</v>
      </c>
      <c r="S20" s="44">
        <f>SUMIF('OS Acq model'!$C$353:$C$381,Summary!$A20,'OS Acq model'!AH$353:AH$381)</f>
        <v>0</v>
      </c>
      <c r="T20" s="44">
        <f>SUMIF('OS Acq model'!$C$353:$C$381,Summary!$A20,'OS Acq model'!AI$353:AI$381)</f>
        <v>0</v>
      </c>
      <c r="U20" s="44">
        <f>SUMIF('OS Acq model'!$C$353:$C$381,Summary!$A20,'OS Acq model'!AJ$353:AJ$381)</f>
        <v>0</v>
      </c>
      <c r="V20" s="44">
        <f>SUMIF('OS Acq model'!$C$353:$C$381,Summary!$A20,'OS Acq model'!AK$353:AK$381)</f>
        <v>0</v>
      </c>
      <c r="W20" s="44">
        <f>SUMIF('OS Acq model'!$C$353:$C$381,Summary!$A20,'OS Acq model'!AL$353:AL$381)</f>
        <v>0</v>
      </c>
      <c r="X20" s="44">
        <f>SUMIF('OS Acq model'!$C$353:$C$381,Summary!$A20,'OS Acq model'!AM$353:AM$381)</f>
        <v>0</v>
      </c>
      <c r="Y20" s="44">
        <f>SUMIF('OS Acq model'!$C$353:$C$381,Summary!$A20,'OS Acq model'!AN$353:AN$381)</f>
        <v>0</v>
      </c>
      <c r="Z20" s="44">
        <f>SUMIF('OS Acq model'!$C$353:$C$381,Summary!$A20,'OS Acq model'!AO$353:AO$381)</f>
        <v>0</v>
      </c>
      <c r="AA20" s="44">
        <f>SUMIF('OS Acq model'!$C$353:$C$381,Summary!$A20,'OS Acq model'!AP$353:AP$381)</f>
        <v>0</v>
      </c>
      <c r="AB20" s="44">
        <f>SUMIF('OS Acq model'!$C$353:$C$381,Summary!$A20,'OS Acq model'!AQ$353:AQ$381)</f>
        <v>0</v>
      </c>
      <c r="AC20" s="44">
        <f>SUMIF('OS Acq model'!$C$353:$C$381,Summary!$A20,'OS Acq model'!AR$353:AR$381)</f>
        <v>0</v>
      </c>
      <c r="AD20" s="44">
        <f>SUMIF('OS Acq model'!$C$353:$C$381,Summary!$A20,'OS Acq model'!AS$353:AS$381)</f>
        <v>0</v>
      </c>
      <c r="AE20" s="44">
        <f>SUMIF('OS Acq model'!$C$353:$C$381,Summary!$A20,'OS Acq model'!AT$353:AT$381)</f>
        <v>3.6224812626700316</v>
      </c>
      <c r="AF20" s="44">
        <f>SUMIF('OS Acq model'!$C$353:$C$381,Summary!$A20,'OS Acq model'!AU$353:AU$381)</f>
        <v>3.8790555994042419</v>
      </c>
      <c r="AG20" s="44">
        <f>SUMIF('OS Acq model'!$C$353:$C$381,Summary!$A20,'OS Acq model'!AV$353:AV$381)</f>
        <v>4.1538330337224414</v>
      </c>
      <c r="AH20" s="44">
        <f>SUMIF('OS Acq model'!$C$353:$C$381,Summary!$A20,'OS Acq model'!AW$353:AW$381)</f>
        <v>26.74562986071188</v>
      </c>
      <c r="AI20" s="44">
        <f>SUMIF('OS Acq model'!$C$353:$C$381,Summary!$A20,'OS Acq model'!AX$353:AX$381)</f>
        <v>28.640122231972434</v>
      </c>
      <c r="AJ20" s="44">
        <f>SUMIF('OS Acq model'!$C$353:$C$381,Summary!$A20,'OS Acq model'!AY$353:AY$381)</f>
        <v>30.66902571991778</v>
      </c>
      <c r="AK20" s="44">
        <f>SUMIF('OS Acq model'!$C$353:$C$381,Summary!$A20,'OS Acq model'!AZ$353:AZ$381)</f>
        <v>32.841881361315707</v>
      </c>
      <c r="AL20" s="44">
        <f>SUMIF('OS Acq model'!$C$353:$C$381,Summary!$A20,'OS Acq model'!BA$353:BA$381)</f>
        <v>35.823271309791693</v>
      </c>
      <c r="AM20" s="44">
        <f>SUMIF('OS Acq model'!$C$353:$C$381,Summary!$A20,'OS Acq model'!BB$353:BB$381)</f>
        <v>38.361256222129548</v>
      </c>
      <c r="AN20" s="44">
        <f>SUMIF('OS Acq model'!$C$353:$C$381,Summary!$A20,'OS Acq model'!BC$353:BC$381)</f>
        <v>41.079317781528928</v>
      </c>
      <c r="AO20" s="44">
        <f>SUMIF('OS Acq model'!$C$353:$C$381,Summary!$A20,'OS Acq model'!BD$353:BD$381)</f>
        <v>43.990238783733474</v>
      </c>
      <c r="AP20" s="44">
        <f>SUMIF('OS Acq model'!$C$353:$C$381,Summary!$A20,'OS Acq model'!BE$353:BE$381)</f>
        <v>184.29094591619457</v>
      </c>
      <c r="AQ20" s="44">
        <f>SUMIF('OS Acq model'!$C$353:$C$381,Summary!$A20,'OS Acq model'!BF$353:BF$381)</f>
        <v>197.3640162369818</v>
      </c>
      <c r="AR20" s="44">
        <f>SUMIF('OS Acq model'!$C$353:$C$381,Summary!$A20,'OS Acq model'!BG$353:BG$381)</f>
        <v>211.36501964008113</v>
      </c>
    </row>
    <row r="21" spans="1:44" s="2" customFormat="1" x14ac:dyDescent="0.3">
      <c r="A21" s="2" t="str">
        <f>'OS Acq model'!B362</f>
        <v>Whenuapai</v>
      </c>
      <c r="B21" s="53">
        <v>30</v>
      </c>
      <c r="C21" s="55">
        <v>0</v>
      </c>
      <c r="D21" s="56">
        <f t="shared" si="1"/>
        <v>1</v>
      </c>
      <c r="E21" s="14">
        <f t="shared" ref="E21:E26" si="9">1-F54</f>
        <v>0.82402807145639312</v>
      </c>
      <c r="F21" s="14">
        <f t="shared" si="0"/>
        <v>0.9120140357281965</v>
      </c>
      <c r="G21" s="44">
        <f t="shared" si="3"/>
        <v>308.88030666376585</v>
      </c>
      <c r="H21" s="44">
        <f t="shared" si="4"/>
        <v>28.271393808318997</v>
      </c>
      <c r="I21" s="44">
        <f t="shared" si="5"/>
        <v>147.12429784471999</v>
      </c>
      <c r="J21" s="44">
        <f t="shared" si="6"/>
        <v>133.4846150107268</v>
      </c>
      <c r="K21" s="44">
        <f t="shared" si="7"/>
        <v>109.03365556286248</v>
      </c>
      <c r="L21" s="44">
        <f>SUM(M21:AR21)</f>
        <v>417.91396222662831</v>
      </c>
      <c r="M21" s="44">
        <f>SUMIF('OS Acq model'!$C$353:$C$381,Summary!$A21,'OS Acq model'!AB$353:AB$381)</f>
        <v>0.64408315714000008</v>
      </c>
      <c r="N21" s="44">
        <f>SUMIF('OS Acq model'!$C$353:$C$381,Summary!$A21,'OS Acq model'!AC$353:AC$381)</f>
        <v>0.68892022132562014</v>
      </c>
      <c r="O21" s="44">
        <f>SUMIF('OS Acq model'!$C$353:$C$381,Summary!$A21,'OS Acq model'!AD$353:AD$381)</f>
        <v>0.71846739560803985</v>
      </c>
      <c r="P21" s="44">
        <f>SUMIF('OS Acq model'!$C$353:$C$381,Summary!$A21,'OS Acq model'!AE$353:AE$381)</f>
        <v>1.6264208892904064</v>
      </c>
      <c r="Q21" s="44">
        <f>SUMIF('OS Acq model'!$C$353:$C$381,Summary!$A21,'OS Acq model'!AF$353:AF$381)</f>
        <v>1.7412237934047028</v>
      </c>
      <c r="R21" s="44">
        <f>SUMIF('OS Acq model'!$C$353:$C$381,Summary!$A21,'OS Acq model'!AG$353:AG$381)</f>
        <v>2.3419352999325285</v>
      </c>
      <c r="S21" s="44">
        <f>SUMIF('OS Acq model'!$C$353:$C$381,Summary!$A21,'OS Acq model'!AH$353:AH$381)</f>
        <v>6.3467019923829966</v>
      </c>
      <c r="T21" s="44">
        <f>SUMIF('OS Acq model'!$C$353:$C$381,Summary!$A21,'OS Acq model'!AI$353:AI$381)</f>
        <v>6.7953510222539135</v>
      </c>
      <c r="U21" s="44">
        <f>SUMIF('OS Acq model'!$C$353:$C$381,Summary!$A21,'OS Acq model'!AJ$353:AJ$381)</f>
        <v>5.2633579354382825</v>
      </c>
      <c r="V21" s="44">
        <f>SUMIF('OS Acq model'!$C$353:$C$381,Summary!$A21,'OS Acq model'!AK$353:AK$381)</f>
        <v>2.1049321015425058</v>
      </c>
      <c r="W21" s="44">
        <f>SUMIF('OS Acq model'!$C$353:$C$381,Summary!$A21,'OS Acq model'!AL$353:AL$381)</f>
        <v>10.261086665219254</v>
      </c>
      <c r="X21" s="44">
        <f>SUMIF('OS Acq model'!$C$353:$C$381,Summary!$A21,'OS Acq model'!AM$353:AM$381)</f>
        <v>10.987365761245547</v>
      </c>
      <c r="Y21" s="44">
        <f>SUMIF('OS Acq model'!$C$353:$C$381,Summary!$A21,'OS Acq model'!AN$353:AN$381)</f>
        <v>7.7100864049121896</v>
      </c>
      <c r="Z21" s="44">
        <f>SUMIF('OS Acq model'!$C$353:$C$381,Summary!$A21,'OS Acq model'!AO$353:AO$381)</f>
        <v>8.2553633248392408</v>
      </c>
      <c r="AA21" s="44">
        <f>SUMIF('OS Acq model'!$C$353:$C$381,Summary!$A21,'OS Acq model'!AP$353:AP$381)</f>
        <v>36.850367138299447</v>
      </c>
      <c r="AB21" s="44">
        <f>SUMIF('OS Acq model'!$C$353:$C$381,Summary!$A21,'OS Acq model'!AQ$353:AQ$381)</f>
        <v>39.462709980700197</v>
      </c>
      <c r="AC21" s="44">
        <f>SUMIF('OS Acq model'!$C$353:$C$381,Summary!$A21,'OS Acq model'!AR$353:AR$381)</f>
        <v>30.922230567073363</v>
      </c>
      <c r="AD21" s="44">
        <f>SUMIF('OS Acq model'!$C$353:$C$381,Summary!$A21,'OS Acq model'!AS$353:AS$381)</f>
        <v>0</v>
      </c>
      <c r="AE21" s="44">
        <f>SUMIF('OS Acq model'!$C$353:$C$381,Summary!$A21,'OS Acq model'!AT$353:AT$381)</f>
        <v>1.2917490917497969</v>
      </c>
      <c r="AF21" s="44">
        <f>SUMIF('OS Acq model'!$C$353:$C$381,Summary!$A21,'OS Acq model'!AU$353:AU$381)</f>
        <v>1.3833389106809599</v>
      </c>
      <c r="AG21" s="44">
        <f>SUMIF('OS Acq model'!$C$353:$C$381,Summary!$A21,'OS Acq model'!AV$353:AV$381)</f>
        <v>1.4814288706914078</v>
      </c>
      <c r="AH21" s="44">
        <f>SUMIF('OS Acq model'!$C$353:$C$381,Summary!$A21,'OS Acq model'!AW$353:AW$381)</f>
        <v>7.5432326327378876</v>
      </c>
      <c r="AI21" s="44">
        <f>SUMIF('OS Acq model'!$C$353:$C$381,Summary!$A21,'OS Acq model'!AX$353:AX$381)</f>
        <v>8.0778064745466072</v>
      </c>
      <c r="AJ21" s="44">
        <f>SUMIF('OS Acq model'!$C$353:$C$381,Summary!$A21,'OS Acq model'!AY$353:AY$381)</f>
        <v>8.6503131542712026</v>
      </c>
      <c r="AK21" s="44">
        <f>SUMIF('OS Acq model'!$C$353:$C$381,Summary!$A21,'OS Acq model'!AZ$353:AZ$381)</f>
        <v>9.2634454214969431</v>
      </c>
      <c r="AL21" s="44">
        <f>SUMIF('OS Acq model'!$C$353:$C$381,Summary!$A21,'OS Acq model'!BA$353:BA$381)</f>
        <v>11.090694443136432</v>
      </c>
      <c r="AM21" s="44">
        <f>SUMIF('OS Acq model'!$C$353:$C$381,Summary!$A21,'OS Acq model'!BB$353:BB$381)</f>
        <v>11.876866481890456</v>
      </c>
      <c r="AN21" s="44">
        <f>SUMIF('OS Acq model'!$C$353:$C$381,Summary!$A21,'OS Acq model'!BC$353:BC$381)</f>
        <v>12.718828855528429</v>
      </c>
      <c r="AO21" s="44">
        <f>SUMIF('OS Acq model'!$C$353:$C$381,Summary!$A21,'OS Acq model'!BD$353:BD$381)</f>
        <v>13.620542064470023</v>
      </c>
      <c r="AP21" s="44">
        <f>SUMIF('OS Acq model'!$C$353:$C$381,Summary!$A21,'OS Acq model'!BE$353:BE$381)</f>
        <v>49.161456611957426</v>
      </c>
      <c r="AQ21" s="44">
        <f>SUMIF('OS Acq model'!$C$353:$C$381,Summary!$A21,'OS Acq model'!BF$353:BF$381)</f>
        <v>52.649181323944333</v>
      </c>
      <c r="AR21" s="44">
        <f>SUMIF('OS Acq model'!$C$353:$C$381,Summary!$A21,'OS Acq model'!BG$353:BG$381)</f>
        <v>56.384474238918145</v>
      </c>
    </row>
    <row r="22" spans="1:44" s="2" customFormat="1" x14ac:dyDescent="0.3">
      <c r="A22" s="2" t="str">
        <f>'OS Acq model'!B364</f>
        <v>ScottPt-BombPt</v>
      </c>
      <c r="B22" s="53">
        <v>10</v>
      </c>
      <c r="C22" s="55">
        <v>0</v>
      </c>
      <c r="D22" s="56">
        <f t="shared" si="1"/>
        <v>1</v>
      </c>
      <c r="E22" s="14">
        <f t="shared" si="9"/>
        <v>0.36589264021606793</v>
      </c>
      <c r="F22" s="14">
        <f t="shared" si="0"/>
        <v>0.68294632010803391</v>
      </c>
      <c r="G22" s="44">
        <f t="shared" si="3"/>
        <v>128.70130871468839</v>
      </c>
      <c r="H22" s="44">
        <f t="shared" si="4"/>
        <v>12.428393162351888</v>
      </c>
      <c r="I22" s="44">
        <f t="shared" si="5"/>
        <v>116.27291555233651</v>
      </c>
      <c r="J22" s="44">
        <f t="shared" si="6"/>
        <v>0</v>
      </c>
      <c r="K22" s="44">
        <f t="shared" si="7"/>
        <v>0</v>
      </c>
      <c r="L22" s="44">
        <f t="shared" si="8"/>
        <v>128.70130871468839</v>
      </c>
      <c r="M22" s="44">
        <f>SUMIF('OS Acq model'!$C$353:$C$381,Summary!$A22,'OS Acq model'!AB$353:AB$381)</f>
        <v>1.28144315714</v>
      </c>
      <c r="N22" s="44">
        <f>SUMIF('OS Acq model'!$C$353:$C$381,Summary!$A22,'OS Acq model'!AC$353:AC$381)</f>
        <v>1.3708954213256201</v>
      </c>
      <c r="O22" s="44">
        <f>SUMIF('OS Acq model'!$C$353:$C$381,Summary!$A22,'OS Acq model'!AD$353:AD$381)</f>
        <v>1.4297675292080398</v>
      </c>
      <c r="P22" s="44">
        <f>SUMIF('OS Acq model'!$C$353:$C$381,Summary!$A22,'OS Acq model'!AE$353:AE$381)</f>
        <v>1.5309298279434169</v>
      </c>
      <c r="Q22" s="44">
        <f>SUMIF('OS Acq model'!$C$353:$C$381,Summary!$A22,'OS Acq model'!AF$353:AF$381)</f>
        <v>1.6392669235805606</v>
      </c>
      <c r="R22" s="44">
        <f>SUMIF('OS Acq model'!$C$353:$C$381,Summary!$A22,'OS Acq model'!AG$353:AG$381)</f>
        <v>0</v>
      </c>
      <c r="S22" s="44">
        <f>SUMIF('OS Acq model'!$C$353:$C$381,Summary!$A22,'OS Acq model'!AH$353:AH$381)</f>
        <v>0</v>
      </c>
      <c r="T22" s="44">
        <f>SUMIF('OS Acq model'!$C$353:$C$381,Summary!$A22,'OS Acq model'!AI$353:AI$381)</f>
        <v>0</v>
      </c>
      <c r="U22" s="44">
        <f>SUMIF('OS Acq model'!$C$353:$C$381,Summary!$A22,'OS Acq model'!AJ$353:AJ$381)</f>
        <v>0</v>
      </c>
      <c r="V22" s="44">
        <f>SUMIF('OS Acq model'!$C$353:$C$381,Summary!$A22,'OS Acq model'!AK$353:AK$381)</f>
        <v>5.1760903031542504</v>
      </c>
      <c r="W22" s="44">
        <f>SUMIF('OS Acq model'!$C$353:$C$381,Summary!$A22,'OS Acq model'!AL$353:AL$381)</f>
        <v>9.6758820795350253</v>
      </c>
      <c r="X22" s="44">
        <f>SUMIF('OS Acq model'!$C$353:$C$381,Summary!$A22,'OS Acq model'!AM$353:AM$381)</f>
        <v>10.490034588424193</v>
      </c>
      <c r="Y22" s="44">
        <f>SUMIF('OS Acq model'!$C$353:$C$381,Summary!$A22,'OS Acq model'!AN$353:AN$381)</f>
        <v>11.392504520389858</v>
      </c>
      <c r="Z22" s="44">
        <f>SUMIF('OS Acq model'!$C$353:$C$381,Summary!$A22,'OS Acq model'!AO$353:AO$381)</f>
        <v>11.706713628569471</v>
      </c>
      <c r="AA22" s="44">
        <f>SUMIF('OS Acq model'!$C$353:$C$381,Summary!$A22,'OS Acq model'!AP$353:AP$381)</f>
        <v>5.9421875363297767</v>
      </c>
      <c r="AB22" s="44">
        <f>SUMIF('OS Acq model'!$C$353:$C$381,Summary!$A22,'OS Acq model'!AQ$353:AQ$381)</f>
        <v>6.8414109371940111</v>
      </c>
      <c r="AC22" s="44">
        <f>SUMIF('OS Acq model'!$C$353:$C$381,Summary!$A22,'OS Acq model'!AR$353:AR$381)</f>
        <v>29.079999506461085</v>
      </c>
      <c r="AD22" s="44">
        <f>SUMIF('OS Acq model'!$C$353:$C$381,Summary!$A22,'OS Acq model'!AS$353:AS$381)</f>
        <v>31.144182755433096</v>
      </c>
      <c r="AE22" s="44">
        <f>SUMIF('OS Acq model'!$C$353:$C$381,Summary!$A22,'OS Acq model'!AT$353:AT$381)</f>
        <v>0</v>
      </c>
      <c r="AF22" s="44">
        <f>SUMIF('OS Acq model'!$C$353:$C$381,Summary!$A22,'OS Acq model'!AU$353:AU$381)</f>
        <v>0</v>
      </c>
      <c r="AG22" s="44">
        <f>SUMIF('OS Acq model'!$C$353:$C$381,Summary!$A22,'OS Acq model'!AV$353:AV$381)</f>
        <v>0</v>
      </c>
      <c r="AH22" s="44">
        <f>SUMIF('OS Acq model'!$C$353:$C$381,Summary!$A22,'OS Acq model'!AW$353:AW$381)</f>
        <v>0</v>
      </c>
      <c r="AI22" s="44">
        <f>SUMIF('OS Acq model'!$C$353:$C$381,Summary!$A22,'OS Acq model'!AX$353:AX$381)</f>
        <v>0</v>
      </c>
      <c r="AJ22" s="44">
        <f>SUMIF('OS Acq model'!$C$353:$C$381,Summary!$A22,'OS Acq model'!AY$353:AY$381)</f>
        <v>0</v>
      </c>
      <c r="AK22" s="44">
        <f>SUMIF('OS Acq model'!$C$353:$C$381,Summary!$A22,'OS Acq model'!AZ$353:AZ$381)</f>
        <v>0</v>
      </c>
      <c r="AL22" s="44">
        <f>SUMIF('OS Acq model'!$C$353:$C$381,Summary!$A22,'OS Acq model'!BA$353:BA$381)</f>
        <v>0</v>
      </c>
      <c r="AM22" s="44">
        <f>SUMIF('OS Acq model'!$C$353:$C$381,Summary!$A22,'OS Acq model'!BB$353:BB$381)</f>
        <v>0</v>
      </c>
      <c r="AN22" s="44">
        <f>SUMIF('OS Acq model'!$C$353:$C$381,Summary!$A22,'OS Acq model'!BC$353:BC$381)</f>
        <v>0</v>
      </c>
      <c r="AO22" s="44">
        <f>SUMIF('OS Acq model'!$C$353:$C$381,Summary!$A22,'OS Acq model'!BD$353:BD$381)</f>
        <v>0</v>
      </c>
      <c r="AP22" s="44">
        <f>SUMIF('OS Acq model'!$C$353:$C$381,Summary!$A22,'OS Acq model'!BE$353:BE$381)</f>
        <v>0</v>
      </c>
      <c r="AQ22" s="44">
        <f>SUMIF('OS Acq model'!$C$353:$C$381,Summary!$A22,'OS Acq model'!BF$353:BF$381)</f>
        <v>0</v>
      </c>
      <c r="AR22" s="44">
        <f>SUMIF('OS Acq model'!$C$353:$C$381,Summary!$A22,'OS Acq model'!BG$353:BG$381)</f>
        <v>0</v>
      </c>
    </row>
    <row r="23" spans="1:44" s="2" customFormat="1" x14ac:dyDescent="0.3">
      <c r="A23" s="2" t="str">
        <f>'OS Acq model'!B365</f>
        <v>Redhills</v>
      </c>
      <c r="B23" s="53">
        <v>30</v>
      </c>
      <c r="C23" s="55">
        <v>0</v>
      </c>
      <c r="D23" s="56">
        <f t="shared" si="1"/>
        <v>1</v>
      </c>
      <c r="E23" s="14">
        <f t="shared" si="9"/>
        <v>0.90126246947421962</v>
      </c>
      <c r="F23" s="14">
        <f t="shared" si="0"/>
        <v>0.95063123473710975</v>
      </c>
      <c r="G23" s="44">
        <f t="shared" si="3"/>
        <v>281.93753723822442</v>
      </c>
      <c r="H23" s="44">
        <f t="shared" si="4"/>
        <v>86.098507823793028</v>
      </c>
      <c r="I23" s="44">
        <f t="shared" si="5"/>
        <v>195.83902941443139</v>
      </c>
      <c r="J23" s="44">
        <f t="shared" si="6"/>
        <v>0</v>
      </c>
      <c r="K23" s="44">
        <f t="shared" si="7"/>
        <v>0</v>
      </c>
      <c r="L23" s="44">
        <f t="shared" si="8"/>
        <v>281.93753723822442</v>
      </c>
      <c r="M23" s="44">
        <f>SUMIF('OS Acq model'!$C$353:$C$381,Summary!$A23,'OS Acq model'!AB$353:AB$381)</f>
        <v>5.3481073224151432</v>
      </c>
      <c r="N23" s="44">
        <f>SUMIF('OS Acq model'!$C$353:$C$381,Summary!$A23,'OS Acq model'!AC$353:AC$381)</f>
        <v>3.6166458776773429</v>
      </c>
      <c r="O23" s="44">
        <f>SUMIF('OS Acq model'!$C$353:$C$381,Summary!$A23,'OS Acq model'!AD$353:AD$381)</f>
        <v>2.9315039678484451</v>
      </c>
      <c r="P23" s="44">
        <f>SUMIF('OS Acq model'!$C$353:$C$381,Summary!$A23,'OS Acq model'!AE$353:AE$381)</f>
        <v>3.9957668628198202</v>
      </c>
      <c r="Q23" s="44">
        <f>SUMIF('OS Acq model'!$C$353:$C$381,Summary!$A23,'OS Acq model'!AF$353:AF$381)</f>
        <v>6.6066033654845526</v>
      </c>
      <c r="R23" s="44">
        <f>SUMIF('OS Acq model'!$C$353:$C$381,Summary!$A23,'OS Acq model'!AG$353:AG$381)</f>
        <v>15.751215395524204</v>
      </c>
      <c r="S23" s="44">
        <f>SUMIF('OS Acq model'!$C$353:$C$381,Summary!$A23,'OS Acq model'!AH$353:AH$381)</f>
        <v>13.904113374297348</v>
      </c>
      <c r="T23" s="44">
        <f>SUMIF('OS Acq model'!$C$353:$C$381,Summary!$A23,'OS Acq model'!AI$353:AI$381)</f>
        <v>15.991537067999486</v>
      </c>
      <c r="U23" s="44">
        <f>SUMIF('OS Acq model'!$C$353:$C$381,Summary!$A23,'OS Acq model'!AJ$353:AJ$381)</f>
        <v>13.379713901153121</v>
      </c>
      <c r="V23" s="44">
        <f>SUMIF('OS Acq model'!$C$353:$C$381,Summary!$A23,'OS Acq model'!AK$353:AK$381)</f>
        <v>4.5733006885735623</v>
      </c>
      <c r="W23" s="44">
        <f>SUMIF('OS Acq model'!$C$353:$C$381,Summary!$A23,'OS Acq model'!AL$353:AL$381)</f>
        <v>32.642071455482267</v>
      </c>
      <c r="X23" s="44">
        <f>SUMIF('OS Acq model'!$C$353:$C$381,Summary!$A23,'OS Acq model'!AM$353:AM$381)</f>
        <v>35.378584376484106</v>
      </c>
      <c r="Y23" s="44">
        <f>SUMIF('OS Acq model'!$C$353:$C$381,Summary!$A23,'OS Acq model'!AN$353:AN$381)</f>
        <v>38.410400815744389</v>
      </c>
      <c r="Z23" s="44">
        <f>SUMIF('OS Acq model'!$C$353:$C$381,Summary!$A23,'OS Acq model'!AO$353:AO$381)</f>
        <v>38.795649524362872</v>
      </c>
      <c r="AA23" s="44">
        <f>SUMIF('OS Acq model'!$C$353:$C$381,Summary!$A23,'OS Acq model'!AP$353:AP$381)</f>
        <v>19.691041309112148</v>
      </c>
      <c r="AB23" s="44">
        <f>SUMIF('OS Acq model'!$C$353:$C$381,Summary!$A23,'OS Acq model'!AQ$353:AQ$381)</f>
        <v>22.66958015860742</v>
      </c>
      <c r="AC23" s="44">
        <f>SUMIF('OS Acq model'!$C$353:$C$381,Summary!$A23,'OS Acq model'!AR$353:AR$381)</f>
        <v>8.2517017746381836</v>
      </c>
      <c r="AD23" s="44">
        <f>SUMIF('OS Acq model'!$C$353:$C$381,Summary!$A23,'OS Acq model'!AS$353:AS$381)</f>
        <v>0</v>
      </c>
      <c r="AE23" s="44">
        <f>SUMIF('OS Acq model'!$C$353:$C$381,Summary!$A23,'OS Acq model'!AT$353:AT$381)</f>
        <v>0</v>
      </c>
      <c r="AF23" s="44">
        <f>SUMIF('OS Acq model'!$C$353:$C$381,Summary!$A23,'OS Acq model'!AU$353:AU$381)</f>
        <v>0</v>
      </c>
      <c r="AG23" s="44">
        <f>SUMIF('OS Acq model'!$C$353:$C$381,Summary!$A23,'OS Acq model'!AV$353:AV$381)</f>
        <v>0</v>
      </c>
      <c r="AH23" s="44">
        <f>SUMIF('OS Acq model'!$C$353:$C$381,Summary!$A23,'OS Acq model'!AW$353:AW$381)</f>
        <v>0</v>
      </c>
      <c r="AI23" s="44">
        <f>SUMIF('OS Acq model'!$C$353:$C$381,Summary!$A23,'OS Acq model'!AX$353:AX$381)</f>
        <v>0</v>
      </c>
      <c r="AJ23" s="44">
        <f>SUMIF('OS Acq model'!$C$353:$C$381,Summary!$A23,'OS Acq model'!AY$353:AY$381)</f>
        <v>0</v>
      </c>
      <c r="AK23" s="44">
        <f>SUMIF('OS Acq model'!$C$353:$C$381,Summary!$A23,'OS Acq model'!AZ$353:AZ$381)</f>
        <v>0</v>
      </c>
      <c r="AL23" s="44">
        <f>SUMIF('OS Acq model'!$C$353:$C$381,Summary!$A23,'OS Acq model'!BA$353:BA$381)</f>
        <v>0</v>
      </c>
      <c r="AM23" s="44">
        <f>SUMIF('OS Acq model'!$C$353:$C$381,Summary!$A23,'OS Acq model'!BB$353:BB$381)</f>
        <v>0</v>
      </c>
      <c r="AN23" s="44">
        <f>SUMIF('OS Acq model'!$C$353:$C$381,Summary!$A23,'OS Acq model'!BC$353:BC$381)</f>
        <v>0</v>
      </c>
      <c r="AO23" s="44">
        <f>SUMIF('OS Acq model'!$C$353:$C$381,Summary!$A23,'OS Acq model'!BD$353:BD$381)</f>
        <v>0</v>
      </c>
      <c r="AP23" s="44">
        <f>SUMIF('OS Acq model'!$C$353:$C$381,Summary!$A23,'OS Acq model'!BE$353:BE$381)</f>
        <v>0</v>
      </c>
      <c r="AQ23" s="44">
        <f>SUMIF('OS Acq model'!$C$353:$C$381,Summary!$A23,'OS Acq model'!BF$353:BF$381)</f>
        <v>0</v>
      </c>
      <c r="AR23" s="44">
        <f>SUMIF('OS Acq model'!$C$353:$C$381,Summary!$A23,'OS Acq model'!BG$353:BG$381)</f>
        <v>0</v>
      </c>
    </row>
    <row r="24" spans="1:44" s="2" customFormat="1" x14ac:dyDescent="0.3">
      <c r="A24" s="2" t="str">
        <f>'OS Acq model'!B367</f>
        <v>Roskill</v>
      </c>
      <c r="B24" s="53">
        <v>30</v>
      </c>
      <c r="C24" s="55">
        <v>1</v>
      </c>
      <c r="D24" s="56">
        <f t="shared" si="1"/>
        <v>0</v>
      </c>
      <c r="E24" s="14">
        <f t="shared" si="9"/>
        <v>0.32989953662301963</v>
      </c>
      <c r="F24" s="14">
        <f t="shared" si="0"/>
        <v>0.16494976831150981</v>
      </c>
      <c r="G24" s="44">
        <f t="shared" si="3"/>
        <v>6.091243395087572</v>
      </c>
      <c r="H24" s="44">
        <f t="shared" si="4"/>
        <v>6.091243395087572</v>
      </c>
      <c r="I24" s="44">
        <f t="shared" si="5"/>
        <v>0</v>
      </c>
      <c r="J24" s="44">
        <f t="shared" si="6"/>
        <v>0</v>
      </c>
      <c r="K24" s="44">
        <f t="shared" si="7"/>
        <v>0</v>
      </c>
      <c r="L24" s="44">
        <f t="shared" si="8"/>
        <v>6.091243395087572</v>
      </c>
      <c r="M24" s="44">
        <f>SUMIF('OS Acq model'!$C$353:$C$381,Summary!$A24,'OS Acq model'!AB$353:AB$381)</f>
        <v>1.900657777777778</v>
      </c>
      <c r="N24" s="44">
        <f>SUMIF('OS Acq model'!$C$353:$C$381,Summary!$A24,'OS Acq model'!AC$353:AC$381)</f>
        <v>2.0452788577649224</v>
      </c>
      <c r="O24" s="44">
        <f>SUMIF('OS Acq model'!$C$353:$C$381,Summary!$A24,'OS Acq model'!AD$353:AD$381)</f>
        <v>2.1330985232578441</v>
      </c>
      <c r="P24" s="44">
        <f>SUMIF('OS Acq model'!$C$353:$C$381,Summary!$A24,'OS Acq model'!AE$353:AE$381)</f>
        <v>1.2208236287027855E-2</v>
      </c>
      <c r="Q24" s="44">
        <f>SUMIF('OS Acq model'!$C$353:$C$381,Summary!$A24,'OS Acq model'!AF$353:AF$381)</f>
        <v>0</v>
      </c>
      <c r="R24" s="44">
        <f>SUMIF('OS Acq model'!$C$353:$C$381,Summary!$A24,'OS Acq model'!AG$353:AG$381)</f>
        <v>0</v>
      </c>
      <c r="S24" s="44">
        <f>SUMIF('OS Acq model'!$C$353:$C$381,Summary!$A24,'OS Acq model'!AH$353:AH$381)</f>
        <v>0</v>
      </c>
      <c r="T24" s="44">
        <f>SUMIF('OS Acq model'!$C$353:$C$381,Summary!$A24,'OS Acq model'!AI$353:AI$381)</f>
        <v>0</v>
      </c>
      <c r="U24" s="44">
        <f>SUMIF('OS Acq model'!$C$353:$C$381,Summary!$A24,'OS Acq model'!AJ$353:AJ$381)</f>
        <v>0</v>
      </c>
      <c r="V24" s="44">
        <f>SUMIF('OS Acq model'!$C$353:$C$381,Summary!$A24,'OS Acq model'!AK$353:AK$381)</f>
        <v>0</v>
      </c>
      <c r="W24" s="44">
        <f>SUMIF('OS Acq model'!$C$353:$C$381,Summary!$A24,'OS Acq model'!AL$353:AL$381)</f>
        <v>0</v>
      </c>
      <c r="X24" s="44">
        <f>SUMIF('OS Acq model'!$C$353:$C$381,Summary!$A24,'OS Acq model'!AM$353:AM$381)</f>
        <v>0</v>
      </c>
      <c r="Y24" s="44">
        <f>SUMIF('OS Acq model'!$C$353:$C$381,Summary!$A24,'OS Acq model'!AN$353:AN$381)</f>
        <v>0</v>
      </c>
      <c r="Z24" s="44">
        <f>SUMIF('OS Acq model'!$C$353:$C$381,Summary!$A24,'OS Acq model'!AO$353:AO$381)</f>
        <v>0</v>
      </c>
      <c r="AA24" s="44">
        <f>SUMIF('OS Acq model'!$C$353:$C$381,Summary!$A24,'OS Acq model'!AP$353:AP$381)</f>
        <v>0</v>
      </c>
      <c r="AB24" s="44">
        <f>SUMIF('OS Acq model'!$C$353:$C$381,Summary!$A24,'OS Acq model'!AQ$353:AQ$381)</f>
        <v>0</v>
      </c>
      <c r="AC24" s="44">
        <f>SUMIF('OS Acq model'!$C$353:$C$381,Summary!$A24,'OS Acq model'!AR$353:AR$381)</f>
        <v>0</v>
      </c>
      <c r="AD24" s="44">
        <f>SUMIF('OS Acq model'!$C$353:$C$381,Summary!$A24,'OS Acq model'!AS$353:AS$381)</f>
        <v>0</v>
      </c>
      <c r="AE24" s="44">
        <f>SUMIF('OS Acq model'!$C$353:$C$381,Summary!$A24,'OS Acq model'!AT$353:AT$381)</f>
        <v>0</v>
      </c>
      <c r="AF24" s="44">
        <f>SUMIF('OS Acq model'!$C$353:$C$381,Summary!$A24,'OS Acq model'!AU$353:AU$381)</f>
        <v>0</v>
      </c>
      <c r="AG24" s="44">
        <f>SUMIF('OS Acq model'!$C$353:$C$381,Summary!$A24,'OS Acq model'!AV$353:AV$381)</f>
        <v>0</v>
      </c>
      <c r="AH24" s="44">
        <f>SUMIF('OS Acq model'!$C$353:$C$381,Summary!$A24,'OS Acq model'!AW$353:AW$381)</f>
        <v>0</v>
      </c>
      <c r="AI24" s="44">
        <f>SUMIF('OS Acq model'!$C$353:$C$381,Summary!$A24,'OS Acq model'!AX$353:AX$381)</f>
        <v>0</v>
      </c>
      <c r="AJ24" s="44">
        <f>SUMIF('OS Acq model'!$C$353:$C$381,Summary!$A24,'OS Acq model'!AY$353:AY$381)</f>
        <v>0</v>
      </c>
      <c r="AK24" s="44">
        <f>SUMIF('OS Acq model'!$C$353:$C$381,Summary!$A24,'OS Acq model'!AZ$353:AZ$381)</f>
        <v>0</v>
      </c>
      <c r="AL24" s="44">
        <f>SUMIF('OS Acq model'!$C$353:$C$381,Summary!$A24,'OS Acq model'!BA$353:BA$381)</f>
        <v>0</v>
      </c>
      <c r="AM24" s="44">
        <f>SUMIF('OS Acq model'!$C$353:$C$381,Summary!$A24,'OS Acq model'!BB$353:BB$381)</f>
        <v>0</v>
      </c>
      <c r="AN24" s="44">
        <f>SUMIF('OS Acq model'!$C$353:$C$381,Summary!$A24,'OS Acq model'!BC$353:BC$381)</f>
        <v>0</v>
      </c>
      <c r="AO24" s="44">
        <f>SUMIF('OS Acq model'!$C$353:$C$381,Summary!$A24,'OS Acq model'!BD$353:BD$381)</f>
        <v>0</v>
      </c>
      <c r="AP24" s="44">
        <f>SUMIF('OS Acq model'!$C$353:$C$381,Summary!$A24,'OS Acq model'!BE$353:BE$381)</f>
        <v>0</v>
      </c>
      <c r="AQ24" s="44">
        <f>SUMIF('OS Acq model'!$C$353:$C$381,Summary!$A24,'OS Acq model'!BF$353:BF$381)</f>
        <v>0</v>
      </c>
      <c r="AR24" s="44">
        <f>SUMIF('OS Acq model'!$C$353:$C$381,Summary!$A24,'OS Acq model'!BG$353:BG$381)</f>
        <v>0</v>
      </c>
    </row>
    <row r="25" spans="1:44" s="2" customFormat="1" x14ac:dyDescent="0.3">
      <c r="A25" s="2" t="str">
        <f>'OS Acq model'!B369</f>
        <v>Mangere</v>
      </c>
      <c r="B25" s="53">
        <v>30</v>
      </c>
      <c r="C25" s="55">
        <v>1</v>
      </c>
      <c r="D25" s="56">
        <f t="shared" si="1"/>
        <v>0</v>
      </c>
      <c r="E25" s="14">
        <f t="shared" si="9"/>
        <v>0.47356248778247079</v>
      </c>
      <c r="F25" s="14">
        <f t="shared" si="0"/>
        <v>0.23678124389123539</v>
      </c>
      <c r="G25" s="44">
        <f t="shared" si="3"/>
        <v>3.5292948738431273</v>
      </c>
      <c r="H25" s="44">
        <f t="shared" si="4"/>
        <v>3.5292948738431273</v>
      </c>
      <c r="I25" s="44">
        <f t="shared" si="5"/>
        <v>0</v>
      </c>
      <c r="J25" s="44">
        <f t="shared" si="6"/>
        <v>0</v>
      </c>
      <c r="K25" s="44">
        <f t="shared" si="7"/>
        <v>0</v>
      </c>
      <c r="L25" s="44">
        <f t="shared" si="8"/>
        <v>3.5292948738431273</v>
      </c>
      <c r="M25" s="44">
        <f>SUMIF('OS Acq model'!$C$353:$C$381,Summary!$A25,'OS Acq model'!AB$353:AB$381)</f>
        <v>1.0965333333333334</v>
      </c>
      <c r="N25" s="44">
        <f>SUMIF('OS Acq model'!$C$353:$C$381,Summary!$A25,'OS Acq model'!AC$353:AC$381)</f>
        <v>1.1848657022093667</v>
      </c>
      <c r="O25" s="44">
        <f>SUMIF('OS Acq model'!$C$353:$C$381,Summary!$A25,'OS Acq model'!AD$353:AD$381)</f>
        <v>1.2356876020133998</v>
      </c>
      <c r="P25" s="44">
        <f>SUMIF('OS Acq model'!$C$353:$C$381,Summary!$A25,'OS Acq model'!AE$353:AE$381)</f>
        <v>1.2208236287027855E-2</v>
      </c>
      <c r="Q25" s="44">
        <f>SUMIF('OS Acq model'!$C$353:$C$381,Summary!$A25,'OS Acq model'!AF$353:AF$381)</f>
        <v>0</v>
      </c>
      <c r="R25" s="44">
        <f>SUMIF('OS Acq model'!$C$353:$C$381,Summary!$A25,'OS Acq model'!AG$353:AG$381)</f>
        <v>0</v>
      </c>
      <c r="S25" s="44">
        <f>SUMIF('OS Acq model'!$C$353:$C$381,Summary!$A25,'OS Acq model'!AH$353:AH$381)</f>
        <v>0</v>
      </c>
      <c r="T25" s="44">
        <f>SUMIF('OS Acq model'!$C$353:$C$381,Summary!$A25,'OS Acq model'!AI$353:AI$381)</f>
        <v>0</v>
      </c>
      <c r="U25" s="44">
        <f>SUMIF('OS Acq model'!$C$353:$C$381,Summary!$A25,'OS Acq model'!AJ$353:AJ$381)</f>
        <v>0</v>
      </c>
      <c r="V25" s="44">
        <f>SUMIF('OS Acq model'!$C$353:$C$381,Summary!$A25,'OS Acq model'!AK$353:AK$381)</f>
        <v>0</v>
      </c>
      <c r="W25" s="44">
        <f>SUMIF('OS Acq model'!$C$353:$C$381,Summary!$A25,'OS Acq model'!AL$353:AL$381)</f>
        <v>0</v>
      </c>
      <c r="X25" s="44">
        <f>SUMIF('OS Acq model'!$C$353:$C$381,Summary!$A25,'OS Acq model'!AM$353:AM$381)</f>
        <v>0</v>
      </c>
      <c r="Y25" s="44">
        <f>SUMIF('OS Acq model'!$C$353:$C$381,Summary!$A25,'OS Acq model'!AN$353:AN$381)</f>
        <v>0</v>
      </c>
      <c r="Z25" s="44">
        <f>SUMIF('OS Acq model'!$C$353:$C$381,Summary!$A25,'OS Acq model'!AO$353:AO$381)</f>
        <v>0</v>
      </c>
      <c r="AA25" s="44">
        <f>SUMIF('OS Acq model'!$C$353:$C$381,Summary!$A25,'OS Acq model'!AP$353:AP$381)</f>
        <v>0</v>
      </c>
      <c r="AB25" s="44">
        <f>SUMIF('OS Acq model'!$C$353:$C$381,Summary!$A25,'OS Acq model'!AQ$353:AQ$381)</f>
        <v>0</v>
      </c>
      <c r="AC25" s="44">
        <f>SUMIF('OS Acq model'!$C$353:$C$381,Summary!$A25,'OS Acq model'!AR$353:AR$381)</f>
        <v>0</v>
      </c>
      <c r="AD25" s="44">
        <f>SUMIF('OS Acq model'!$C$353:$C$381,Summary!$A25,'OS Acq model'!AS$353:AS$381)</f>
        <v>0</v>
      </c>
      <c r="AE25" s="44">
        <f>SUMIF('OS Acq model'!$C$353:$C$381,Summary!$A25,'OS Acq model'!AT$353:AT$381)</f>
        <v>0</v>
      </c>
      <c r="AF25" s="44">
        <f>SUMIF('OS Acq model'!$C$353:$C$381,Summary!$A25,'OS Acq model'!AU$353:AU$381)</f>
        <v>0</v>
      </c>
      <c r="AG25" s="44">
        <f>SUMIF('OS Acq model'!$C$353:$C$381,Summary!$A25,'OS Acq model'!AV$353:AV$381)</f>
        <v>0</v>
      </c>
      <c r="AH25" s="44">
        <f>SUMIF('OS Acq model'!$C$353:$C$381,Summary!$A25,'OS Acq model'!AW$353:AW$381)</f>
        <v>0</v>
      </c>
      <c r="AI25" s="44">
        <f>SUMIF('OS Acq model'!$C$353:$C$381,Summary!$A25,'OS Acq model'!AX$353:AX$381)</f>
        <v>0</v>
      </c>
      <c r="AJ25" s="44">
        <f>SUMIF('OS Acq model'!$C$353:$C$381,Summary!$A25,'OS Acq model'!AY$353:AY$381)</f>
        <v>0</v>
      </c>
      <c r="AK25" s="44">
        <f>SUMIF('OS Acq model'!$C$353:$C$381,Summary!$A25,'OS Acq model'!AZ$353:AZ$381)</f>
        <v>0</v>
      </c>
      <c r="AL25" s="44">
        <f>SUMIF('OS Acq model'!$C$353:$C$381,Summary!$A25,'OS Acq model'!BA$353:BA$381)</f>
        <v>0</v>
      </c>
      <c r="AM25" s="44">
        <f>SUMIF('OS Acq model'!$C$353:$C$381,Summary!$A25,'OS Acq model'!BB$353:BB$381)</f>
        <v>0</v>
      </c>
      <c r="AN25" s="44">
        <f>SUMIF('OS Acq model'!$C$353:$C$381,Summary!$A25,'OS Acq model'!BC$353:BC$381)</f>
        <v>0</v>
      </c>
      <c r="AO25" s="44">
        <f>SUMIF('OS Acq model'!$C$353:$C$381,Summary!$A25,'OS Acq model'!BD$353:BD$381)</f>
        <v>0</v>
      </c>
      <c r="AP25" s="44">
        <f>SUMIF('OS Acq model'!$C$353:$C$381,Summary!$A25,'OS Acq model'!BE$353:BE$381)</f>
        <v>0</v>
      </c>
      <c r="AQ25" s="44">
        <f>SUMIF('OS Acq model'!$C$353:$C$381,Summary!$A25,'OS Acq model'!BF$353:BF$381)</f>
        <v>0</v>
      </c>
      <c r="AR25" s="44">
        <f>SUMIF('OS Acq model'!$C$353:$C$381,Summary!$A25,'OS Acq model'!BG$353:BG$381)</f>
        <v>0</v>
      </c>
    </row>
    <row r="26" spans="1:44" s="2" customFormat="1" x14ac:dyDescent="0.3">
      <c r="A26" s="9" t="s">
        <v>32</v>
      </c>
      <c r="B26" s="57">
        <v>10</v>
      </c>
      <c r="C26" s="58">
        <v>1</v>
      </c>
      <c r="D26" s="59">
        <f t="shared" si="1"/>
        <v>0</v>
      </c>
      <c r="E26" s="14">
        <f t="shared" si="9"/>
        <v>0.19490800640336836</v>
      </c>
      <c r="F26" s="14">
        <f t="shared" si="0"/>
        <v>9.7454003201684181E-2</v>
      </c>
      <c r="G26" s="44">
        <f t="shared" ref="G26" si="10">SUM(M26:AP26)</f>
        <v>71.091368609090424</v>
      </c>
      <c r="H26" s="44">
        <f t="shared" ref="H26" si="11">SUM(M26:V26)</f>
        <v>0</v>
      </c>
      <c r="I26" s="44">
        <f t="shared" ref="I26" si="12">SUM(W26:AF26)</f>
        <v>71.091368609090424</v>
      </c>
      <c r="J26" s="44">
        <f t="shared" ref="J26" si="13">SUM(AG26:AP26)</f>
        <v>0</v>
      </c>
      <c r="K26" s="44">
        <f t="shared" ref="K26" si="14">SUM(AQ26:AR26)</f>
        <v>0</v>
      </c>
      <c r="L26" s="44">
        <f t="shared" si="8"/>
        <v>71.091368609090424</v>
      </c>
      <c r="M26" s="44">
        <f>SUMIF('OS Acq model'!$C$353:$C$381,Summary!$A26,'OS Acq model'!AB$353:AB$381)</f>
        <v>0</v>
      </c>
      <c r="N26" s="44">
        <f>SUMIF('OS Acq model'!$C$353:$C$381,Summary!$A26,'OS Acq model'!AC$353:AC$381)</f>
        <v>0</v>
      </c>
      <c r="O26" s="44">
        <f>SUMIF('OS Acq model'!$C$353:$C$381,Summary!$A26,'OS Acq model'!AD$353:AD$381)</f>
        <v>0</v>
      </c>
      <c r="P26" s="44">
        <f>SUMIF('OS Acq model'!$C$353:$C$381,Summary!$A26,'OS Acq model'!AE$353:AE$381)</f>
        <v>0</v>
      </c>
      <c r="Q26" s="44">
        <f>SUMIF('OS Acq model'!$C$353:$C$381,Summary!$A26,'OS Acq model'!AF$353:AF$381)</f>
        <v>0</v>
      </c>
      <c r="R26" s="44">
        <f>SUMIF('OS Acq model'!$C$353:$C$381,Summary!$A26,'OS Acq model'!AG$353:AG$381)</f>
        <v>0</v>
      </c>
      <c r="S26" s="44">
        <f>SUMIF('OS Acq model'!$C$353:$C$381,Summary!$A26,'OS Acq model'!AH$353:AH$381)</f>
        <v>0</v>
      </c>
      <c r="T26" s="44">
        <f>SUMIF('OS Acq model'!$C$353:$C$381,Summary!$A26,'OS Acq model'!AI$353:AI$381)</f>
        <v>0</v>
      </c>
      <c r="U26" s="44">
        <f>SUMIF('OS Acq model'!$C$353:$C$381,Summary!$A26,'OS Acq model'!AJ$353:AJ$381)</f>
        <v>0</v>
      </c>
      <c r="V26" s="44">
        <f>SUMIF('OS Acq model'!$C$353:$C$381,Summary!$A26,'OS Acq model'!AK$353:AK$381)</f>
        <v>0</v>
      </c>
      <c r="W26" s="44">
        <f>SUMIF('OS Acq model'!$C$353:$C$381,Summary!$A26,'OS Acq model'!AL$353:AL$381)</f>
        <v>5.5087350199265179</v>
      </c>
      <c r="X26" s="44">
        <f>SUMIF('OS Acq model'!$C$353:$C$381,Summary!$A26,'OS Acq model'!AM$353:AM$381)</f>
        <v>5.9714934267881929</v>
      </c>
      <c r="Y26" s="44">
        <f>SUMIF('OS Acq model'!$C$353:$C$381,Summary!$A26,'OS Acq model'!AN$353:AN$381)</f>
        <v>6.4844402235852963</v>
      </c>
      <c r="Z26" s="44">
        <f>SUMIF('OS Acq model'!$C$353:$C$381,Summary!$A26,'OS Acq model'!AO$353:AO$381)</f>
        <v>6.6625107854762096</v>
      </c>
      <c r="AA26" s="44">
        <f>SUMIF('OS Acq model'!$C$353:$C$381,Summary!$A26,'OS Acq model'!AP$353:AP$381)</f>
        <v>3.3814364494008728</v>
      </c>
      <c r="AB26" s="44">
        <f>SUMIF('OS Acq model'!$C$353:$C$381,Summary!$A26,'OS Acq model'!AQ$353:AQ$381)</f>
        <v>3.8927336607604461</v>
      </c>
      <c r="AC26" s="44">
        <f>SUMIF('OS Acq model'!$C$353:$C$381,Summary!$A26,'OS Acq model'!AR$353:AR$381)</f>
        <v>18.924332049641922</v>
      </c>
      <c r="AD26" s="44">
        <f>SUMIF('OS Acq model'!$C$353:$C$381,Summary!$A26,'OS Acq model'!AS$353:AS$381)</f>
        <v>20.265686993510968</v>
      </c>
      <c r="AE26" s="44">
        <f>SUMIF('OS Acq model'!$C$353:$C$381,Summary!$A26,'OS Acq model'!AT$353:AT$381)</f>
        <v>0</v>
      </c>
      <c r="AF26" s="44">
        <f>SUMIF('OS Acq model'!$C$353:$C$381,Summary!$A26,'OS Acq model'!AU$353:AU$381)</f>
        <v>0</v>
      </c>
      <c r="AG26" s="44">
        <f>SUMIF('OS Acq model'!$C$353:$C$381,Summary!$A26,'OS Acq model'!AV$353:AV$381)</f>
        <v>0</v>
      </c>
      <c r="AH26" s="44">
        <f>SUMIF('OS Acq model'!$C$353:$C$381,Summary!$A26,'OS Acq model'!AW$353:AW$381)</f>
        <v>0</v>
      </c>
      <c r="AI26" s="44">
        <f>SUMIF('OS Acq model'!$C$353:$C$381,Summary!$A26,'OS Acq model'!AX$353:AX$381)</f>
        <v>0</v>
      </c>
      <c r="AJ26" s="44">
        <f>SUMIF('OS Acq model'!$C$353:$C$381,Summary!$A26,'OS Acq model'!AY$353:AY$381)</f>
        <v>0</v>
      </c>
      <c r="AK26" s="44">
        <f>SUMIF('OS Acq model'!$C$353:$C$381,Summary!$A26,'OS Acq model'!AZ$353:AZ$381)</f>
        <v>0</v>
      </c>
      <c r="AL26" s="44">
        <f>SUMIF('OS Acq model'!$C$353:$C$381,Summary!$A26,'OS Acq model'!BA$353:BA$381)</f>
        <v>0</v>
      </c>
      <c r="AM26" s="44">
        <f>SUMIF('OS Acq model'!$C$353:$C$381,Summary!$A26,'OS Acq model'!BB$353:BB$381)</f>
        <v>0</v>
      </c>
      <c r="AN26" s="44">
        <f>SUMIF('OS Acq model'!$C$353:$C$381,Summary!$A26,'OS Acq model'!BC$353:BC$381)</f>
        <v>0</v>
      </c>
      <c r="AO26" s="44">
        <f>SUMIF('OS Acq model'!$C$353:$C$381,Summary!$A26,'OS Acq model'!BD$353:BD$381)</f>
        <v>0</v>
      </c>
      <c r="AP26" s="44">
        <f>SUMIF('OS Acq model'!$C$353:$C$381,Summary!$A26,'OS Acq model'!BE$353:BE$381)</f>
        <v>0</v>
      </c>
      <c r="AQ26" s="44">
        <f>SUMIF('OS Acq model'!$C$353:$C$381,Summary!$A26,'OS Acq model'!BF$353:BF$381)</f>
        <v>0</v>
      </c>
      <c r="AR26" s="44">
        <f>SUMIF('OS Acq model'!$C$353:$C$381,Summary!$A26,'OS Acq model'!BG$353:BG$381)</f>
        <v>0</v>
      </c>
    </row>
    <row r="27" spans="1:44" s="2" customFormat="1" x14ac:dyDescent="0.3">
      <c r="A27" s="2" t="str">
        <f>'OS Acq model'!B373</f>
        <v>South (West)</v>
      </c>
      <c r="B27" s="53">
        <v>10</v>
      </c>
      <c r="C27" s="55">
        <v>0</v>
      </c>
      <c r="D27" s="56">
        <f t="shared" si="1"/>
        <v>1</v>
      </c>
      <c r="E27" s="14">
        <f t="shared" ref="E27" si="15">1-F60</f>
        <v>0.13885646681220931</v>
      </c>
      <c r="F27" s="14">
        <f t="shared" si="0"/>
        <v>0.56942823340610471</v>
      </c>
      <c r="G27" s="44">
        <f t="shared" si="3"/>
        <v>9.5397638380256744</v>
      </c>
      <c r="H27" s="44">
        <f t="shared" si="4"/>
        <v>1.6312512207156011</v>
      </c>
      <c r="I27" s="44">
        <f t="shared" si="5"/>
        <v>7.9085126173100733</v>
      </c>
      <c r="J27" s="44">
        <f t="shared" si="6"/>
        <v>0</v>
      </c>
      <c r="K27" s="44">
        <f t="shared" si="7"/>
        <v>0</v>
      </c>
      <c r="L27" s="44">
        <f t="shared" si="8"/>
        <v>9.5397638380256744</v>
      </c>
      <c r="M27" s="44">
        <f>SUMIF('OS Acq model'!$C$353:$C$381,Summary!$A27,'OS Acq model'!AB$353:AB$381)</f>
        <v>0</v>
      </c>
      <c r="N27" s="44">
        <f>SUMIF('OS Acq model'!$C$353:$C$381,Summary!$A27,'OS Acq model'!AC$353:AC$381)</f>
        <v>0</v>
      </c>
      <c r="O27" s="44">
        <f>SUMIF('OS Acq model'!$C$353:$C$381,Summary!$A27,'OS Acq model'!AD$353:AD$381)</f>
        <v>0</v>
      </c>
      <c r="P27" s="44">
        <f>SUMIF('OS Acq model'!$C$353:$C$381,Summary!$A27,'OS Acq model'!AE$353:AE$381)</f>
        <v>0</v>
      </c>
      <c r="Q27" s="44">
        <f>SUMIF('OS Acq model'!$C$353:$C$381,Summary!$A27,'OS Acq model'!AF$353:AF$381)</f>
        <v>0</v>
      </c>
      <c r="R27" s="44">
        <f>SUMIF('OS Acq model'!$C$353:$C$381,Summary!$A27,'OS Acq model'!AG$353:AG$381)</f>
        <v>0</v>
      </c>
      <c r="S27" s="44">
        <f>SUMIF('OS Acq model'!$C$353:$C$381,Summary!$A27,'OS Acq model'!AH$353:AH$381)</f>
        <v>0</v>
      </c>
      <c r="T27" s="44">
        <f>SUMIF('OS Acq model'!$C$353:$C$381,Summary!$A27,'OS Acq model'!AI$353:AI$381)</f>
        <v>0.37382090066308915</v>
      </c>
      <c r="U27" s="44">
        <f>SUMIF('OS Acq model'!$C$353:$C$381,Summary!$A27,'OS Acq model'!AJ$353:AJ$381)</f>
        <v>0.40026429336592684</v>
      </c>
      <c r="V27" s="44">
        <f>SUMIF('OS Acq model'!$C$353:$C$381,Summary!$A27,'OS Acq model'!AK$353:AK$381)</f>
        <v>0.85716602668658526</v>
      </c>
      <c r="W27" s="44">
        <f>SUMIF('OS Acq model'!$C$353:$C$381,Summary!$A27,'OS Acq model'!AL$353:AL$381)</f>
        <v>2.2945508072615799</v>
      </c>
      <c r="X27" s="44">
        <f>SUMIF('OS Acq model'!$C$353:$C$381,Summary!$A27,'OS Acq model'!AM$353:AM$381)</f>
        <v>2.4569414383431805</v>
      </c>
      <c r="Y27" s="44">
        <f>SUMIF('OS Acq model'!$C$353:$C$381,Summary!$A27,'OS Acq model'!AN$353:AN$381)</f>
        <v>3.1570203717053134</v>
      </c>
      <c r="Z27" s="44">
        <f>SUMIF('OS Acq model'!$C$353:$C$381,Summary!$A27,'OS Acq model'!AO$353:AO$381)</f>
        <v>0</v>
      </c>
      <c r="AA27" s="44">
        <f>SUMIF('OS Acq model'!$C$353:$C$381,Summary!$A27,'OS Acq model'!AP$353:AP$381)</f>
        <v>0</v>
      </c>
      <c r="AB27" s="44">
        <f>SUMIF('OS Acq model'!$C$353:$C$381,Summary!$A27,'OS Acq model'!AQ$353:AQ$381)</f>
        <v>0</v>
      </c>
      <c r="AC27" s="44">
        <f>SUMIF('OS Acq model'!$C$353:$C$381,Summary!$A27,'OS Acq model'!AR$353:AR$381)</f>
        <v>0</v>
      </c>
      <c r="AD27" s="44">
        <f>SUMIF('OS Acq model'!$C$353:$C$381,Summary!$A27,'OS Acq model'!AS$353:AS$381)</f>
        <v>0</v>
      </c>
      <c r="AE27" s="44">
        <f>SUMIF('OS Acq model'!$C$353:$C$381,Summary!$A27,'OS Acq model'!AT$353:AT$381)</f>
        <v>0</v>
      </c>
      <c r="AF27" s="44">
        <f>SUMIF('OS Acq model'!$C$353:$C$381,Summary!$A27,'OS Acq model'!AU$353:AU$381)</f>
        <v>0</v>
      </c>
      <c r="AG27" s="44">
        <f>SUMIF('OS Acq model'!$C$353:$C$381,Summary!$A27,'OS Acq model'!AV$353:AV$381)</f>
        <v>0</v>
      </c>
      <c r="AH27" s="44">
        <f>SUMIF('OS Acq model'!$C$353:$C$381,Summary!$A27,'OS Acq model'!AW$353:AW$381)</f>
        <v>0</v>
      </c>
      <c r="AI27" s="44">
        <f>SUMIF('OS Acq model'!$C$353:$C$381,Summary!$A27,'OS Acq model'!AX$353:AX$381)</f>
        <v>0</v>
      </c>
      <c r="AJ27" s="44">
        <f>SUMIF('OS Acq model'!$C$353:$C$381,Summary!$A27,'OS Acq model'!AY$353:AY$381)</f>
        <v>0</v>
      </c>
      <c r="AK27" s="44">
        <f>SUMIF('OS Acq model'!$C$353:$C$381,Summary!$A27,'OS Acq model'!AZ$353:AZ$381)</f>
        <v>0</v>
      </c>
      <c r="AL27" s="44">
        <f>SUMIF('OS Acq model'!$C$353:$C$381,Summary!$A27,'OS Acq model'!BA$353:BA$381)</f>
        <v>0</v>
      </c>
      <c r="AM27" s="44">
        <f>SUMIF('OS Acq model'!$C$353:$C$381,Summary!$A27,'OS Acq model'!BB$353:BB$381)</f>
        <v>0</v>
      </c>
      <c r="AN27" s="44">
        <f>SUMIF('OS Acq model'!$C$353:$C$381,Summary!$A27,'OS Acq model'!BC$353:BC$381)</f>
        <v>0</v>
      </c>
      <c r="AO27" s="44">
        <f>SUMIF('OS Acq model'!$C$353:$C$381,Summary!$A27,'OS Acq model'!BD$353:BD$381)</f>
        <v>0</v>
      </c>
      <c r="AP27" s="44">
        <f>SUMIF('OS Acq model'!$C$353:$C$381,Summary!$A27,'OS Acq model'!BE$353:BE$381)</f>
        <v>0</v>
      </c>
      <c r="AQ27" s="44">
        <f>SUMIF('OS Acq model'!$C$353:$C$381,Summary!$A27,'OS Acq model'!BF$353:BF$381)</f>
        <v>0</v>
      </c>
      <c r="AR27" s="44">
        <f>SUMIF('OS Acq model'!$C$353:$C$381,Summary!$A27,'OS Acq model'!BG$353:BG$381)</f>
        <v>0</v>
      </c>
    </row>
    <row r="28" spans="1:44" s="2" customFormat="1" x14ac:dyDescent="0.3">
      <c r="A28" s="9" t="str">
        <f>'OS Acq model'!B374</f>
        <v>Takanini North</v>
      </c>
      <c r="B28" s="57">
        <v>10</v>
      </c>
      <c r="C28" s="58">
        <v>0</v>
      </c>
      <c r="D28" s="59">
        <f t="shared" si="1"/>
        <v>1</v>
      </c>
      <c r="E28" s="76"/>
      <c r="F28" s="14"/>
      <c r="G28" s="44">
        <f t="shared" si="3"/>
        <v>109.96588936925156</v>
      </c>
      <c r="H28" s="44">
        <f t="shared" si="4"/>
        <v>0</v>
      </c>
      <c r="I28" s="44">
        <f t="shared" si="5"/>
        <v>1.3520650405403918</v>
      </c>
      <c r="J28" s="44">
        <f t="shared" si="6"/>
        <v>108.61382432871116</v>
      </c>
      <c r="K28" s="44">
        <f t="shared" si="7"/>
        <v>110.58676619098205</v>
      </c>
      <c r="L28" s="44">
        <f t="shared" si="8"/>
        <v>220.55265556023357</v>
      </c>
      <c r="M28" s="44">
        <f>SUMIF('OS Acq model'!$C$353:$C$381,Summary!$A28,'OS Acq model'!AB$353:AB$381)</f>
        <v>0</v>
      </c>
      <c r="N28" s="44">
        <f>SUMIF('OS Acq model'!$C$353:$C$381,Summary!$A28,'OS Acq model'!AC$353:AC$381)</f>
        <v>0</v>
      </c>
      <c r="O28" s="44">
        <f>SUMIF('OS Acq model'!$C$353:$C$381,Summary!$A28,'OS Acq model'!AD$353:AD$381)</f>
        <v>0</v>
      </c>
      <c r="P28" s="44">
        <f>SUMIF('OS Acq model'!$C$353:$C$381,Summary!$A28,'OS Acq model'!AE$353:AE$381)</f>
        <v>0</v>
      </c>
      <c r="Q28" s="44">
        <f>SUMIF('OS Acq model'!$C$353:$C$381,Summary!$A28,'OS Acq model'!AF$353:AF$381)</f>
        <v>0</v>
      </c>
      <c r="R28" s="44">
        <f>SUMIF('OS Acq model'!$C$353:$C$381,Summary!$A28,'OS Acq model'!AG$353:AG$381)</f>
        <v>0</v>
      </c>
      <c r="S28" s="44">
        <f>SUMIF('OS Acq model'!$C$353:$C$381,Summary!$A28,'OS Acq model'!AH$353:AH$381)</f>
        <v>0</v>
      </c>
      <c r="T28" s="44">
        <f>SUMIF('OS Acq model'!$C$353:$C$381,Summary!$A28,'OS Acq model'!AI$353:AI$381)</f>
        <v>0</v>
      </c>
      <c r="U28" s="44">
        <f>SUMIF('OS Acq model'!$C$353:$C$381,Summary!$A28,'OS Acq model'!AJ$353:AJ$381)</f>
        <v>0</v>
      </c>
      <c r="V28" s="44">
        <f>SUMIF('OS Acq model'!$C$353:$C$381,Summary!$A28,'OS Acq model'!AK$353:AK$381)</f>
        <v>0</v>
      </c>
      <c r="W28" s="44">
        <f>SUMIF('OS Acq model'!$C$353:$C$381,Summary!$A28,'OS Acq model'!AL$353:AL$381)</f>
        <v>0</v>
      </c>
      <c r="X28" s="44">
        <f>SUMIF('OS Acq model'!$C$353:$C$381,Summary!$A28,'OS Acq model'!AM$353:AM$381)</f>
        <v>0</v>
      </c>
      <c r="Y28" s="44">
        <f>SUMIF('OS Acq model'!$C$353:$C$381,Summary!$A28,'OS Acq model'!AN$353:AN$381)</f>
        <v>0</v>
      </c>
      <c r="Z28" s="44">
        <f>SUMIF('OS Acq model'!$C$353:$C$381,Summary!$A28,'OS Acq model'!AO$353:AO$381)</f>
        <v>0</v>
      </c>
      <c r="AA28" s="44">
        <f>SUMIF('OS Acq model'!$C$353:$C$381,Summary!$A28,'OS Acq model'!AP$353:AP$381)</f>
        <v>0</v>
      </c>
      <c r="AB28" s="44">
        <f>SUMIF('OS Acq model'!$C$353:$C$381,Summary!$A28,'OS Acq model'!AQ$353:AQ$381)</f>
        <v>0</v>
      </c>
      <c r="AC28" s="44">
        <f>SUMIF('OS Acq model'!$C$353:$C$381,Summary!$A28,'OS Acq model'!AR$353:AR$381)</f>
        <v>0</v>
      </c>
      <c r="AD28" s="44">
        <f>SUMIF('OS Acq model'!$C$353:$C$381,Summary!$A28,'OS Acq model'!AS$353:AS$381)</f>
        <v>0</v>
      </c>
      <c r="AE28" s="44">
        <f>SUMIF('OS Acq model'!$C$353:$C$381,Summary!$A28,'OS Acq model'!AT$353:AT$381)</f>
        <v>0.65291617920012768</v>
      </c>
      <c r="AF28" s="44">
        <f>SUMIF('OS Acq model'!$C$353:$C$381,Summary!$A28,'OS Acq model'!AU$353:AU$381)</f>
        <v>0.69914886134026411</v>
      </c>
      <c r="AG28" s="44">
        <f>SUMIF('OS Acq model'!$C$353:$C$381,Summary!$A28,'OS Acq model'!AV$353:AV$381)</f>
        <v>0.74866132784752282</v>
      </c>
      <c r="AH28" s="44">
        <f>SUMIF('OS Acq model'!$C$353:$C$381,Summary!$A28,'OS Acq model'!AW$353:AW$381)</f>
        <v>5.2894045225905808</v>
      </c>
      <c r="AI28" s="44">
        <f>SUMIF('OS Acq model'!$C$353:$C$381,Summary!$A28,'OS Acq model'!AX$353:AX$381)</f>
        <v>5.6635582985325748</v>
      </c>
      <c r="AJ28" s="44">
        <f>SUMIF('OS Acq model'!$C$353:$C$381,Summary!$A28,'OS Acq model'!AY$353:AY$381)</f>
        <v>6.0642463257728867</v>
      </c>
      <c r="AK28" s="44">
        <f>SUMIF('OS Acq model'!$C$353:$C$381,Summary!$A28,'OS Acq model'!AZ$353:AZ$381)</f>
        <v>6.4933518614842409</v>
      </c>
      <c r="AL28" s="44">
        <f>SUMIF('OS Acq model'!$C$353:$C$381,Summary!$A28,'OS Acq model'!BA$353:BA$381)</f>
        <v>7.7595403746871323</v>
      </c>
      <c r="AM28" s="44">
        <f>SUMIF('OS Acq model'!$C$353:$C$381,Summary!$A28,'OS Acq model'!BB$353:BB$381)</f>
        <v>8.3085487374168068</v>
      </c>
      <c r="AN28" s="44">
        <f>SUMIF('OS Acq model'!$C$353:$C$381,Summary!$A28,'OS Acq model'!BC$353:BC$381)</f>
        <v>8.8964944758150786</v>
      </c>
      <c r="AO28" s="44">
        <f>SUMIF('OS Acq model'!$C$353:$C$381,Summary!$A28,'OS Acq model'!BD$353:BD$381)</f>
        <v>9.5261412147565476</v>
      </c>
      <c r="AP28" s="44">
        <f>SUMIF('OS Acq model'!$C$353:$C$381,Summary!$A28,'OS Acq model'!BE$353:BE$381)</f>
        <v>49.863877189807788</v>
      </c>
      <c r="AQ28" s="44">
        <f>SUMIF('OS Acq model'!$C$353:$C$381,Summary!$A28,'OS Acq model'!BF$353:BF$381)</f>
        <v>53.39989373928627</v>
      </c>
      <c r="AR28" s="44">
        <f>SUMIF('OS Acq model'!$C$353:$C$381,Summary!$A28,'OS Acq model'!BG$353:BG$381)</f>
        <v>57.18687245169577</v>
      </c>
    </row>
    <row r="29" spans="1:44" s="2" customFormat="1" x14ac:dyDescent="0.3">
      <c r="A29" s="9" t="str">
        <f>'OS Acq model'!B375</f>
        <v>Takanini South</v>
      </c>
      <c r="B29" s="57">
        <v>10</v>
      </c>
      <c r="C29" s="58">
        <v>0</v>
      </c>
      <c r="D29" s="59">
        <f t="shared" si="1"/>
        <v>1</v>
      </c>
      <c r="E29" s="76"/>
      <c r="F29" s="14"/>
      <c r="G29" s="44">
        <f t="shared" si="3"/>
        <v>8.5633719505044628</v>
      </c>
      <c r="H29" s="44">
        <f t="shared" si="4"/>
        <v>0</v>
      </c>
      <c r="I29" s="44">
        <f t="shared" si="5"/>
        <v>0</v>
      </c>
      <c r="J29" s="44">
        <f t="shared" si="6"/>
        <v>8.5633719505044628</v>
      </c>
      <c r="K29" s="44">
        <f t="shared" si="7"/>
        <v>11.64375170170973</v>
      </c>
      <c r="L29" s="44">
        <f t="shared" si="8"/>
        <v>20.207123652214193</v>
      </c>
      <c r="M29" s="44">
        <f>SUMIF('OS Acq model'!$C$353:$C$381,Summary!$A29,'OS Acq model'!AB$353:AB$381)</f>
        <v>0</v>
      </c>
      <c r="N29" s="44">
        <f>SUMIF('OS Acq model'!$C$353:$C$381,Summary!$A29,'OS Acq model'!AC$353:AC$381)</f>
        <v>0</v>
      </c>
      <c r="O29" s="44">
        <f>SUMIF('OS Acq model'!$C$353:$C$381,Summary!$A29,'OS Acq model'!AD$353:AD$381)</f>
        <v>0</v>
      </c>
      <c r="P29" s="44">
        <f>SUMIF('OS Acq model'!$C$353:$C$381,Summary!$A29,'OS Acq model'!AE$353:AE$381)</f>
        <v>0</v>
      </c>
      <c r="Q29" s="44">
        <f>SUMIF('OS Acq model'!$C$353:$C$381,Summary!$A29,'OS Acq model'!AF$353:AF$381)</f>
        <v>0</v>
      </c>
      <c r="R29" s="44">
        <f>SUMIF('OS Acq model'!$C$353:$C$381,Summary!$A29,'OS Acq model'!AG$353:AG$381)</f>
        <v>0</v>
      </c>
      <c r="S29" s="44">
        <f>SUMIF('OS Acq model'!$C$353:$C$381,Summary!$A29,'OS Acq model'!AH$353:AH$381)</f>
        <v>0</v>
      </c>
      <c r="T29" s="44">
        <f>SUMIF('OS Acq model'!$C$353:$C$381,Summary!$A29,'OS Acq model'!AI$353:AI$381)</f>
        <v>0</v>
      </c>
      <c r="U29" s="44">
        <f>SUMIF('OS Acq model'!$C$353:$C$381,Summary!$A29,'OS Acq model'!AJ$353:AJ$381)</f>
        <v>0</v>
      </c>
      <c r="V29" s="44">
        <f>SUMIF('OS Acq model'!$C$353:$C$381,Summary!$A29,'OS Acq model'!AK$353:AK$381)</f>
        <v>0</v>
      </c>
      <c r="W29" s="44">
        <f>SUMIF('OS Acq model'!$C$353:$C$381,Summary!$A29,'OS Acq model'!AL$353:AL$381)</f>
        <v>0</v>
      </c>
      <c r="X29" s="44">
        <f>SUMIF('OS Acq model'!$C$353:$C$381,Summary!$A29,'OS Acq model'!AM$353:AM$381)</f>
        <v>0</v>
      </c>
      <c r="Y29" s="44">
        <f>SUMIF('OS Acq model'!$C$353:$C$381,Summary!$A29,'OS Acq model'!AN$353:AN$381)</f>
        <v>0</v>
      </c>
      <c r="Z29" s="44">
        <f>SUMIF('OS Acq model'!$C$353:$C$381,Summary!$A29,'OS Acq model'!AO$353:AO$381)</f>
        <v>0</v>
      </c>
      <c r="AA29" s="44">
        <f>SUMIF('OS Acq model'!$C$353:$C$381,Summary!$A29,'OS Acq model'!AP$353:AP$381)</f>
        <v>0</v>
      </c>
      <c r="AB29" s="44">
        <f>SUMIF('OS Acq model'!$C$353:$C$381,Summary!$A29,'OS Acq model'!AQ$353:AQ$381)</f>
        <v>0</v>
      </c>
      <c r="AC29" s="44">
        <f>SUMIF('OS Acq model'!$C$353:$C$381,Summary!$A29,'OS Acq model'!AR$353:AR$381)</f>
        <v>0</v>
      </c>
      <c r="AD29" s="44">
        <f>SUMIF('OS Acq model'!$C$353:$C$381,Summary!$A29,'OS Acq model'!AS$353:AS$381)</f>
        <v>0</v>
      </c>
      <c r="AE29" s="44">
        <f>SUMIF('OS Acq model'!$C$353:$C$381,Summary!$A29,'OS Acq model'!AT$353:AT$381)</f>
        <v>0</v>
      </c>
      <c r="AF29" s="44">
        <f>SUMIF('OS Acq model'!$C$353:$C$381,Summary!$A29,'OS Acq model'!AU$353:AU$381)</f>
        <v>0</v>
      </c>
      <c r="AG29" s="44">
        <f>SUMIF('OS Acq model'!$C$353:$C$381,Summary!$A29,'OS Acq model'!AV$353:AV$381)</f>
        <v>0</v>
      </c>
      <c r="AH29" s="44">
        <f>SUMIF('OS Acq model'!$C$353:$C$381,Summary!$A29,'OS Acq model'!AW$353:AW$381)</f>
        <v>0.19938059713209128</v>
      </c>
      <c r="AI29" s="44">
        <f>SUMIF('OS Acq model'!$C$353:$C$381,Summary!$A29,'OS Acq model'!AX$353:AX$381)</f>
        <v>0.21340386284638049</v>
      </c>
      <c r="AJ29" s="44">
        <f>SUMIF('OS Acq model'!$C$353:$C$381,Summary!$A29,'OS Acq model'!AY$353:AY$381)</f>
        <v>0.22841985977937826</v>
      </c>
      <c r="AK29" s="44">
        <f>SUMIF('OS Acq model'!$C$353:$C$381,Summary!$A29,'OS Acq model'!AZ$353:AZ$381)</f>
        <v>0.24449900759337884</v>
      </c>
      <c r="AL29" s="44">
        <f>SUMIF('OS Acq model'!$C$353:$C$381,Summary!$A29,'OS Acq model'!BA$353:BA$381)</f>
        <v>0.54621443038698092</v>
      </c>
      <c r="AM29" s="44">
        <f>SUMIF('OS Acq model'!$C$353:$C$381,Summary!$A29,'OS Acq model'!BB$353:BB$381)</f>
        <v>0.5847784092229722</v>
      </c>
      <c r="AN29" s="44">
        <f>SUMIF('OS Acq model'!$C$353:$C$381,Summary!$A29,'OS Acq model'!BC$353:BC$381)</f>
        <v>0.62607565115044628</v>
      </c>
      <c r="AO29" s="44">
        <f>SUMIF('OS Acq model'!$C$353:$C$381,Summary!$A29,'OS Acq model'!BD$353:BD$381)</f>
        <v>0.67030011270196921</v>
      </c>
      <c r="AP29" s="44">
        <f>SUMIF('OS Acq model'!$C$353:$C$381,Summary!$A29,'OS Acq model'!BE$353:BE$381)</f>
        <v>5.2503000196908651</v>
      </c>
      <c r="AQ29" s="44">
        <f>SUMIF('OS Acq model'!$C$353:$C$381,Summary!$A29,'OS Acq model'!BF$353:BF$381)</f>
        <v>5.6225446465769817</v>
      </c>
      <c r="AR29" s="44">
        <f>SUMIF('OS Acq model'!$C$353:$C$381,Summary!$A29,'OS Acq model'!BG$353:BG$381)</f>
        <v>6.0212070551327486</v>
      </c>
    </row>
    <row r="30" spans="1:44" s="2" customFormat="1" x14ac:dyDescent="0.3">
      <c r="A30" s="2" t="str">
        <f>'OS Acq model'!B376</f>
        <v>Hingaia</v>
      </c>
      <c r="B30" s="53">
        <v>10</v>
      </c>
      <c r="C30" s="55">
        <v>0</v>
      </c>
      <c r="D30" s="56">
        <f t="shared" si="1"/>
        <v>1</v>
      </c>
      <c r="E30" s="14">
        <f t="shared" ref="E30:E34" si="16">1-F63</f>
        <v>0.4767720601263904</v>
      </c>
      <c r="F30" s="14">
        <f t="shared" si="0"/>
        <v>0.73838603006319525</v>
      </c>
      <c r="G30" s="44">
        <f t="shared" si="3"/>
        <v>64.301905770880893</v>
      </c>
      <c r="H30" s="44">
        <f t="shared" si="4"/>
        <v>24.404959779454902</v>
      </c>
      <c r="I30" s="44">
        <f t="shared" si="5"/>
        <v>39.896945991425994</v>
      </c>
      <c r="J30" s="44">
        <f t="shared" si="6"/>
        <v>0</v>
      </c>
      <c r="K30" s="44">
        <f t="shared" si="7"/>
        <v>0</v>
      </c>
      <c r="L30" s="44">
        <f t="shared" si="8"/>
        <v>64.301905770880893</v>
      </c>
      <c r="M30" s="44">
        <f>SUMIF('OS Acq model'!$C$353:$C$381,Summary!$A30,'OS Acq model'!AB$353:AB$381)</f>
        <v>6.4604433773910559</v>
      </c>
      <c r="N30" s="44">
        <f>SUMIF('OS Acq model'!$C$353:$C$381,Summary!$A30,'OS Acq model'!AC$353:AC$381)</f>
        <v>1.3203941450689283</v>
      </c>
      <c r="O30" s="44">
        <f>SUMIF('OS Acq model'!$C$353:$C$381,Summary!$A30,'OS Acq model'!AD$353:AD$381)</f>
        <v>1.7402036380464592</v>
      </c>
      <c r="P30" s="44">
        <f>SUMIF('OS Acq model'!$C$353:$C$381,Summary!$A30,'OS Acq model'!AE$353:AE$381)</f>
        <v>0.76240841278225935</v>
      </c>
      <c r="Q30" s="44">
        <f>SUMIF('OS Acq model'!$C$353:$C$381,Summary!$A30,'OS Acq model'!AF$353:AF$381)</f>
        <v>1.3035214062801785</v>
      </c>
      <c r="R30" s="44">
        <f>SUMIF('OS Acq model'!$C$353:$C$381,Summary!$A30,'OS Acq model'!AG$353:AG$381)</f>
        <v>3.2114298765941243</v>
      </c>
      <c r="S30" s="44">
        <f>SUMIF('OS Acq model'!$C$353:$C$381,Summary!$A30,'OS Acq model'!AH$353:AH$381)</f>
        <v>2.8184558165601592</v>
      </c>
      <c r="T30" s="44">
        <f>SUMIF('OS Acq model'!$C$353:$C$381,Summary!$A30,'OS Acq model'!AI$353:AI$381)</f>
        <v>3.2483324234523874</v>
      </c>
      <c r="U30" s="44">
        <f>SUMIF('OS Acq model'!$C$353:$C$381,Summary!$A30,'OS Acq model'!AJ$353:AJ$381)</f>
        <v>2.6946714055500203</v>
      </c>
      <c r="V30" s="44">
        <f>SUMIF('OS Acq model'!$C$353:$C$381,Summary!$A30,'OS Acq model'!AK$353:AK$381)</f>
        <v>0.8450992777293268</v>
      </c>
      <c r="W30" s="44">
        <f>SUMIF('OS Acq model'!$C$353:$C$381,Summary!$A30,'OS Acq model'!AL$353:AL$381)</f>
        <v>8.2347330690434148</v>
      </c>
      <c r="X30" s="44">
        <f>SUMIF('OS Acq model'!$C$353:$C$381,Summary!$A30,'OS Acq model'!AM$353:AM$381)</f>
        <v>8.8040666340850198</v>
      </c>
      <c r="Y30" s="44">
        <f>SUMIF('OS Acq model'!$C$353:$C$381,Summary!$A30,'OS Acq model'!AN$353:AN$381)</f>
        <v>6.787895082898685</v>
      </c>
      <c r="Z30" s="44">
        <f>SUMIF('OS Acq model'!$C$353:$C$381,Summary!$A30,'OS Acq model'!AO$353:AO$381)</f>
        <v>6.9738907098833618</v>
      </c>
      <c r="AA30" s="44">
        <f>SUMIF('OS Acq model'!$C$353:$C$381,Summary!$A30,'OS Acq model'!AP$353:AP$381)</f>
        <v>3.5392739450848998</v>
      </c>
      <c r="AB30" s="44">
        <f>SUMIF('OS Acq model'!$C$353:$C$381,Summary!$A30,'OS Acq model'!AQ$353:AQ$381)</f>
        <v>4.0742200333951351</v>
      </c>
      <c r="AC30" s="44">
        <f>SUMIF('OS Acq model'!$C$353:$C$381,Summary!$A30,'OS Acq model'!AR$353:AR$381)</f>
        <v>1.4828665170354762</v>
      </c>
      <c r="AD30" s="44">
        <f>SUMIF('OS Acq model'!$C$353:$C$381,Summary!$A30,'OS Acq model'!AS$353:AS$381)</f>
        <v>0</v>
      </c>
      <c r="AE30" s="44">
        <f>SUMIF('OS Acq model'!$C$353:$C$381,Summary!$A30,'OS Acq model'!AT$353:AT$381)</f>
        <v>0</v>
      </c>
      <c r="AF30" s="44">
        <f>SUMIF('OS Acq model'!$C$353:$C$381,Summary!$A30,'OS Acq model'!AU$353:AU$381)</f>
        <v>0</v>
      </c>
      <c r="AG30" s="44">
        <f>SUMIF('OS Acq model'!$C$353:$C$381,Summary!$A30,'OS Acq model'!AV$353:AV$381)</f>
        <v>0</v>
      </c>
      <c r="AH30" s="44">
        <f>SUMIF('OS Acq model'!$C$353:$C$381,Summary!$A30,'OS Acq model'!AW$353:AW$381)</f>
        <v>0</v>
      </c>
      <c r="AI30" s="44">
        <f>SUMIF('OS Acq model'!$C$353:$C$381,Summary!$A30,'OS Acq model'!AX$353:AX$381)</f>
        <v>0</v>
      </c>
      <c r="AJ30" s="44">
        <f>SUMIF('OS Acq model'!$C$353:$C$381,Summary!$A30,'OS Acq model'!AY$353:AY$381)</f>
        <v>0</v>
      </c>
      <c r="AK30" s="44">
        <f>SUMIF('OS Acq model'!$C$353:$C$381,Summary!$A30,'OS Acq model'!AZ$353:AZ$381)</f>
        <v>0</v>
      </c>
      <c r="AL30" s="44">
        <f>SUMIF('OS Acq model'!$C$353:$C$381,Summary!$A30,'OS Acq model'!BA$353:BA$381)</f>
        <v>0</v>
      </c>
      <c r="AM30" s="44">
        <f>SUMIF('OS Acq model'!$C$353:$C$381,Summary!$A30,'OS Acq model'!BB$353:BB$381)</f>
        <v>0</v>
      </c>
      <c r="AN30" s="44">
        <f>SUMIF('OS Acq model'!$C$353:$C$381,Summary!$A30,'OS Acq model'!BC$353:BC$381)</f>
        <v>0</v>
      </c>
      <c r="AO30" s="44">
        <f>SUMIF('OS Acq model'!$C$353:$C$381,Summary!$A30,'OS Acq model'!BD$353:BD$381)</f>
        <v>0</v>
      </c>
      <c r="AP30" s="44">
        <f>SUMIF('OS Acq model'!$C$353:$C$381,Summary!$A30,'OS Acq model'!BE$353:BE$381)</f>
        <v>0</v>
      </c>
      <c r="AQ30" s="44">
        <f>SUMIF('OS Acq model'!$C$353:$C$381,Summary!$A30,'OS Acq model'!BF$353:BF$381)</f>
        <v>0</v>
      </c>
      <c r="AR30" s="44">
        <f>SUMIF('OS Acq model'!$C$353:$C$381,Summary!$A30,'OS Acq model'!BG$353:BG$381)</f>
        <v>0</v>
      </c>
    </row>
    <row r="31" spans="1:44" s="2" customFormat="1" x14ac:dyDescent="0.3">
      <c r="A31" s="2" t="str">
        <f>'OS Acq model'!B377</f>
        <v>Drury</v>
      </c>
      <c r="B31" s="53">
        <v>30</v>
      </c>
      <c r="C31" s="55">
        <v>0</v>
      </c>
      <c r="D31" s="56">
        <f t="shared" si="1"/>
        <v>1</v>
      </c>
      <c r="E31" s="14">
        <f t="shared" si="16"/>
        <v>0.90269551841172735</v>
      </c>
      <c r="F31" s="14">
        <f t="shared" si="0"/>
        <v>0.95134775920586367</v>
      </c>
      <c r="G31" s="44">
        <f t="shared" si="3"/>
        <v>482.9426570015213</v>
      </c>
      <c r="H31" s="44">
        <f t="shared" si="4"/>
        <v>52.299029605842442</v>
      </c>
      <c r="I31" s="44">
        <f t="shared" si="5"/>
        <v>381.2131797417162</v>
      </c>
      <c r="J31" s="44">
        <f t="shared" si="6"/>
        <v>49.430447653962688</v>
      </c>
      <c r="K31" s="44">
        <f t="shared" si="7"/>
        <v>0</v>
      </c>
      <c r="L31" s="44">
        <f t="shared" si="8"/>
        <v>482.9426570015213</v>
      </c>
      <c r="M31" s="44">
        <f>SUMIF('OS Acq model'!$C$353:$C$381,Summary!$A31,'OS Acq model'!AB$353:AB$381)</f>
        <v>5.3469187904331932</v>
      </c>
      <c r="N31" s="44">
        <f>SUMIF('OS Acq model'!$C$353:$C$381,Summary!$A31,'OS Acq model'!AC$353:AC$381)</f>
        <v>4.3324023044459192</v>
      </c>
      <c r="O31" s="44">
        <f>SUMIF('OS Acq model'!$C$353:$C$381,Summary!$A31,'OS Acq model'!AD$353:AD$381)</f>
        <v>2.2349974867673508</v>
      </c>
      <c r="P31" s="44">
        <f>SUMIF('OS Acq model'!$C$353:$C$381,Summary!$A31,'OS Acq model'!AE$353:AE$381)</f>
        <v>1.5884822400482217</v>
      </c>
      <c r="Q31" s="44">
        <f>SUMIF('OS Acq model'!$C$353:$C$381,Summary!$A31,'OS Acq model'!AF$353:AF$381)</f>
        <v>2.3890812496569218</v>
      </c>
      <c r="R31" s="44">
        <f>SUMIF('OS Acq model'!$C$353:$C$381,Summary!$A31,'OS Acq model'!AG$353:AG$381)</f>
        <v>7.0004626404182968</v>
      </c>
      <c r="S31" s="44">
        <f>SUMIF('OS Acq model'!$C$353:$C$381,Summary!$A31,'OS Acq model'!AH$353:AH$381)</f>
        <v>6.3671966247582521</v>
      </c>
      <c r="T31" s="44">
        <f>SUMIF('OS Acq model'!$C$353:$C$381,Summary!$A31,'OS Acq model'!AI$353:AI$381)</f>
        <v>9.4810948777832564</v>
      </c>
      <c r="U31" s="44">
        <f>SUMIF('OS Acq model'!$C$353:$C$381,Summary!$A31,'OS Acq model'!AJ$353:AJ$381)</f>
        <v>8.8405653049449047</v>
      </c>
      <c r="V31" s="44">
        <f>SUMIF('OS Acq model'!$C$353:$C$381,Summary!$A31,'OS Acq model'!AK$353:AK$381)</f>
        <v>4.7178280865861302</v>
      </c>
      <c r="W31" s="44">
        <f>SUMIF('OS Acq model'!$C$353:$C$381,Summary!$A31,'OS Acq model'!AL$353:AL$381)</f>
        <v>26.113202091107819</v>
      </c>
      <c r="X31" s="44">
        <f>SUMIF('OS Acq model'!$C$353:$C$381,Summary!$A31,'OS Acq model'!AM$353:AM$381)</f>
        <v>28.1666653596094</v>
      </c>
      <c r="Y31" s="44">
        <f>SUMIF('OS Acq model'!$C$353:$C$381,Summary!$A31,'OS Acq model'!AN$353:AN$381)</f>
        <v>38.557770984775473</v>
      </c>
      <c r="Z31" s="44">
        <f>SUMIF('OS Acq model'!$C$353:$C$381,Summary!$A31,'OS Acq model'!AO$353:AO$381)</f>
        <v>40.138320950574602</v>
      </c>
      <c r="AA31" s="44">
        <f>SUMIF('OS Acq model'!$C$353:$C$381,Summary!$A31,'OS Acq model'!AP$353:AP$381)</f>
        <v>45.798516463318926</v>
      </c>
      <c r="AB31" s="44">
        <f>SUMIF('OS Acq model'!$C$353:$C$381,Summary!$A31,'OS Acq model'!AQ$353:AQ$381)</f>
        <v>42.095811519130685</v>
      </c>
      <c r="AC31" s="44">
        <f>SUMIF('OS Acq model'!$C$353:$C$381,Summary!$A31,'OS Acq model'!AR$353:AR$381)</f>
        <v>39.070450383415903</v>
      </c>
      <c r="AD31" s="44">
        <f>SUMIF('OS Acq model'!$C$353:$C$381,Summary!$A31,'OS Acq model'!AS$353:AS$381)</f>
        <v>32.007044106482873</v>
      </c>
      <c r="AE31" s="44">
        <f>SUMIF('OS Acq model'!$C$353:$C$381,Summary!$A31,'OS Acq model'!AT$353:AT$381)</f>
        <v>43.105680804258931</v>
      </c>
      <c r="AF31" s="44">
        <f>SUMIF('OS Acq model'!$C$353:$C$381,Summary!$A31,'OS Acq model'!AU$353:AU$381)</f>
        <v>46.159717079041549</v>
      </c>
      <c r="AG31" s="44">
        <f>SUMIF('OS Acq model'!$C$353:$C$381,Summary!$A31,'OS Acq model'!AV$353:AV$381)</f>
        <v>49.430447653962688</v>
      </c>
      <c r="AH31" s="44">
        <f>SUMIF('OS Acq model'!$C$353:$C$381,Summary!$A31,'OS Acq model'!AW$353:AW$381)</f>
        <v>0</v>
      </c>
      <c r="AI31" s="44">
        <f>SUMIF('OS Acq model'!$C$353:$C$381,Summary!$A31,'OS Acq model'!AX$353:AX$381)</f>
        <v>0</v>
      </c>
      <c r="AJ31" s="44">
        <f>SUMIF('OS Acq model'!$C$353:$C$381,Summary!$A31,'OS Acq model'!AY$353:AY$381)</f>
        <v>0</v>
      </c>
      <c r="AK31" s="44">
        <f>SUMIF('OS Acq model'!$C$353:$C$381,Summary!$A31,'OS Acq model'!AZ$353:AZ$381)</f>
        <v>0</v>
      </c>
      <c r="AL31" s="44">
        <f>SUMIF('OS Acq model'!$C$353:$C$381,Summary!$A31,'OS Acq model'!BA$353:BA$381)</f>
        <v>0</v>
      </c>
      <c r="AM31" s="44">
        <f>SUMIF('OS Acq model'!$C$353:$C$381,Summary!$A31,'OS Acq model'!BB$353:BB$381)</f>
        <v>0</v>
      </c>
      <c r="AN31" s="44">
        <f>SUMIF('OS Acq model'!$C$353:$C$381,Summary!$A31,'OS Acq model'!BC$353:BC$381)</f>
        <v>0</v>
      </c>
      <c r="AO31" s="44">
        <f>SUMIF('OS Acq model'!$C$353:$C$381,Summary!$A31,'OS Acq model'!BD$353:BD$381)</f>
        <v>0</v>
      </c>
      <c r="AP31" s="44">
        <f>SUMIF('OS Acq model'!$C$353:$C$381,Summary!$A31,'OS Acq model'!BE$353:BE$381)</f>
        <v>0</v>
      </c>
      <c r="AQ31" s="44">
        <f>SUMIF('OS Acq model'!$C$353:$C$381,Summary!$A31,'OS Acq model'!BF$353:BF$381)</f>
        <v>0</v>
      </c>
      <c r="AR31" s="44">
        <f>SUMIF('OS Acq model'!$C$353:$C$381,Summary!$A31,'OS Acq model'!BG$353:BG$381)</f>
        <v>0</v>
      </c>
    </row>
    <row r="32" spans="1:44" s="2" customFormat="1" x14ac:dyDescent="0.3">
      <c r="A32" s="2" t="str">
        <f>'OS Acq model'!B378</f>
        <v>Rural SE</v>
      </c>
      <c r="B32" s="53">
        <v>10</v>
      </c>
      <c r="C32" s="55">
        <v>0</v>
      </c>
      <c r="D32" s="56">
        <f t="shared" si="1"/>
        <v>1</v>
      </c>
      <c r="E32" s="14">
        <f t="shared" si="16"/>
        <v>8.9637135287165104E-2</v>
      </c>
      <c r="F32" s="14">
        <f t="shared" si="0"/>
        <v>0.54481856764358261</v>
      </c>
      <c r="G32" s="44">
        <f t="shared" si="3"/>
        <v>45.595196936087277</v>
      </c>
      <c r="H32" s="44">
        <f t="shared" si="4"/>
        <v>3.1078056670393375</v>
      </c>
      <c r="I32" s="44">
        <f t="shared" si="5"/>
        <v>42.487391269047933</v>
      </c>
      <c r="J32" s="44">
        <f t="shared" si="6"/>
        <v>0</v>
      </c>
      <c r="K32" s="44">
        <f t="shared" si="7"/>
        <v>0</v>
      </c>
      <c r="L32" s="44">
        <f t="shared" si="8"/>
        <v>45.595196936087277</v>
      </c>
      <c r="M32" s="44">
        <f>SUMIF('OS Acq model'!$C$353:$C$381,Summary!$A32,'OS Acq model'!AB$353:AB$381)</f>
        <v>0</v>
      </c>
      <c r="N32" s="44">
        <f>SUMIF('OS Acq model'!$C$353:$C$381,Summary!$A32,'OS Acq model'!AC$353:AC$381)</f>
        <v>0</v>
      </c>
      <c r="O32" s="44">
        <f>SUMIF('OS Acq model'!$C$353:$C$381,Summary!$A32,'OS Acq model'!AD$353:AD$381)</f>
        <v>0</v>
      </c>
      <c r="P32" s="44">
        <f>SUMIF('OS Acq model'!$C$353:$C$381,Summary!$A32,'OS Acq model'!AE$353:AE$381)</f>
        <v>0</v>
      </c>
      <c r="Q32" s="44">
        <f>SUMIF('OS Acq model'!$C$353:$C$381,Summary!$A32,'OS Acq model'!AF$353:AF$381)</f>
        <v>0</v>
      </c>
      <c r="R32" s="44">
        <f>SUMIF('OS Acq model'!$C$353:$C$381,Summary!$A32,'OS Acq model'!AG$353:AG$381)</f>
        <v>0</v>
      </c>
      <c r="S32" s="44">
        <f>SUMIF('OS Acq model'!$C$353:$C$381,Summary!$A32,'OS Acq model'!AH$353:AH$381)</f>
        <v>0</v>
      </c>
      <c r="T32" s="44">
        <f>SUMIF('OS Acq model'!$C$353:$C$381,Summary!$A32,'OS Acq model'!AI$353:AI$381)</f>
        <v>0</v>
      </c>
      <c r="U32" s="44">
        <f>SUMIF('OS Acq model'!$C$353:$C$381,Summary!$A32,'OS Acq model'!AJ$353:AJ$381)</f>
        <v>0.81588629852375294</v>
      </c>
      <c r="V32" s="44">
        <f>SUMIF('OS Acq model'!$C$353:$C$381,Summary!$A32,'OS Acq model'!AK$353:AK$381)</f>
        <v>2.2919193685155843</v>
      </c>
      <c r="W32" s="44">
        <f>SUMIF('OS Acq model'!$C$353:$C$381,Summary!$A32,'OS Acq model'!AL$353:AL$381)</f>
        <v>4.936203535390514</v>
      </c>
      <c r="X32" s="44">
        <f>SUMIF('OS Acq model'!$C$353:$C$381,Summary!$A32,'OS Acq model'!AM$353:AM$381)</f>
        <v>5.2852371767598196</v>
      </c>
      <c r="Y32" s="44">
        <f>SUMIF('OS Acq model'!$C$353:$C$381,Summary!$A32,'OS Acq model'!AN$353:AN$381)</f>
        <v>2.1239009096439236</v>
      </c>
      <c r="Z32" s="44">
        <f>SUMIF('OS Acq model'!$C$353:$C$381,Summary!$A32,'OS Acq model'!AO$353:AO$381)</f>
        <v>4.5528838126632438</v>
      </c>
      <c r="AA32" s="44">
        <f>SUMIF('OS Acq model'!$C$353:$C$381,Summary!$A32,'OS Acq model'!AP$353:AP$381)</f>
        <v>6.0339859831462688</v>
      </c>
      <c r="AB32" s="44">
        <f>SUMIF('OS Acq model'!$C$353:$C$381,Summary!$A32,'OS Acq model'!AQ$353:AQ$381)</f>
        <v>6.4611070020273651</v>
      </c>
      <c r="AC32" s="44">
        <f>SUMIF('OS Acq model'!$C$353:$C$381,Summary!$A32,'OS Acq model'!AR$353:AR$381)</f>
        <v>4.0697206997404285</v>
      </c>
      <c r="AD32" s="44">
        <f>SUMIF('OS Acq model'!$C$353:$C$381,Summary!$A32,'OS Acq model'!AS$353:AS$381)</f>
        <v>4.3578770702313783</v>
      </c>
      <c r="AE32" s="44">
        <f>SUMIF('OS Acq model'!$C$353:$C$381,Summary!$A32,'OS Acq model'!AT$353:AT$381)</f>
        <v>4.6664750794449912</v>
      </c>
      <c r="AF32" s="44">
        <f>SUMIF('OS Acq model'!$C$353:$C$381,Summary!$A32,'OS Acq model'!AU$353:AU$381)</f>
        <v>0</v>
      </c>
      <c r="AG32" s="44">
        <f>SUMIF('OS Acq model'!$C$353:$C$381,Summary!$A32,'OS Acq model'!AV$353:AV$381)</f>
        <v>0</v>
      </c>
      <c r="AH32" s="44">
        <f>SUMIF('OS Acq model'!$C$353:$C$381,Summary!$A32,'OS Acq model'!AW$353:AW$381)</f>
        <v>0</v>
      </c>
      <c r="AI32" s="44">
        <f>SUMIF('OS Acq model'!$C$353:$C$381,Summary!$A32,'OS Acq model'!AX$353:AX$381)</f>
        <v>0</v>
      </c>
      <c r="AJ32" s="44">
        <f>SUMIF('OS Acq model'!$C$353:$C$381,Summary!$A32,'OS Acq model'!AY$353:AY$381)</f>
        <v>0</v>
      </c>
      <c r="AK32" s="44">
        <f>SUMIF('OS Acq model'!$C$353:$C$381,Summary!$A32,'OS Acq model'!AZ$353:AZ$381)</f>
        <v>0</v>
      </c>
      <c r="AL32" s="44">
        <f>SUMIF('OS Acq model'!$C$353:$C$381,Summary!$A32,'OS Acq model'!BA$353:BA$381)</f>
        <v>0</v>
      </c>
      <c r="AM32" s="44">
        <f>SUMIF('OS Acq model'!$C$353:$C$381,Summary!$A32,'OS Acq model'!BB$353:BB$381)</f>
        <v>0</v>
      </c>
      <c r="AN32" s="44">
        <f>SUMIF('OS Acq model'!$C$353:$C$381,Summary!$A32,'OS Acq model'!BC$353:BC$381)</f>
        <v>0</v>
      </c>
      <c r="AO32" s="44">
        <f>SUMIF('OS Acq model'!$C$353:$C$381,Summary!$A32,'OS Acq model'!BD$353:BD$381)</f>
        <v>0</v>
      </c>
      <c r="AP32" s="44">
        <f>SUMIF('OS Acq model'!$C$353:$C$381,Summary!$A32,'OS Acq model'!BE$353:BE$381)</f>
        <v>0</v>
      </c>
      <c r="AQ32" s="44">
        <f>SUMIF('OS Acq model'!$C$353:$C$381,Summary!$A32,'OS Acq model'!BF$353:BF$381)</f>
        <v>0</v>
      </c>
      <c r="AR32" s="44">
        <f>SUMIF('OS Acq model'!$C$353:$C$381,Summary!$A32,'OS Acq model'!BG$353:BG$381)</f>
        <v>0</v>
      </c>
    </row>
    <row r="33" spans="1:44" s="2" customFormat="1" x14ac:dyDescent="0.3">
      <c r="A33" s="2" t="str">
        <f>'OS Acq model'!C379</f>
        <v>Pukekohe</v>
      </c>
      <c r="B33" s="53">
        <v>10</v>
      </c>
      <c r="C33" s="55">
        <v>0</v>
      </c>
      <c r="D33" s="56">
        <f t="shared" si="1"/>
        <v>1</v>
      </c>
      <c r="E33" s="14">
        <f t="shared" si="16"/>
        <v>0.45512400213499871</v>
      </c>
      <c r="F33" s="14">
        <f t="shared" si="0"/>
        <v>0.72756200106749935</v>
      </c>
      <c r="G33" s="44">
        <f t="shared" si="3"/>
        <v>416.45734104643702</v>
      </c>
      <c r="H33" s="44">
        <f t="shared" si="4"/>
        <v>39.827095742386597</v>
      </c>
      <c r="I33" s="44">
        <f t="shared" si="5"/>
        <v>291.82873061979711</v>
      </c>
      <c r="J33" s="44">
        <f t="shared" si="6"/>
        <v>84.801514684253277</v>
      </c>
      <c r="K33" s="44">
        <f t="shared" si="7"/>
        <v>0</v>
      </c>
      <c r="L33" s="44">
        <f t="shared" si="8"/>
        <v>416.45734104643702</v>
      </c>
      <c r="M33" s="44">
        <f>SUMIF('OS Acq model'!$C$353:$C$381,Summary!$A33,'OS Acq model'!AB$353:AB$381)</f>
        <v>3.7085096180411212</v>
      </c>
      <c r="N33" s="44">
        <f>SUMIF('OS Acq model'!$C$353:$C$381,Summary!$A33,'OS Acq model'!AC$353:AC$381)</f>
        <v>2.0817663809480886</v>
      </c>
      <c r="O33" s="44">
        <f>SUMIF('OS Acq model'!$C$353:$C$381,Summary!$A33,'OS Acq model'!AD$353:AD$381)</f>
        <v>2.7437029514971645</v>
      </c>
      <c r="P33" s="44">
        <f>SUMIF('OS Acq model'!$C$353:$C$381,Summary!$A33,'OS Acq model'!AE$353:AE$381)</f>
        <v>1.2021584099603195</v>
      </c>
      <c r="Q33" s="44">
        <f>SUMIF('OS Acq model'!$C$353:$C$381,Summary!$A33,'OS Acq model'!AF$353:AF$381)</f>
        <v>2.055547481541482</v>
      </c>
      <c r="R33" s="44">
        <f>SUMIF('OS Acq model'!$C$353:$C$381,Summary!$A33,'OS Acq model'!AG$353:AG$381)</f>
        <v>5.3181975940914468</v>
      </c>
      <c r="S33" s="44">
        <f>SUMIF('OS Acq model'!$C$353:$C$381,Summary!$A33,'OS Acq model'!AH$353:AH$381)</f>
        <v>5.1767019954040769</v>
      </c>
      <c r="T33" s="44">
        <f>SUMIF('OS Acq model'!$C$353:$C$381,Summary!$A33,'OS Acq model'!AI$353:AI$381)</f>
        <v>6.3554794372486043</v>
      </c>
      <c r="U33" s="44">
        <f>SUMIF('OS Acq model'!$C$353:$C$381,Summary!$A33,'OS Acq model'!AJ$353:AJ$381)</f>
        <v>5.9415060307450958</v>
      </c>
      <c r="V33" s="44">
        <f>SUMIF('OS Acq model'!$C$353:$C$381,Summary!$A33,'OS Acq model'!AK$353:AK$381)</f>
        <v>5.2435258429091993</v>
      </c>
      <c r="W33" s="44">
        <f>SUMIF('OS Acq model'!$C$353:$C$381,Summary!$A33,'OS Acq model'!AL$353:AL$381)</f>
        <v>20.147694967280994</v>
      </c>
      <c r="X33" s="44">
        <f>SUMIF('OS Acq model'!$C$353:$C$381,Summary!$A33,'OS Acq model'!AM$353:AM$381)</f>
        <v>24.57157161640707</v>
      </c>
      <c r="Y33" s="44">
        <f>SUMIF('OS Acq model'!$C$353:$C$381,Summary!$A33,'OS Acq model'!AN$353:AN$381)</f>
        <v>26.53686456152634</v>
      </c>
      <c r="Z33" s="44">
        <f>SUMIF('OS Acq model'!$C$353:$C$381,Summary!$A33,'OS Acq model'!AO$353:AO$381)</f>
        <v>26.422964554767542</v>
      </c>
      <c r="AA33" s="44">
        <f>SUMIF('OS Acq model'!$C$353:$C$381,Summary!$A33,'OS Acq model'!AP$353:AP$381)</f>
        <v>29.943468968070391</v>
      </c>
      <c r="AB33" s="44">
        <f>SUMIF('OS Acq model'!$C$353:$C$381,Summary!$A33,'OS Acq model'!AQ$353:AQ$381)</f>
        <v>44.138098083518507</v>
      </c>
      <c r="AC33" s="44">
        <f>SUMIF('OS Acq model'!$C$353:$C$381,Summary!$A33,'OS Acq model'!AR$353:AR$381)</f>
        <v>39.575301863181828</v>
      </c>
      <c r="AD33" s="44">
        <f>SUMIF('OS Acq model'!$C$353:$C$381,Summary!$A33,'OS Acq model'!AS$353:AS$381)</f>
        <v>29.805126114979956</v>
      </c>
      <c r="AE33" s="44">
        <f>SUMIF('OS Acq model'!$C$353:$C$381,Summary!$A33,'OS Acq model'!AT$353:AT$381)</f>
        <v>9.1304060746601614</v>
      </c>
      <c r="AF33" s="44">
        <f>SUMIF('OS Acq model'!$C$353:$C$381,Summary!$A33,'OS Acq model'!AU$353:AU$381)</f>
        <v>41.557233815404338</v>
      </c>
      <c r="AG33" s="44">
        <f>SUMIF('OS Acq model'!$C$353:$C$381,Summary!$A33,'OS Acq model'!AV$353:AV$381)</f>
        <v>40.950353852294789</v>
      </c>
      <c r="AH33" s="44">
        <f>SUMIF('OS Acq model'!$C$353:$C$381,Summary!$A33,'OS Acq model'!AW$353:AW$381)</f>
        <v>43.851160831958488</v>
      </c>
      <c r="AI33" s="44">
        <f>SUMIF('OS Acq model'!$C$353:$C$381,Summary!$A33,'OS Acq model'!AX$353:AX$381)</f>
        <v>0</v>
      </c>
      <c r="AJ33" s="44">
        <f>SUMIF('OS Acq model'!$C$353:$C$381,Summary!$A33,'OS Acq model'!AY$353:AY$381)</f>
        <v>0</v>
      </c>
      <c r="AK33" s="44">
        <f>SUMIF('OS Acq model'!$C$353:$C$381,Summary!$A33,'OS Acq model'!AZ$353:AZ$381)</f>
        <v>0</v>
      </c>
      <c r="AL33" s="44">
        <f>SUMIF('OS Acq model'!$C$353:$C$381,Summary!$A33,'OS Acq model'!BA$353:BA$381)</f>
        <v>0</v>
      </c>
      <c r="AM33" s="44">
        <f>SUMIF('OS Acq model'!$C$353:$C$381,Summary!$A33,'OS Acq model'!BB$353:BB$381)</f>
        <v>0</v>
      </c>
      <c r="AN33" s="44">
        <f>SUMIF('OS Acq model'!$C$353:$C$381,Summary!$A33,'OS Acq model'!BC$353:BC$381)</f>
        <v>0</v>
      </c>
      <c r="AO33" s="44">
        <f>SUMIF('OS Acq model'!$C$353:$C$381,Summary!$A33,'OS Acq model'!BD$353:BD$381)</f>
        <v>0</v>
      </c>
      <c r="AP33" s="44">
        <f>SUMIF('OS Acq model'!$C$353:$C$381,Summary!$A33,'OS Acq model'!BE$353:BE$381)</f>
        <v>0</v>
      </c>
      <c r="AQ33" s="44">
        <f>SUMIF('OS Acq model'!$C$353:$C$381,Summary!$A33,'OS Acq model'!BF$353:BF$381)</f>
        <v>0</v>
      </c>
      <c r="AR33" s="44">
        <f>SUMIF('OS Acq model'!$C$353:$C$381,Summary!$A33,'OS Acq model'!BG$353:BG$381)</f>
        <v>0</v>
      </c>
    </row>
    <row r="34" spans="1:44" s="2" customFormat="1" x14ac:dyDescent="0.3">
      <c r="A34" s="2" t="str">
        <f>'OS Acq model'!B380</f>
        <v>Rural SW</v>
      </c>
      <c r="B34" s="53">
        <v>10</v>
      </c>
      <c r="C34" s="55">
        <v>0</v>
      </c>
      <c r="D34" s="56">
        <f t="shared" si="1"/>
        <v>1</v>
      </c>
      <c r="E34" s="14">
        <f t="shared" si="16"/>
        <v>0.19248410641055225</v>
      </c>
      <c r="F34" s="14">
        <f t="shared" si="0"/>
        <v>0.59624205320527612</v>
      </c>
      <c r="G34" s="44">
        <f t="shared" si="3"/>
        <v>60.484832365421354</v>
      </c>
      <c r="H34" s="44">
        <f t="shared" si="4"/>
        <v>5.0676186528429916</v>
      </c>
      <c r="I34" s="44">
        <f t="shared" si="5"/>
        <v>55.417213712578359</v>
      </c>
      <c r="J34" s="44">
        <f t="shared" si="6"/>
        <v>0</v>
      </c>
      <c r="K34" s="44">
        <f t="shared" si="7"/>
        <v>0</v>
      </c>
      <c r="L34" s="44">
        <f t="shared" si="8"/>
        <v>60.484832365421354</v>
      </c>
      <c r="M34" s="44">
        <f>SUMIF('OS Acq model'!$C$353:$C$381,Summary!$A34,'OS Acq model'!AB$353:AB$381)</f>
        <v>1.1649039464250002</v>
      </c>
      <c r="N34" s="44">
        <f>SUMIF('OS Acq model'!$C$353:$C$381,Summary!$A34,'OS Acq model'!AC$353:AC$381)</f>
        <v>0.49845451066280999</v>
      </c>
      <c r="O34" s="44">
        <f>SUMIF('OS Acq model'!$C$353:$C$381,Summary!$A34,'OS Acq model'!AD$353:AD$381)</f>
        <v>0</v>
      </c>
      <c r="P34" s="44">
        <f>SUMIF('OS Acq model'!$C$353:$C$381,Summary!$A34,'OS Acq model'!AE$353:AE$381)</f>
        <v>0</v>
      </c>
      <c r="Q34" s="44">
        <f>SUMIF('OS Acq model'!$C$353:$C$381,Summary!$A34,'OS Acq model'!AF$353:AF$381)</f>
        <v>0</v>
      </c>
      <c r="R34" s="44">
        <f>SUMIF('OS Acq model'!$C$353:$C$381,Summary!$A34,'OS Acq model'!AG$353:AG$381)</f>
        <v>0</v>
      </c>
      <c r="S34" s="44">
        <f>SUMIF('OS Acq model'!$C$353:$C$381,Summary!$A34,'OS Acq model'!AH$353:AH$381)</f>
        <v>0</v>
      </c>
      <c r="T34" s="44">
        <f>SUMIF('OS Acq model'!$C$353:$C$381,Summary!$A34,'OS Acq model'!AI$353:AI$381)</f>
        <v>0</v>
      </c>
      <c r="U34" s="44">
        <f>SUMIF('OS Acq model'!$C$353:$C$381,Summary!$A34,'OS Acq model'!AJ$353:AJ$381)</f>
        <v>0.50549918656437898</v>
      </c>
      <c r="V34" s="44">
        <f>SUMIF('OS Acq model'!$C$353:$C$381,Summary!$A34,'OS Acq model'!AK$353:AK$381)</f>
        <v>2.8987610091908023</v>
      </c>
      <c r="W34" s="44">
        <f>SUMIF('OS Acq model'!$C$353:$C$381,Summary!$A34,'OS Acq model'!AL$353:AL$381)</f>
        <v>10.738308425979469</v>
      </c>
      <c r="X34" s="44">
        <f>SUMIF('OS Acq model'!$C$353:$C$381,Summary!$A34,'OS Acq model'!AM$353:AM$381)</f>
        <v>5.2479701971195762</v>
      </c>
      <c r="Y34" s="44">
        <f>SUMIF('OS Acq model'!$C$353:$C$381,Summary!$A34,'OS Acq model'!AN$353:AN$381)</f>
        <v>6.5043223942679544</v>
      </c>
      <c r="Z34" s="44">
        <f>SUMIF('OS Acq model'!$C$353:$C$381,Summary!$A34,'OS Acq model'!AO$353:AO$381)</f>
        <v>10.339670389335215</v>
      </c>
      <c r="AA34" s="44">
        <f>SUMIF('OS Acq model'!$C$353:$C$381,Summary!$A34,'OS Acq model'!AP$353:AP$381)</f>
        <v>8.7074302568755666</v>
      </c>
      <c r="AB34" s="44">
        <f>SUMIF('OS Acq model'!$C$353:$C$381,Summary!$A34,'OS Acq model'!AQ$353:AQ$381)</f>
        <v>7.8265050607987616</v>
      </c>
      <c r="AC34" s="44">
        <f>SUMIF('OS Acq model'!$C$353:$C$381,Summary!$A34,'OS Acq model'!AR$353:AR$381)</f>
        <v>1.8813416605475579</v>
      </c>
      <c r="AD34" s="44">
        <f>SUMIF('OS Acq model'!$C$353:$C$381,Summary!$A34,'OS Acq model'!AS$353:AS$381)</f>
        <v>2.0145200188511243</v>
      </c>
      <c r="AE34" s="44">
        <f>SUMIF('OS Acq model'!$C$353:$C$381,Summary!$A34,'OS Acq model'!AT$353:AT$381)</f>
        <v>2.1571453088031469</v>
      </c>
      <c r="AF34" s="44">
        <f>SUMIF('OS Acq model'!$C$353:$C$381,Summary!$A34,'OS Acq model'!AU$353:AU$381)</f>
        <v>0</v>
      </c>
      <c r="AG34" s="44">
        <f>SUMIF('OS Acq model'!$C$353:$C$381,Summary!$A34,'OS Acq model'!AV$353:AV$381)</f>
        <v>0</v>
      </c>
      <c r="AH34" s="44">
        <f>SUMIF('OS Acq model'!$C$353:$C$381,Summary!$A34,'OS Acq model'!AW$353:AW$381)</f>
        <v>0</v>
      </c>
      <c r="AI34" s="44">
        <f>SUMIF('OS Acq model'!$C$353:$C$381,Summary!$A34,'OS Acq model'!AX$353:AX$381)</f>
        <v>0</v>
      </c>
      <c r="AJ34" s="44">
        <f>SUMIF('OS Acq model'!$C$353:$C$381,Summary!$A34,'OS Acq model'!AY$353:AY$381)</f>
        <v>0</v>
      </c>
      <c r="AK34" s="44">
        <f>SUMIF('OS Acq model'!$C$353:$C$381,Summary!$A34,'OS Acq model'!AZ$353:AZ$381)</f>
        <v>0</v>
      </c>
      <c r="AL34" s="44">
        <f>SUMIF('OS Acq model'!$C$353:$C$381,Summary!$A34,'OS Acq model'!BA$353:BA$381)</f>
        <v>0</v>
      </c>
      <c r="AM34" s="44">
        <f>SUMIF('OS Acq model'!$C$353:$C$381,Summary!$A34,'OS Acq model'!BB$353:BB$381)</f>
        <v>0</v>
      </c>
      <c r="AN34" s="44">
        <f>SUMIF('OS Acq model'!$C$353:$C$381,Summary!$A34,'OS Acq model'!BC$353:BC$381)</f>
        <v>0</v>
      </c>
      <c r="AO34" s="44">
        <f>SUMIF('OS Acq model'!$C$353:$C$381,Summary!$A34,'OS Acq model'!BD$353:BD$381)</f>
        <v>0</v>
      </c>
      <c r="AP34" s="44">
        <f>SUMIF('OS Acq model'!$C$353:$C$381,Summary!$A34,'OS Acq model'!BE$353:BE$381)</f>
        <v>0</v>
      </c>
      <c r="AQ34" s="44">
        <f>SUMIF('OS Acq model'!$C$353:$C$381,Summary!$A34,'OS Acq model'!BF$353:BF$381)</f>
        <v>0</v>
      </c>
      <c r="AR34" s="44">
        <f>SUMIF('OS Acq model'!$C$353:$C$381,Summary!$A34,'OS Acq model'!BG$353:BG$381)</f>
        <v>0</v>
      </c>
    </row>
    <row r="35" spans="1:44" s="2" customFormat="1" x14ac:dyDescent="0.3">
      <c r="A35" s="2" t="str">
        <f>'OS Acq model'!B381</f>
        <v>Reg Sportsfield</v>
      </c>
      <c r="B35" s="53">
        <v>10</v>
      </c>
      <c r="C35" s="55">
        <v>0</v>
      </c>
      <c r="D35" s="56">
        <f t="shared" si="1"/>
        <v>1</v>
      </c>
      <c r="E35" s="14">
        <v>1</v>
      </c>
      <c r="F35" s="14">
        <f>AVERAGE(D35:E35)</f>
        <v>1</v>
      </c>
      <c r="G35" s="44">
        <f t="shared" si="3"/>
        <v>118.02525630441104</v>
      </c>
      <c r="H35" s="44">
        <f t="shared" si="4"/>
        <v>72.634585876801495</v>
      </c>
      <c r="I35" s="44">
        <f t="shared" si="5"/>
        <v>25.215095492684547</v>
      </c>
      <c r="J35" s="44">
        <f t="shared" si="6"/>
        <v>20.175574934925002</v>
      </c>
      <c r="K35" s="44">
        <f t="shared" si="7"/>
        <v>0</v>
      </c>
      <c r="L35" s="44">
        <f t="shared" si="8"/>
        <v>118.02525630441104</v>
      </c>
      <c r="M35" s="44">
        <f>SUMIF('OS Acq model'!$C$353:$C$381,Summary!$A35,'OS Acq model'!AB$353:AB$381)</f>
        <v>0</v>
      </c>
      <c r="N35" s="44">
        <f>SUMIF('OS Acq model'!$C$353:$C$381,Summary!$A35,'OS Acq model'!AC$353:AC$381)</f>
        <v>2.6446414646628109</v>
      </c>
      <c r="O35" s="44">
        <f>SUMIF('OS Acq model'!$C$353:$C$381,Summary!$A35,'OS Acq model'!AD$353:AD$381)</f>
        <v>5.5166457000520417</v>
      </c>
      <c r="P35" s="44">
        <f>SUMIF('OS Acq model'!$C$353:$C$381,Summary!$A35,'OS Acq model'!AE$353:AE$381)</f>
        <v>16.824181452135825</v>
      </c>
      <c r="Q35" s="44">
        <f>SUMIF('OS Acq model'!$C$353:$C$381,Summary!$A35,'OS Acq model'!AF$353:AF$381)</f>
        <v>18.018339413090629</v>
      </c>
      <c r="R35" s="44">
        <f>SUMIF('OS Acq model'!$C$353:$C$381,Summary!$A35,'OS Acq model'!AG$353:AG$381)</f>
        <v>19.297274692985997</v>
      </c>
      <c r="S35" s="44">
        <f>SUMIF('OS Acq model'!$C$353:$C$381,Summary!$A35,'OS Acq model'!AH$353:AH$381)</f>
        <v>10.33350315387419</v>
      </c>
      <c r="T35" s="44">
        <f>SUMIF('OS Acq model'!$C$353:$C$381,Summary!$A35,'OS Acq model'!AI$353:AI$381)</f>
        <v>0</v>
      </c>
      <c r="U35" s="44">
        <f>SUMIF('OS Acq model'!$C$353:$C$381,Summary!$A35,'OS Acq model'!AJ$353:AJ$381)</f>
        <v>0</v>
      </c>
      <c r="V35" s="44">
        <f>SUMIF('OS Acq model'!$C$353:$C$381,Summary!$A35,'OS Acq model'!AK$353:AK$381)</f>
        <v>0</v>
      </c>
      <c r="W35" s="44">
        <f>SUMIF('OS Acq model'!$C$353:$C$381,Summary!$A35,'OS Acq model'!AL$353:AL$381)</f>
        <v>0</v>
      </c>
      <c r="X35" s="44">
        <f>SUMIF('OS Acq model'!$C$353:$C$381,Summary!$A35,'OS Acq model'!AM$353:AM$381)</f>
        <v>0</v>
      </c>
      <c r="Y35" s="44">
        <f>SUMIF('OS Acq model'!$C$353:$C$381,Summary!$A35,'OS Acq model'!AN$353:AN$381)</f>
        <v>0</v>
      </c>
      <c r="Z35" s="44">
        <f>SUMIF('OS Acq model'!$C$353:$C$381,Summary!$A35,'OS Acq model'!AO$353:AO$381)</f>
        <v>2.4458207629605733</v>
      </c>
      <c r="AA35" s="44">
        <f>SUMIF('OS Acq model'!$C$353:$C$381,Summary!$A35,'OS Acq model'!AP$353:AP$381)</f>
        <v>2.6191765844031831</v>
      </c>
      <c r="AB35" s="44">
        <f>SUMIF('OS Acq model'!$C$353:$C$381,Summary!$A35,'OS Acq model'!AQ$353:AQ$381)</f>
        <v>2.8048341252082114</v>
      </c>
      <c r="AC35" s="44">
        <f>SUMIF('OS Acq model'!$C$353:$C$381,Summary!$A35,'OS Acq model'!AR$353:AR$381)</f>
        <v>3.9012026661621984</v>
      </c>
      <c r="AD35" s="44">
        <f>SUMIF('OS Acq model'!$C$353:$C$381,Summary!$A35,'OS Acq model'!AS$353:AS$381)</f>
        <v>4.1779499157025279</v>
      </c>
      <c r="AE35" s="44">
        <f>SUMIF('OS Acq model'!$C$353:$C$381,Summary!$A35,'OS Acq model'!AT$353:AT$381)</f>
        <v>4.4743409808855619</v>
      </c>
      <c r="AF35" s="44">
        <f>SUMIF('OS Acq model'!$C$353:$C$381,Summary!$A35,'OS Acq model'!AU$353:AU$381)</f>
        <v>4.7917704573622917</v>
      </c>
      <c r="AG35" s="44">
        <f>SUMIF('OS Acq model'!$C$353:$C$381,Summary!$A35,'OS Acq model'!AV$353:AV$381)</f>
        <v>4.5375698074117876</v>
      </c>
      <c r="AH35" s="44">
        <f>SUMIF('OS Acq model'!$C$353:$C$381,Summary!$A35,'OS Acq model'!AW$353:AW$381)</f>
        <v>4.8596073648318709</v>
      </c>
      <c r="AI35" s="44">
        <f>SUMIF('OS Acq model'!$C$353:$C$381,Summary!$A35,'OS Acq model'!AX$353:AX$381)</f>
        <v>5.2045067310528434</v>
      </c>
      <c r="AJ35" s="44">
        <f>SUMIF('OS Acq model'!$C$353:$C$381,Summary!$A35,'OS Acq model'!AY$353:AY$381)</f>
        <v>5.5738910316284995</v>
      </c>
      <c r="AK35" s="44">
        <f>SUMIF('OS Acq model'!$C$353:$C$381,Summary!$A35,'OS Acq model'!AZ$353:AZ$381)</f>
        <v>0</v>
      </c>
      <c r="AL35" s="44">
        <f>SUMIF('OS Acq model'!$C$353:$C$381,Summary!$A35,'OS Acq model'!BA$353:BA$381)</f>
        <v>0</v>
      </c>
      <c r="AM35" s="44">
        <f>SUMIF('OS Acq model'!$C$353:$C$381,Summary!$A35,'OS Acq model'!BB$353:BB$381)</f>
        <v>0</v>
      </c>
      <c r="AN35" s="44">
        <f>SUMIF('OS Acq model'!$C$353:$C$381,Summary!$A35,'OS Acq model'!BC$353:BC$381)</f>
        <v>0</v>
      </c>
      <c r="AO35" s="44">
        <f>SUMIF('OS Acq model'!$C$353:$C$381,Summary!$A35,'OS Acq model'!BD$353:BD$381)</f>
        <v>0</v>
      </c>
      <c r="AP35" s="44">
        <f>SUMIF('OS Acq model'!$C$353:$C$381,Summary!$A35,'OS Acq model'!BE$353:BE$381)</f>
        <v>0</v>
      </c>
      <c r="AQ35" s="44">
        <f>SUMIF('OS Acq model'!$C$353:$C$381,Summary!$A35,'OS Acq model'!BF$353:BF$381)</f>
        <v>0</v>
      </c>
      <c r="AR35" s="44">
        <f>SUMIF('OS Acq model'!$C$353:$C$381,Summary!$A35,'OS Acq model'!BG$353:BG$381)</f>
        <v>0</v>
      </c>
    </row>
    <row r="36" spans="1:44" s="2" customFormat="1" x14ac:dyDescent="0.3">
      <c r="A36" s="2" t="str">
        <f>'OS Acq model'!B382</f>
        <v>Total</v>
      </c>
      <c r="B36" s="53"/>
      <c r="C36" s="55"/>
      <c r="D36" s="56"/>
      <c r="G36" s="60">
        <f t="shared" ref="G36:M36" si="17">SUM(G12:G35)</f>
        <v>3896.2754002748466</v>
      </c>
      <c r="H36" s="60">
        <f t="shared" si="17"/>
        <v>396.73453993936744</v>
      </c>
      <c r="I36" s="60">
        <f t="shared" si="17"/>
        <v>1747.5193686191146</v>
      </c>
      <c r="J36" s="60">
        <f t="shared" si="17"/>
        <v>1752.0214917163651</v>
      </c>
      <c r="K36" s="60">
        <f t="shared" si="17"/>
        <v>1335.0285912160916</v>
      </c>
      <c r="L36" s="60">
        <f t="shared" si="17"/>
        <v>5231.3039914909396</v>
      </c>
      <c r="M36" s="60">
        <f t="shared" si="17"/>
        <v>33.453160579999995</v>
      </c>
      <c r="N36" s="60">
        <f t="shared" ref="N36:AR36" si="18">SUM(N12:N35)</f>
        <v>24.039469839999995</v>
      </c>
      <c r="O36" s="60">
        <f t="shared" si="18"/>
        <v>25.906675280000012</v>
      </c>
      <c r="P36" s="60">
        <f t="shared" si="18"/>
        <v>30.168247409999999</v>
      </c>
      <c r="Q36" s="60">
        <f t="shared" si="18"/>
        <v>37.667599000000024</v>
      </c>
      <c r="R36" s="60">
        <f t="shared" si="18"/>
        <v>61.372845659999982</v>
      </c>
      <c r="S36" s="60">
        <f t="shared" si="18"/>
        <v>51.777209506680123</v>
      </c>
      <c r="T36" s="60">
        <f t="shared" si="18"/>
        <v>50.058611997174225</v>
      </c>
      <c r="U36" s="60">
        <f t="shared" si="18"/>
        <v>45.234530705513109</v>
      </c>
      <c r="V36" s="60">
        <f t="shared" si="18"/>
        <v>37.056189959999998</v>
      </c>
      <c r="W36" s="60">
        <f t="shared" si="18"/>
        <v>154.25693541399977</v>
      </c>
      <c r="X36" s="60">
        <f t="shared" si="18"/>
        <v>165.20951034614262</v>
      </c>
      <c r="Y36" s="60">
        <f t="shared" si="18"/>
        <v>176.93945658180363</v>
      </c>
      <c r="Z36" s="60">
        <f t="shared" si="18"/>
        <v>189.50217013823828</v>
      </c>
      <c r="AA36" s="60">
        <f t="shared" si="18"/>
        <v>202.95996706989621</v>
      </c>
      <c r="AB36" s="60">
        <f t="shared" si="18"/>
        <v>217.37428186735616</v>
      </c>
      <c r="AC36" s="60">
        <f t="shared" si="18"/>
        <v>212.90811821771675</v>
      </c>
      <c r="AD36" s="60">
        <f t="shared" si="18"/>
        <v>163.32173981385782</v>
      </c>
      <c r="AE36" s="60">
        <f t="shared" si="18"/>
        <v>113.43728210682605</v>
      </c>
      <c r="AF36" s="60">
        <f t="shared" si="18"/>
        <v>151.60990706327732</v>
      </c>
      <c r="AG36" s="60">
        <f t="shared" si="18"/>
        <v>133.01545341524982</v>
      </c>
      <c r="AH36" s="60">
        <f t="shared" si="18"/>
        <v>145.5764820936123</v>
      </c>
      <c r="AI36" s="60">
        <f t="shared" si="18"/>
        <v>89.873140630306011</v>
      </c>
      <c r="AJ36" s="60">
        <f t="shared" si="18"/>
        <v>96.236699078268998</v>
      </c>
      <c r="AK36" s="60">
        <f t="shared" si="18"/>
        <v>118.31824956456752</v>
      </c>
      <c r="AL36" s="60">
        <f t="shared" si="18"/>
        <v>143.92650794912518</v>
      </c>
      <c r="AM36" s="60">
        <f t="shared" si="18"/>
        <v>154.12175506035223</v>
      </c>
      <c r="AN36" s="60">
        <f t="shared" si="18"/>
        <v>129.89804231913206</v>
      </c>
      <c r="AO36" s="60">
        <f t="shared" si="18"/>
        <v>139.10045708913614</v>
      </c>
      <c r="AP36" s="60">
        <f t="shared" si="18"/>
        <v>601.95470451661504</v>
      </c>
      <c r="AQ36" s="60">
        <f t="shared" si="18"/>
        <v>644.65093323673022</v>
      </c>
      <c r="AR36" s="60">
        <f t="shared" si="18"/>
        <v>690.3776579793614</v>
      </c>
    </row>
    <row r="37" spans="1:44" x14ac:dyDescent="0.25">
      <c r="L37" s="68">
        <f>'OS Acq model'!W382-L36</f>
        <v>0</v>
      </c>
      <c r="M37" s="68">
        <f>'OS Acq model'!AB382-M36</f>
        <v>0</v>
      </c>
      <c r="N37" s="68">
        <f>'OS Acq model'!AC382-N36</f>
        <v>0</v>
      </c>
      <c r="O37" s="68">
        <f>'OS Acq model'!AD382-O36</f>
        <v>0</v>
      </c>
      <c r="P37" s="68">
        <f>'OS Acq model'!AE382-P36</f>
        <v>0</v>
      </c>
      <c r="Q37" s="68">
        <f>'OS Acq model'!AF382-Q36</f>
        <v>0</v>
      </c>
      <c r="R37" s="68">
        <f>'OS Acq model'!AG382-R36</f>
        <v>0</v>
      </c>
      <c r="S37" s="68">
        <f>'OS Acq model'!AH382-S36</f>
        <v>0</v>
      </c>
      <c r="T37" s="68">
        <f>'OS Acq model'!AI382-T36</f>
        <v>0</v>
      </c>
      <c r="U37" s="68">
        <f>'OS Acq model'!AJ382-U36</f>
        <v>0</v>
      </c>
      <c r="V37" s="68">
        <f>'OS Acq model'!AK382-V36</f>
        <v>0</v>
      </c>
      <c r="W37" s="68">
        <f>'OS Acq model'!AL382-W36</f>
        <v>0</v>
      </c>
      <c r="X37" s="68">
        <f>'OS Acq model'!AM382-X36</f>
        <v>0</v>
      </c>
      <c r="Y37" s="68">
        <f>'OS Acq model'!AN382-Y36</f>
        <v>0</v>
      </c>
      <c r="Z37" s="68">
        <f>'OS Acq model'!AO382-Z36</f>
        <v>0</v>
      </c>
      <c r="AA37" s="68">
        <f>'OS Acq model'!AP382-AA36</f>
        <v>0</v>
      </c>
      <c r="AB37" s="68">
        <f>'OS Acq model'!AQ382-AB36</f>
        <v>0</v>
      </c>
      <c r="AC37" s="68">
        <f>'OS Acq model'!AR382-AC36</f>
        <v>0</v>
      </c>
      <c r="AD37" s="68">
        <f>'OS Acq model'!AS382-AD36</f>
        <v>0</v>
      </c>
      <c r="AE37" s="68">
        <f>'OS Acq model'!AT382-AE36</f>
        <v>0</v>
      </c>
      <c r="AF37" s="68">
        <f>'OS Acq model'!AU382-AF36</f>
        <v>0</v>
      </c>
      <c r="AG37" s="68">
        <f>'OS Acq model'!AV382-AG36</f>
        <v>0</v>
      </c>
      <c r="AH37" s="68">
        <f>'OS Acq model'!AW382-AH36</f>
        <v>0</v>
      </c>
      <c r="AI37" s="68">
        <f>'OS Acq model'!AX382-AI36</f>
        <v>0</v>
      </c>
      <c r="AJ37" s="68">
        <f>'OS Acq model'!AY382-AJ36</f>
        <v>0</v>
      </c>
      <c r="AK37" s="68">
        <f>'OS Acq model'!AZ382-AK36</f>
        <v>0</v>
      </c>
      <c r="AL37" s="68">
        <f>'OS Acq model'!BA382-AL36</f>
        <v>0</v>
      </c>
      <c r="AM37" s="68">
        <f>'OS Acq model'!BB382-AM36</f>
        <v>0</v>
      </c>
      <c r="AN37" s="68">
        <f>'OS Acq model'!BC382-AN36</f>
        <v>0</v>
      </c>
      <c r="AO37" s="68">
        <f>'OS Acq model'!BD382-AO36</f>
        <v>0</v>
      </c>
      <c r="AP37" s="68">
        <f>'OS Acq model'!BE382-AP36</f>
        <v>0</v>
      </c>
      <c r="AQ37" s="68">
        <f>'OS Acq model'!BF382-AQ36</f>
        <v>0</v>
      </c>
      <c r="AR37" s="68">
        <f>'OS Acq model'!BG382-AR36</f>
        <v>0</v>
      </c>
    </row>
    <row r="38" spans="1:44" ht="14.4" x14ac:dyDescent="0.3">
      <c r="A38" s="2" t="s">
        <v>426</v>
      </c>
    </row>
    <row r="39" spans="1:44" ht="14.4" x14ac:dyDescent="0.3">
      <c r="A39" s="2" t="s">
        <v>414</v>
      </c>
      <c r="P39" s="80"/>
    </row>
    <row r="40" spans="1:44" ht="14.4" x14ac:dyDescent="0.3">
      <c r="G40" s="60"/>
      <c r="H40" s="60"/>
      <c r="I40" s="60"/>
      <c r="J40" s="60"/>
      <c r="K40" s="60"/>
      <c r="L40" s="60"/>
      <c r="AE40" s="79"/>
    </row>
    <row r="41" spans="1:44" x14ac:dyDescent="0.25">
      <c r="A41" s="1" t="s">
        <v>478</v>
      </c>
      <c r="J41" s="79"/>
      <c r="AB41" s="79"/>
    </row>
    <row r="42" spans="1:44" x14ac:dyDescent="0.25">
      <c r="A42" s="1" t="s">
        <v>479</v>
      </c>
      <c r="J42" s="79"/>
      <c r="AB42" s="79"/>
    </row>
    <row r="43" spans="1:44" x14ac:dyDescent="0.25">
      <c r="A43" s="1" t="s">
        <v>480</v>
      </c>
      <c r="T43" s="80"/>
    </row>
    <row r="44" spans="1:44" x14ac:dyDescent="0.25">
      <c r="A44" s="69" t="s">
        <v>444</v>
      </c>
      <c r="B44" s="69"/>
      <c r="C44" s="69" t="s">
        <v>428</v>
      </c>
      <c r="D44" s="70" t="s">
        <v>429</v>
      </c>
      <c r="E44" s="69" t="s">
        <v>430</v>
      </c>
      <c r="F44" s="69" t="s">
        <v>431</v>
      </c>
      <c r="O44" s="83"/>
      <c r="P44" s="82"/>
      <c r="Q44" s="81"/>
      <c r="R44" s="82"/>
    </row>
    <row r="45" spans="1:44" x14ac:dyDescent="0.25">
      <c r="A45" s="1" t="str">
        <f t="shared" ref="A45:A58" si="19">A12</f>
        <v>Rural North</v>
      </c>
      <c r="C45" s="1" t="s">
        <v>445</v>
      </c>
      <c r="D45" s="71">
        <v>23723.479513013292</v>
      </c>
      <c r="E45" s="71">
        <v>24313.586419465857</v>
      </c>
      <c r="F45" s="72">
        <f>D45/E45</f>
        <v>0.97572933518437588</v>
      </c>
      <c r="O45" s="83"/>
      <c r="P45" s="82"/>
      <c r="Q45" s="82"/>
      <c r="R45" s="82"/>
    </row>
    <row r="46" spans="1:44" x14ac:dyDescent="0.25">
      <c r="A46" s="1" t="str">
        <f t="shared" si="19"/>
        <v>Warkworth</v>
      </c>
      <c r="C46" s="1" t="s">
        <v>22</v>
      </c>
      <c r="D46" s="71">
        <v>6981.2497317481011</v>
      </c>
      <c r="E46" s="71">
        <v>16646.376350999995</v>
      </c>
      <c r="F46" s="72">
        <f>D46/E46</f>
        <v>0.4193855518188328</v>
      </c>
      <c r="O46" s="83"/>
      <c r="P46" s="82"/>
      <c r="Q46" s="82"/>
      <c r="R46" s="82"/>
    </row>
    <row r="47" spans="1:44" x14ac:dyDescent="0.25">
      <c r="A47" s="1" t="str">
        <f t="shared" si="19"/>
        <v>Hibiscus</v>
      </c>
      <c r="C47" s="1" t="s">
        <v>183</v>
      </c>
      <c r="D47" s="71">
        <v>59307.691107329876</v>
      </c>
      <c r="E47" s="71">
        <v>62739.32891388976</v>
      </c>
      <c r="F47" s="72">
        <f t="shared" ref="F47:F67" si="20">D47/E47</f>
        <v>0.94530324334087423</v>
      </c>
      <c r="O47" s="83"/>
      <c r="P47" s="82"/>
      <c r="Q47" s="82"/>
      <c r="R47" s="82"/>
    </row>
    <row r="48" spans="1:44" x14ac:dyDescent="0.25">
      <c r="A48" s="1" t="str">
        <f t="shared" si="19"/>
        <v>Wainui east MD</v>
      </c>
      <c r="C48" s="1" t="s">
        <v>432</v>
      </c>
      <c r="D48" s="71">
        <v>3690.4494288612327</v>
      </c>
      <c r="E48" s="71">
        <v>24207.194006349469</v>
      </c>
      <c r="F48" s="72">
        <f t="shared" si="20"/>
        <v>0.15245259024624</v>
      </c>
      <c r="O48" s="82"/>
      <c r="P48" s="82"/>
      <c r="Q48" s="82"/>
      <c r="R48" s="82"/>
      <c r="S48" s="82"/>
    </row>
    <row r="49" spans="1:30" x14ac:dyDescent="0.25">
      <c r="A49" s="1" t="str">
        <f t="shared" si="19"/>
        <v>Dairy Flat (incl W.East new)</v>
      </c>
      <c r="C49" s="1" t="s">
        <v>433</v>
      </c>
      <c r="D49" s="71">
        <v>6615.6188949418374</v>
      </c>
      <c r="E49" s="71">
        <v>16848.69435826072</v>
      </c>
      <c r="F49" s="72">
        <f t="shared" si="20"/>
        <v>0.39264875688710421</v>
      </c>
    </row>
    <row r="50" spans="1:30" x14ac:dyDescent="0.25">
      <c r="A50" s="1" t="str">
        <f t="shared" si="19"/>
        <v>North Shore</v>
      </c>
      <c r="C50" s="1" t="s">
        <v>25</v>
      </c>
      <c r="D50" s="71">
        <v>246083.4923481803</v>
      </c>
      <c r="E50" s="71">
        <v>287816.71974183404</v>
      </c>
      <c r="F50" s="72">
        <f t="shared" si="20"/>
        <v>0.85500068435535082</v>
      </c>
    </row>
    <row r="51" spans="1:30" x14ac:dyDescent="0.25">
      <c r="A51" s="1" t="str">
        <f t="shared" si="19"/>
        <v>Rural NW</v>
      </c>
      <c r="C51" s="1" t="s">
        <v>434</v>
      </c>
      <c r="D51" s="71">
        <v>41200.94295751123</v>
      </c>
      <c r="E51" s="71">
        <v>41323.397432609738</v>
      </c>
      <c r="F51" s="72">
        <f t="shared" si="20"/>
        <v>0.99703667939456797</v>
      </c>
      <c r="O51" s="83"/>
      <c r="P51" s="83"/>
      <c r="Q51" s="83"/>
      <c r="R51" s="83"/>
      <c r="S51" s="83"/>
      <c r="Y51" s="82"/>
      <c r="AC51" s="81"/>
      <c r="AD51" s="81"/>
    </row>
    <row r="52" spans="1:30" x14ac:dyDescent="0.25">
      <c r="A52" s="1" t="str">
        <f t="shared" si="19"/>
        <v>Kumeu-Huapai-RH</v>
      </c>
      <c r="C52" s="1" t="s">
        <v>435</v>
      </c>
      <c r="D52" s="71">
        <v>13166.551786959741</v>
      </c>
      <c r="E52" s="71">
        <v>30391.841967709282</v>
      </c>
      <c r="F52" s="72">
        <f t="shared" si="20"/>
        <v>0.43322651522566274</v>
      </c>
      <c r="O52" s="83"/>
      <c r="P52" s="83"/>
      <c r="Q52" s="83"/>
      <c r="R52" s="83"/>
      <c r="S52" s="83"/>
      <c r="Y52" s="82"/>
      <c r="AC52" s="81"/>
      <c r="AD52" s="81"/>
    </row>
    <row r="53" spans="1:30" x14ac:dyDescent="0.25">
      <c r="A53" s="1" t="str">
        <f t="shared" si="19"/>
        <v>Kumeu-Huapai-RH RedFlag</v>
      </c>
      <c r="D53" s="71">
        <v>0</v>
      </c>
      <c r="E53" s="71">
        <v>0</v>
      </c>
      <c r="F53" s="72"/>
      <c r="O53" s="83"/>
      <c r="P53" s="83"/>
      <c r="Q53" s="83"/>
      <c r="R53" s="83"/>
      <c r="S53" s="83"/>
      <c r="Y53" s="82"/>
      <c r="AC53" s="81"/>
      <c r="AD53" s="81"/>
    </row>
    <row r="54" spans="1:30" x14ac:dyDescent="0.25">
      <c r="A54" s="1" t="str">
        <f t="shared" si="19"/>
        <v>Whenuapai</v>
      </c>
      <c r="C54" s="1" t="s">
        <v>28</v>
      </c>
      <c r="D54" s="71">
        <v>5395.3792020563924</v>
      </c>
      <c r="E54" s="71">
        <v>30660.45389574386</v>
      </c>
      <c r="F54" s="72">
        <f t="shared" si="20"/>
        <v>0.17597192854360691</v>
      </c>
      <c r="O54" s="83"/>
      <c r="P54" s="83"/>
      <c r="Q54" s="83"/>
      <c r="R54" s="83"/>
      <c r="S54" s="83"/>
      <c r="Y54" s="82"/>
      <c r="AC54" s="81"/>
      <c r="AD54" s="81"/>
    </row>
    <row r="55" spans="1:30" x14ac:dyDescent="0.25">
      <c r="A55" s="1" t="str">
        <f t="shared" si="19"/>
        <v>ScottPt-BombPt</v>
      </c>
      <c r="C55" s="1" t="s">
        <v>436</v>
      </c>
      <c r="D55" s="71">
        <v>9970.4735300531902</v>
      </c>
      <c r="E55" s="71">
        <v>15723.636346770307</v>
      </c>
      <c r="F55" s="72">
        <f t="shared" si="20"/>
        <v>0.63410735978393207</v>
      </c>
      <c r="O55" s="83"/>
      <c r="P55" s="83"/>
      <c r="Q55" s="83"/>
      <c r="R55" s="83"/>
      <c r="S55" s="83"/>
      <c r="Y55" s="82"/>
      <c r="AC55" s="81"/>
      <c r="AD55" s="81"/>
    </row>
    <row r="56" spans="1:30" x14ac:dyDescent="0.25">
      <c r="A56" s="1" t="str">
        <f t="shared" si="19"/>
        <v>Redhills</v>
      </c>
      <c r="C56" s="1" t="s">
        <v>437</v>
      </c>
      <c r="D56" s="71">
        <v>3096.0483127034945</v>
      </c>
      <c r="E56" s="71">
        <v>31356.347441716869</v>
      </c>
      <c r="F56" s="72">
        <f t="shared" si="20"/>
        <v>9.8737530525780368E-2</v>
      </c>
      <c r="O56" s="83"/>
      <c r="P56" s="83"/>
      <c r="Q56" s="83"/>
      <c r="R56" s="83"/>
      <c r="S56" s="83"/>
      <c r="Y56" s="82"/>
      <c r="AC56" s="81"/>
      <c r="AD56" s="81"/>
    </row>
    <row r="57" spans="1:30" x14ac:dyDescent="0.25">
      <c r="A57" s="1" t="str">
        <f t="shared" si="19"/>
        <v>Roskill</v>
      </c>
      <c r="C57" s="1" t="s">
        <v>438</v>
      </c>
      <c r="D57" s="71">
        <v>61249.126508680565</v>
      </c>
      <c r="E57" s="71">
        <v>91402.901290374823</v>
      </c>
      <c r="F57" s="72">
        <f t="shared" si="20"/>
        <v>0.67010046337698037</v>
      </c>
      <c r="O57" s="83"/>
      <c r="P57" s="83"/>
      <c r="Q57" s="83"/>
      <c r="R57" s="83"/>
      <c r="S57" s="83"/>
      <c r="Y57" s="82"/>
      <c r="AC57" s="81"/>
      <c r="AD57" s="81"/>
    </row>
    <row r="58" spans="1:30" x14ac:dyDescent="0.25">
      <c r="A58" s="1" t="str">
        <f t="shared" si="19"/>
        <v>Mangere</v>
      </c>
      <c r="C58" s="1" t="s">
        <v>439</v>
      </c>
      <c r="D58" s="71">
        <v>50443.639015625209</v>
      </c>
      <c r="E58" s="71">
        <v>95820.75335615786</v>
      </c>
      <c r="F58" s="72">
        <f t="shared" si="20"/>
        <v>0.52643751221752921</v>
      </c>
      <c r="O58" s="83"/>
      <c r="P58" s="83"/>
      <c r="Q58" s="83"/>
      <c r="R58" s="83"/>
      <c r="S58" s="83"/>
      <c r="Y58" s="82"/>
      <c r="AC58" s="81"/>
      <c r="AD58" s="81"/>
    </row>
    <row r="59" spans="1:30" x14ac:dyDescent="0.25">
      <c r="A59" s="1" t="s">
        <v>32</v>
      </c>
      <c r="C59" s="1" t="s">
        <v>32</v>
      </c>
      <c r="D59" s="71">
        <v>36713</v>
      </c>
      <c r="E59" s="71">
        <v>45601</v>
      </c>
      <c r="F59" s="72">
        <f t="shared" si="20"/>
        <v>0.80509199359663164</v>
      </c>
      <c r="O59" s="83"/>
      <c r="P59" s="83"/>
      <c r="Q59" s="83"/>
      <c r="R59" s="83"/>
      <c r="S59" s="83"/>
      <c r="Y59" s="82"/>
      <c r="AC59" s="81"/>
      <c r="AD59" s="81"/>
    </row>
    <row r="60" spans="1:30" x14ac:dyDescent="0.25">
      <c r="A60" s="1" t="str">
        <f t="shared" ref="A60:A69" si="21">A27</f>
        <v>South (West)</v>
      </c>
      <c r="C60" s="1" t="s">
        <v>440</v>
      </c>
      <c r="D60" s="71">
        <v>265948.88081491936</v>
      </c>
      <c r="E60" s="71">
        <v>308832.23361200525</v>
      </c>
      <c r="F60" s="72">
        <f t="shared" si="20"/>
        <v>0.86114353318779069</v>
      </c>
      <c r="O60" s="83"/>
      <c r="P60" s="83"/>
      <c r="Q60" s="83"/>
      <c r="R60" s="83"/>
      <c r="S60" s="83"/>
      <c r="Y60" s="82"/>
      <c r="AC60" s="81"/>
      <c r="AD60" s="81"/>
    </row>
    <row r="61" spans="1:30" x14ac:dyDescent="0.25">
      <c r="A61" s="1" t="str">
        <f t="shared" si="21"/>
        <v>Takanini North</v>
      </c>
      <c r="C61" s="1" t="s">
        <v>194</v>
      </c>
      <c r="D61" s="71">
        <v>247.54072056032936</v>
      </c>
      <c r="E61" s="71">
        <v>220.71426176441719</v>
      </c>
      <c r="F61" s="72">
        <f t="shared" si="20"/>
        <v>1.1215438394486072</v>
      </c>
      <c r="O61" s="83"/>
      <c r="P61" s="83"/>
      <c r="Q61" s="83"/>
      <c r="R61" s="83"/>
      <c r="S61" s="83"/>
      <c r="Y61" s="82"/>
      <c r="AC61" s="81"/>
      <c r="AD61" s="81"/>
    </row>
    <row r="62" spans="1:30" x14ac:dyDescent="0.25">
      <c r="A62" s="1" t="str">
        <f t="shared" si="21"/>
        <v>Takanini South</v>
      </c>
      <c r="C62" s="1" t="s">
        <v>193</v>
      </c>
      <c r="D62" s="71">
        <v>20744.521929507526</v>
      </c>
      <c r="E62" s="71">
        <v>22392.736684999014</v>
      </c>
      <c r="F62" s="72">
        <f t="shared" si="20"/>
        <v>0.92639511736876567</v>
      </c>
      <c r="O62" s="83"/>
      <c r="P62" s="83"/>
      <c r="Q62" s="83"/>
      <c r="R62" s="83"/>
      <c r="S62" s="83"/>
      <c r="Y62" s="82"/>
      <c r="AC62" s="81"/>
      <c r="AD62" s="81"/>
    </row>
    <row r="63" spans="1:30" x14ac:dyDescent="0.25">
      <c r="A63" s="1" t="str">
        <f t="shared" si="21"/>
        <v>Hingaia</v>
      </c>
      <c r="C63" s="1" t="s">
        <v>39</v>
      </c>
      <c r="D63" s="71">
        <v>6142.3574382886109</v>
      </c>
      <c r="E63" s="71">
        <v>11739.352909503174</v>
      </c>
      <c r="F63" s="72">
        <f t="shared" si="20"/>
        <v>0.5232279398736096</v>
      </c>
      <c r="O63" s="83"/>
      <c r="P63" s="83"/>
      <c r="Q63" s="83"/>
      <c r="R63" s="83"/>
      <c r="S63" s="83"/>
      <c r="Y63" s="82"/>
      <c r="AC63" s="81"/>
      <c r="AD63" s="81"/>
    </row>
    <row r="64" spans="1:30" x14ac:dyDescent="0.25">
      <c r="A64" s="1" t="str">
        <f t="shared" si="21"/>
        <v>Drury</v>
      </c>
      <c r="C64" s="1" t="s">
        <v>37</v>
      </c>
      <c r="D64" s="71">
        <v>5964.2531693241481</v>
      </c>
      <c r="E64" s="71">
        <v>61294.742770028548</v>
      </c>
      <c r="F64" s="72">
        <f t="shared" si="20"/>
        <v>9.7304481588272609E-2</v>
      </c>
      <c r="O64" s="83"/>
      <c r="P64" s="83"/>
      <c r="Q64" s="83"/>
      <c r="R64" s="83"/>
      <c r="S64" s="83"/>
      <c r="Y64" s="82"/>
      <c r="AC64" s="81"/>
      <c r="AD64" s="81"/>
    </row>
    <row r="65" spans="1:30" x14ac:dyDescent="0.25">
      <c r="A65" s="1" t="str">
        <f t="shared" si="21"/>
        <v>Rural SE</v>
      </c>
      <c r="C65" s="1" t="s">
        <v>441</v>
      </c>
      <c r="D65" s="71">
        <v>28030.279341683876</v>
      </c>
      <c r="E65" s="71">
        <v>30790.227093155601</v>
      </c>
      <c r="F65" s="72">
        <f t="shared" si="20"/>
        <v>0.9103628647128349</v>
      </c>
      <c r="O65" s="83"/>
      <c r="P65" s="83"/>
      <c r="Q65" s="83"/>
      <c r="R65" s="83"/>
      <c r="S65" s="83"/>
      <c r="Y65" s="82"/>
      <c r="AC65" s="81"/>
      <c r="AD65" s="81"/>
    </row>
    <row r="66" spans="1:30" x14ac:dyDescent="0.25">
      <c r="A66" s="1" t="str">
        <f t="shared" si="21"/>
        <v>Pukekohe</v>
      </c>
      <c r="C66" s="1" t="s">
        <v>40</v>
      </c>
      <c r="D66" s="71">
        <v>28341.714443283374</v>
      </c>
      <c r="E66" s="71">
        <v>52014.980572341767</v>
      </c>
      <c r="F66" s="72">
        <f t="shared" si="20"/>
        <v>0.54487599786500129</v>
      </c>
      <c r="O66" s="83"/>
      <c r="P66" s="83"/>
      <c r="Q66" s="83"/>
      <c r="R66" s="83"/>
      <c r="S66" s="83"/>
      <c r="Y66" s="82"/>
      <c r="AC66" s="81"/>
      <c r="AD66" s="81"/>
    </row>
    <row r="67" spans="1:30" x14ac:dyDescent="0.25">
      <c r="A67" s="1" t="str">
        <f t="shared" si="21"/>
        <v>Rural SW</v>
      </c>
      <c r="C67" s="1" t="s">
        <v>442</v>
      </c>
      <c r="D67" s="71">
        <v>26762.717986115247</v>
      </c>
      <c r="E67" s="71">
        <v>33142.03249567467</v>
      </c>
      <c r="F67" s="72">
        <f t="shared" si="20"/>
        <v>0.80751589358944775</v>
      </c>
      <c r="O67" s="83"/>
      <c r="P67" s="83"/>
      <c r="Q67" s="83"/>
      <c r="R67" s="83"/>
      <c r="S67" s="83"/>
      <c r="Y67" s="82"/>
      <c r="AC67" s="81"/>
      <c r="AD67" s="81"/>
    </row>
    <row r="68" spans="1:30" x14ac:dyDescent="0.25">
      <c r="A68" s="1" t="str">
        <f t="shared" si="21"/>
        <v>Reg Sportsfield</v>
      </c>
      <c r="C68" s="1" t="str">
        <f>'[1]check w cost proj'!F46</f>
        <v>Kumeu / Huapai / Riverhead</v>
      </c>
      <c r="D68" s="71">
        <v>1729776.4871409375</v>
      </c>
      <c r="E68" s="71">
        <v>1943852.6314060953</v>
      </c>
      <c r="F68" s="72">
        <f>D68/E68</f>
        <v>0.88987017801328649</v>
      </c>
      <c r="G68" s="1" t="s">
        <v>443</v>
      </c>
      <c r="O68" s="83"/>
      <c r="P68" s="83"/>
      <c r="Q68" s="83"/>
      <c r="R68" s="83"/>
      <c r="S68" s="83"/>
      <c r="Y68" s="82"/>
      <c r="AC68" s="81"/>
      <c r="AD68" s="81"/>
    </row>
    <row r="69" spans="1:30" x14ac:dyDescent="0.25">
      <c r="A69" s="1" t="str">
        <f t="shared" si="21"/>
        <v>Total</v>
      </c>
      <c r="D69" s="71"/>
      <c r="E69" s="71"/>
      <c r="F69" s="72"/>
      <c r="O69" s="83"/>
      <c r="P69" s="83"/>
      <c r="Q69" s="83"/>
      <c r="R69" s="83"/>
      <c r="S69" s="83"/>
      <c r="Y69" s="82"/>
      <c r="AC69" s="81"/>
      <c r="AD69" s="81"/>
    </row>
    <row r="70" spans="1:30" x14ac:dyDescent="0.25">
      <c r="D70" s="71"/>
      <c r="E70" s="71"/>
      <c r="F70" s="72"/>
      <c r="O70" s="83"/>
      <c r="P70" s="83"/>
      <c r="Q70" s="83"/>
      <c r="R70" s="83"/>
      <c r="S70" s="83"/>
      <c r="Y70" s="82"/>
      <c r="AC70" s="81"/>
      <c r="AD70" s="81"/>
    </row>
    <row r="71" spans="1:30" x14ac:dyDescent="0.25">
      <c r="D71" s="71"/>
      <c r="E71" s="71"/>
      <c r="F71" s="72"/>
      <c r="O71" s="83"/>
      <c r="P71" s="83"/>
      <c r="Q71" s="83"/>
      <c r="R71" s="83"/>
      <c r="S71" s="83"/>
      <c r="Y71" s="82"/>
      <c r="AC71" s="81"/>
      <c r="AD71" s="81"/>
    </row>
    <row r="72" spans="1:30" x14ac:dyDescent="0.25">
      <c r="D72" s="71"/>
      <c r="E72" s="71"/>
      <c r="F72" s="72"/>
      <c r="O72" s="83"/>
      <c r="P72" s="83"/>
      <c r="Q72" s="83"/>
      <c r="R72" s="83"/>
      <c r="S72" s="83"/>
      <c r="Y72" s="82"/>
      <c r="AC72" s="81"/>
      <c r="AD72" s="81"/>
    </row>
    <row r="73" spans="1:30" x14ac:dyDescent="0.25">
      <c r="O73" s="83"/>
      <c r="P73" s="83"/>
      <c r="Q73" s="83"/>
      <c r="R73" s="83"/>
      <c r="S73" s="83"/>
      <c r="Y73" s="83"/>
      <c r="AC73" s="81"/>
      <c r="AD73" s="81"/>
    </row>
    <row r="74" spans="1:30" x14ac:dyDescent="0.25">
      <c r="O74" s="83"/>
      <c r="P74" s="83"/>
      <c r="Q74" s="83"/>
      <c r="R74" s="83"/>
      <c r="S74" s="83"/>
      <c r="Y74" s="82"/>
      <c r="Z74" s="82"/>
      <c r="AA74" s="82"/>
      <c r="AB74" s="86"/>
      <c r="AC74" s="82"/>
      <c r="AD74" s="82"/>
    </row>
    <row r="75" spans="1:30" x14ac:dyDescent="0.25">
      <c r="O75" s="83"/>
      <c r="P75" s="83"/>
      <c r="Q75" s="83"/>
      <c r="R75" s="83"/>
      <c r="S75" s="83"/>
      <c r="T75" s="83"/>
      <c r="U75" s="83"/>
      <c r="V75" s="12"/>
    </row>
    <row r="77" spans="1:30" x14ac:dyDescent="0.25">
      <c r="O77" s="81"/>
      <c r="P77" s="81"/>
      <c r="Q77" s="81"/>
      <c r="R77" s="81"/>
      <c r="S77" s="83"/>
    </row>
    <row r="78" spans="1:30" ht="14.4" x14ac:dyDescent="0.3">
      <c r="O78" s="81"/>
      <c r="P78" s="81"/>
      <c r="Q78" s="81"/>
      <c r="R78" s="81"/>
      <c r="S78" s="81"/>
      <c r="T78" s="81"/>
      <c r="U78" s="85"/>
      <c r="V78" s="12"/>
    </row>
    <row r="79" spans="1:30" x14ac:dyDescent="0.25">
      <c r="O79" s="81"/>
      <c r="P79" s="81"/>
      <c r="Q79" s="81"/>
      <c r="R79" s="81"/>
      <c r="S79" s="81"/>
      <c r="T79" s="81"/>
      <c r="U79" s="81"/>
      <c r="V79" s="81"/>
    </row>
    <row r="100" spans="14:14" ht="14.4" x14ac:dyDescent="0.3">
      <c r="N100"/>
    </row>
    <row r="101" spans="14:14" ht="14.4" x14ac:dyDescent="0.3">
      <c r="N101"/>
    </row>
    <row r="102" spans="14:14" ht="14.4" x14ac:dyDescent="0.3">
      <c r="N102"/>
    </row>
    <row r="103" spans="14:14" ht="14.4" x14ac:dyDescent="0.3">
      <c r="N103"/>
    </row>
    <row r="104" spans="14:14" ht="14.4" x14ac:dyDescent="0.3">
      <c r="N104"/>
    </row>
    <row r="105" spans="14:14" ht="14.4" x14ac:dyDescent="0.3">
      <c r="N105"/>
    </row>
    <row r="106" spans="14:14" ht="14.4" x14ac:dyDescent="0.3">
      <c r="N106"/>
    </row>
    <row r="107" spans="14:14" ht="14.4" x14ac:dyDescent="0.3">
      <c r="N107"/>
    </row>
    <row r="108" spans="14:14" ht="14.4" x14ac:dyDescent="0.3">
      <c r="N108"/>
    </row>
    <row r="109" spans="14:14" ht="14.4" x14ac:dyDescent="0.3">
      <c r="N109"/>
    </row>
    <row r="110" spans="14:14" ht="14.4" x14ac:dyDescent="0.3">
      <c r="N110"/>
    </row>
    <row r="111" spans="14:14" ht="14.4" x14ac:dyDescent="0.3">
      <c r="N111"/>
    </row>
    <row r="112" spans="14:14" ht="14.4" x14ac:dyDescent="0.3">
      <c r="N112"/>
    </row>
    <row r="113" spans="14:14" ht="14.4" x14ac:dyDescent="0.3">
      <c r="N113"/>
    </row>
    <row r="114" spans="14:14" ht="14.4" x14ac:dyDescent="0.3">
      <c r="N114"/>
    </row>
    <row r="115" spans="14:14" ht="14.4" x14ac:dyDescent="0.3">
      <c r="N115"/>
    </row>
    <row r="116" spans="14:14" ht="14.4" x14ac:dyDescent="0.3">
      <c r="N116"/>
    </row>
    <row r="117" spans="14:14" ht="14.4" x14ac:dyDescent="0.3">
      <c r="N117"/>
    </row>
    <row r="118" spans="14:14" ht="14.4" x14ac:dyDescent="0.3">
      <c r="N118"/>
    </row>
    <row r="119" spans="14:14" ht="14.4" x14ac:dyDescent="0.3">
      <c r="N119"/>
    </row>
    <row r="120" spans="14:14" ht="14.4" x14ac:dyDescent="0.3">
      <c r="N120"/>
    </row>
    <row r="121" spans="14:14" ht="14.4" x14ac:dyDescent="0.3">
      <c r="N121"/>
    </row>
    <row r="122" spans="14:14" ht="14.4" x14ac:dyDescent="0.3">
      <c r="N122"/>
    </row>
    <row r="123" spans="14:14" ht="14.4" x14ac:dyDescent="0.3">
      <c r="N123"/>
    </row>
    <row r="124" spans="14:14" ht="14.4" x14ac:dyDescent="0.3">
      <c r="N124"/>
    </row>
    <row r="125" spans="14:14" ht="14.4" x14ac:dyDescent="0.3">
      <c r="N125"/>
    </row>
    <row r="126" spans="14:14" ht="14.4" x14ac:dyDescent="0.3">
      <c r="N126"/>
    </row>
    <row r="127" spans="14:14" ht="14.4" x14ac:dyDescent="0.3">
      <c r="N127"/>
    </row>
    <row r="128" spans="14:14" ht="14.4" x14ac:dyDescent="0.3">
      <c r="N128"/>
    </row>
    <row r="129" spans="14:14" ht="14.4" x14ac:dyDescent="0.3">
      <c r="N129"/>
    </row>
    <row r="130" spans="14:14" ht="14.4" x14ac:dyDescent="0.3">
      <c r="N130"/>
    </row>
    <row r="131" spans="14:14" ht="14.4" x14ac:dyDescent="0.3">
      <c r="N131"/>
    </row>
    <row r="132" spans="14:14" ht="14.4" x14ac:dyDescent="0.3">
      <c r="N132"/>
    </row>
    <row r="133" spans="14:14" ht="14.4" x14ac:dyDescent="0.3">
      <c r="N133"/>
    </row>
    <row r="134" spans="14:14" ht="14.4" x14ac:dyDescent="0.3">
      <c r="N134"/>
    </row>
    <row r="135" spans="14:14" ht="14.4" x14ac:dyDescent="0.3">
      <c r="N135"/>
    </row>
    <row r="136" spans="14:14" ht="14.4" x14ac:dyDescent="0.3">
      <c r="N136"/>
    </row>
    <row r="137" spans="14:14" ht="14.4" x14ac:dyDescent="0.3">
      <c r="N137"/>
    </row>
    <row r="138" spans="14:14" ht="14.4" x14ac:dyDescent="0.3">
      <c r="N138"/>
    </row>
    <row r="139" spans="14:14" ht="14.4" x14ac:dyDescent="0.3">
      <c r="N139"/>
    </row>
    <row r="140" spans="14:14" ht="14.4" x14ac:dyDescent="0.3">
      <c r="N140"/>
    </row>
    <row r="141" spans="14:14" ht="14.4" x14ac:dyDescent="0.3">
      <c r="N141"/>
    </row>
    <row r="142" spans="14:14" ht="14.4" x14ac:dyDescent="0.3">
      <c r="N142"/>
    </row>
    <row r="143" spans="14:14" ht="14.4" x14ac:dyDescent="0.3">
      <c r="N143"/>
    </row>
    <row r="144" spans="14:14" ht="14.4" x14ac:dyDescent="0.3">
      <c r="N144"/>
    </row>
    <row r="145" spans="14:14" ht="14.4" x14ac:dyDescent="0.3">
      <c r="N145"/>
    </row>
    <row r="146" spans="14:14" ht="14.4" x14ac:dyDescent="0.3">
      <c r="N146"/>
    </row>
    <row r="147" spans="14:14" ht="14.4" x14ac:dyDescent="0.3">
      <c r="N147"/>
    </row>
    <row r="148" spans="14:14" ht="14.4" x14ac:dyDescent="0.3">
      <c r="N148"/>
    </row>
    <row r="149" spans="14:14" ht="14.4" x14ac:dyDescent="0.3">
      <c r="N149"/>
    </row>
    <row r="150" spans="14:14" ht="14.4" x14ac:dyDescent="0.3">
      <c r="N150"/>
    </row>
    <row r="151" spans="14:14" ht="14.4" x14ac:dyDescent="0.3">
      <c r="N151"/>
    </row>
    <row r="152" spans="14:14" ht="14.4" x14ac:dyDescent="0.3">
      <c r="N152"/>
    </row>
    <row r="153" spans="14:14" ht="14.4" x14ac:dyDescent="0.3">
      <c r="N153"/>
    </row>
    <row r="154" spans="14:14" ht="14.4" x14ac:dyDescent="0.3">
      <c r="N154"/>
    </row>
    <row r="155" spans="14:14" ht="14.4" x14ac:dyDescent="0.3">
      <c r="N155"/>
    </row>
    <row r="156" spans="14:14" ht="14.4" x14ac:dyDescent="0.3">
      <c r="N156"/>
    </row>
    <row r="157" spans="14:14" ht="14.4" x14ac:dyDescent="0.3">
      <c r="N157"/>
    </row>
    <row r="158" spans="14:14" ht="14.4" x14ac:dyDescent="0.3">
      <c r="N158"/>
    </row>
    <row r="159" spans="14:14" ht="14.4" x14ac:dyDescent="0.3">
      <c r="N159"/>
    </row>
    <row r="160" spans="14:14" ht="14.4" x14ac:dyDescent="0.3">
      <c r="N160"/>
    </row>
    <row r="161" spans="14:14" ht="14.4" x14ac:dyDescent="0.3">
      <c r="N161"/>
    </row>
    <row r="162" spans="14:14" ht="14.4" x14ac:dyDescent="0.3">
      <c r="N162"/>
    </row>
    <row r="163" spans="14:14" ht="14.4" x14ac:dyDescent="0.3">
      <c r="N163"/>
    </row>
    <row r="164" spans="14:14" ht="14.4" x14ac:dyDescent="0.3">
      <c r="N164"/>
    </row>
    <row r="165" spans="14:14" ht="14.4" x14ac:dyDescent="0.3">
      <c r="N165"/>
    </row>
    <row r="166" spans="14:14" ht="14.4" x14ac:dyDescent="0.3">
      <c r="N166"/>
    </row>
    <row r="167" spans="14:14" ht="14.4" x14ac:dyDescent="0.3">
      <c r="N167"/>
    </row>
    <row r="168" spans="14:14" ht="14.4" x14ac:dyDescent="0.3">
      <c r="N168"/>
    </row>
    <row r="169" spans="14:14" ht="14.4" x14ac:dyDescent="0.3">
      <c r="N169"/>
    </row>
    <row r="170" spans="14:14" ht="14.4" x14ac:dyDescent="0.3">
      <c r="N170"/>
    </row>
    <row r="171" spans="14:14" ht="14.4" x14ac:dyDescent="0.3">
      <c r="N171"/>
    </row>
    <row r="172" spans="14:14" ht="14.4" x14ac:dyDescent="0.3">
      <c r="N172"/>
    </row>
  </sheetData>
  <sheetProtection algorithmName="SHA-512" hashValue="13eOi+nyEUU8D9ucmdy2shC7Bb/MGHW/8PKhBdF83H7QTK7TpHlEp9t2+qZ3USwO6bot1qwfIqRoZ0WpZTF9ug==" saltValue="craSNWUkywsz8OXcZ/ntzA==" spinCount="100000" sheet="1" objects="1" scenarios="1"/>
  <mergeCells count="1">
    <mergeCell ref="G11:H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C Document" ma:contentTypeID="0x0101002C077D48E00142679356CE2B4EBC2E0300A501098755B87E45AF4B22DFC2AB991C" ma:contentTypeVersion="92" ma:contentTypeDescription="AC Document Content Type" ma:contentTypeScope="" ma:versionID="339b3782405f09c90d8f61b3a5bd9509">
  <xsd:schema xmlns:xsd="http://www.w3.org/2001/XMLSchema" xmlns:xs="http://www.w3.org/2001/XMLSchema" xmlns:p="http://schemas.microsoft.com/office/2006/metadata/properties" xmlns:ns2="5ef4b7aa-7aea-418a-8ed8-ffd932bc8662" xmlns:ns3="http://schemas.microsoft.com/sharepoint/v3/fields" xmlns:ns4="3d8650a9-2baf-4bb5-903b-8b7de6a3dda0" targetNamespace="http://schemas.microsoft.com/office/2006/metadata/properties" ma:root="true" ma:fieldsID="2fe65673cde4860ab979572897cd621f" ns2:_="" ns3:_="" ns4:_="">
    <xsd:import namespace="5ef4b7aa-7aea-418a-8ed8-ffd932bc8662"/>
    <xsd:import namespace="http://schemas.microsoft.com/sharepoint/v3/fields"/>
    <xsd:import namespace="3d8650a9-2baf-4bb5-903b-8b7de6a3dda0"/>
    <xsd:element name="properties">
      <xsd:complexType>
        <xsd:sequence>
          <xsd:element name="documentManagement">
            <xsd:complexType>
              <xsd:all>
                <xsd:element ref="ns2:AC_Description" minOccurs="0"/>
                <xsd:element ref="ns3:AC_ContentTypeTaxHTField0" minOccurs="0"/>
                <xsd:element ref="ns3:AC_TopicsTaxHTField0" minOccurs="0"/>
                <xsd:element ref="ns3:AC_AudienceTaxHTField0" minOccurs="0"/>
                <xsd:element ref="ns3:AC_PublicationTaxHTField0" minOccurs="0"/>
                <xsd:element ref="ns4:TaxCatchAll" minOccurs="0"/>
                <xsd:element ref="ns4:TaxCatchAllLabel" minOccurs="0"/>
                <xsd:element ref="ns2:AC_Docume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f4b7aa-7aea-418a-8ed8-ffd932bc8662" elementFormDefault="qualified">
    <xsd:import namespace="http://schemas.microsoft.com/office/2006/documentManagement/types"/>
    <xsd:import namespace="http://schemas.microsoft.com/office/infopath/2007/PartnerControls"/>
    <xsd:element name="AC_Description" ma:index="8" nillable="true" ma:displayName="Description" ma:internalName="AC_Description">
      <xsd:simpleType>
        <xsd:restriction base="dms:Unknown"/>
      </xsd:simpleType>
    </xsd:element>
    <xsd:element name="AC_DocumentOrder" ma:index="19" nillable="true" ma:displayName="Document Order" ma:internalName="AC_DocumentOrder">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AC_ContentTypeTaxHTField0" ma:index="10" nillable="true" ma:taxonomy="true" ma:internalName="AC_ContentTypeTaxHTField0" ma:taxonomyFieldName="AC_ContentType" ma:displayName="AC Content type" ma:fieldId="{36864dc1-8c85-40b9-a529-94cab27301b5}" ma:sspId="299171b0-b289-420f-a4d1-394c303d5db4" ma:termSetId="48a4c375-39b7-47d7-b1bd-84cda6c52657" ma:anchorId="00000000-0000-0000-0000-000000000000" ma:open="false" ma:isKeyword="false">
      <xsd:complexType>
        <xsd:sequence>
          <xsd:element ref="pc:Terms" minOccurs="0" maxOccurs="1"/>
        </xsd:sequence>
      </xsd:complexType>
    </xsd:element>
    <xsd:element name="AC_TopicsTaxHTField0" ma:index="12" nillable="true" ma:taxonomy="true" ma:internalName="AC_TopicsTaxHTField0" ma:taxonomyFieldName="AC_Topics" ma:displayName="Topics" ma:fieldId="{2281546e-80a5-46a6-b7bd-1f24bf682749}" ma:taxonomyMulti="true" ma:sspId="299171b0-b289-420f-a4d1-394c303d5db4" ma:termSetId="ac846514-6544-4c4b-8dd0-07595a2265ab" ma:anchorId="00000000-0000-0000-0000-000000000000" ma:open="false" ma:isKeyword="false">
      <xsd:complexType>
        <xsd:sequence>
          <xsd:element ref="pc:Terms" minOccurs="0" maxOccurs="1"/>
        </xsd:sequence>
      </xsd:complexType>
    </xsd:element>
    <xsd:element name="AC_AudienceTaxHTField0" ma:index="14" nillable="true" ma:taxonomy="true" ma:internalName="AC_AudienceTaxHTField0" ma:taxonomyFieldName="AC_Audience" ma:displayName="Audience" ma:fieldId="{9787bcdf-2609-4d2f-8068-9c30d2a88fc3}" ma:taxonomyMulti="true" ma:sspId="299171b0-b289-420f-a4d1-394c303d5db4" ma:termSetId="295a50ec-85ee-4ffb-af76-b7075334a102" ma:anchorId="00000000-0000-0000-0000-000000000000" ma:open="false" ma:isKeyword="false">
      <xsd:complexType>
        <xsd:sequence>
          <xsd:element ref="pc:Terms" minOccurs="0" maxOccurs="1"/>
        </xsd:sequence>
      </xsd:complexType>
    </xsd:element>
    <xsd:element name="AC_PublicationTaxHTField0" ma:index="16" nillable="true" ma:taxonomy="true" ma:internalName="AC_PublicationTaxHTField0" ma:taxonomyFieldName="AC_Publication" ma:displayName="Publication" ma:fieldId="{f06de576-59f8-4f27-aea1-f8d052f69acc}" ma:taxonomyMulti="true" ma:sspId="299171b0-b289-420f-a4d1-394c303d5db4" ma:termSetId="5ad3a0fe-5fdb-4d0f-8e2d-7a3947cc784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d8650a9-2baf-4bb5-903b-8b7de6a3dda0" elementFormDefault="qualified">
    <xsd:import namespace="http://schemas.microsoft.com/office/2006/documentManagement/types"/>
    <xsd:import namespace="http://schemas.microsoft.com/office/infopath/2007/PartnerControls"/>
    <xsd:element name="TaxCatchAll" ma:index="17" nillable="true" ma:displayName="Taxonomy Catch All Column" ma:description="" ma:hidden="true" ma:list="{fb779384-d682-45e5-812a-eddc33f71c39}" ma:internalName="TaxCatchAll" ma:showField="CatchAllData" ma:web="3d8650a9-2baf-4bb5-903b-8b7de6a3dda0">
      <xsd:complexType>
        <xsd:complexContent>
          <xsd:extension base="dms:MultiChoiceLookup">
            <xsd:sequence>
              <xsd:element name="Value" type="dms:Lookup" maxOccurs="unbounded" minOccurs="0" nillable="true"/>
            </xsd:sequence>
          </xsd:extension>
        </xsd:complexContent>
      </xsd:complexType>
    </xsd:element>
    <xsd:element name="TaxCatchAllLabel" ma:index="18" nillable="true" ma:displayName="Taxonomy Catch All Column1" ma:description="" ma:hidden="true" ma:list="{fb779384-d682-45e5-812a-eddc33f71c39}" ma:internalName="TaxCatchAllLabel" ma:readOnly="true" ma:showField="CatchAllDataLabel" ma:web="3d8650a9-2baf-4bb5-903b-8b7de6a3dd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C_AudienceTaxHTField0 xmlns="http://schemas.microsoft.com/sharepoint/v3/fields">
      <Terms xmlns="http://schemas.microsoft.com/office/infopath/2007/PartnerControls"/>
    </AC_AudienceTaxHTField0>
    <AC_Description xmlns="5ef4b7aa-7aea-418a-8ed8-ffd932bc8662" xsi:nil="true"/>
    <AC_ContentTypeTaxHTField0 xmlns="http://schemas.microsoft.com/sharepoint/v3/fields">
      <Terms xmlns="http://schemas.microsoft.com/office/infopath/2007/PartnerControls"/>
    </AC_ContentTypeTaxHTField0>
    <AC_PublicationTaxHTField0 xmlns="http://schemas.microsoft.com/sharepoint/v3/fields">
      <Terms xmlns="http://schemas.microsoft.com/office/infopath/2007/PartnerControls">
        <TermInfo xmlns="http://schemas.microsoft.com/office/infopath/2007/PartnerControls">
          <TermName xmlns="http://schemas.microsoft.com/office/infopath/2007/PartnerControls">Information sheet</TermName>
          <TermId xmlns="http://schemas.microsoft.com/office/infopath/2007/PartnerControls">31afde06-3a25-468d-86c9-8334d241ffbe</TermId>
        </TermInfo>
      </Terms>
    </AC_PublicationTaxHTField0>
    <AC_DocumentOrder xmlns="5ef4b7aa-7aea-418a-8ed8-ffd932bc8662">21</AC_DocumentOrder>
    <TaxCatchAll xmlns="3d8650a9-2baf-4bb5-903b-8b7de6a3dda0">
      <Value>965</Value>
      <Value>985</Value>
    </TaxCatchAll>
    <AC_TopicsTaxHTField0 xmlns="http://schemas.microsoft.com/sharepoint/v3/fields">
      <Terms xmlns="http://schemas.microsoft.com/office/infopath/2007/PartnerControls">
        <TermInfo xmlns="http://schemas.microsoft.com/office/infopath/2007/PartnerControls">
          <TermName xmlns="http://schemas.microsoft.com/office/infopath/2007/PartnerControls">Accommodations</TermName>
          <TermId xmlns="http://schemas.microsoft.com/office/infopath/2007/PartnerControls">efd5c34c-0aa2-4926-8284-14f00136f5b6</TermId>
        </TermInfo>
      </Terms>
    </AC_TopicsTaxHTField0>
  </documentManagement>
</p:properties>
</file>

<file path=customXml/itemProps1.xml><?xml version="1.0" encoding="utf-8"?>
<ds:datastoreItem xmlns:ds="http://schemas.openxmlformats.org/officeDocument/2006/customXml" ds:itemID="{6B8CB381-0D0C-46AD-98BA-B0B4C2A4319D}"/>
</file>

<file path=customXml/itemProps2.xml><?xml version="1.0" encoding="utf-8"?>
<ds:datastoreItem xmlns:ds="http://schemas.openxmlformats.org/officeDocument/2006/customXml" ds:itemID="{7E8E5AC9-5827-490F-8E4C-5CB686A509E7}"/>
</file>

<file path=customXml/itemProps3.xml><?xml version="1.0" encoding="utf-8"?>
<ds:datastoreItem xmlns:ds="http://schemas.openxmlformats.org/officeDocument/2006/customXml" ds:itemID="{AA9FCA50-87B2-404C-A524-FB0116F1A9E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Auckland Council README</vt:lpstr>
      <vt:lpstr>Cost inputs</vt:lpstr>
      <vt:lpstr>Park spec inputs</vt:lpstr>
      <vt:lpstr>Land Price Phase Sc1&amp;2</vt:lpstr>
      <vt:lpstr>OS Acq model</vt:lpstr>
      <vt:lpstr>Opaheke earlier</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Development Contributions Policy 2025: Open Space Acquisition Cost Model</dc:title>
  <dc:creator/>
  <cp:lastModifiedBy>Auckland Council</cp:lastModifiedBy>
  <dcterms:created xsi:type="dcterms:W3CDTF">2024-06-03T20:53:53Z</dcterms:created>
  <dcterms:modified xsi:type="dcterms:W3CDTF">2025-06-23T00:28:18Z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0x0101002C077D48E00142679356CE2B4EBC2E0300A501098755B87E45AF4B22DFC2AB991C</vt:lpwstr>
  </property>
  <property fmtid="{D5CDD505-2E9C-101B-9397-08002B2CF9AE}" pid="3" name="AC_Topics">
    <vt:lpwstr>965;#Accommodations|efd5c34c-0aa2-4926-8284-14f00136f5b6</vt:lpwstr>
  </property>
  <property fmtid="{D5CDD505-2E9C-101B-9397-08002B2CF9AE}" pid="4" name="AC_Audience">
    <vt:lpwstr/>
  </property>
  <property fmtid="{D5CDD505-2E9C-101B-9397-08002B2CF9AE}" pid="5" name="AC_ContentType">
    <vt:lpwstr/>
  </property>
  <property fmtid="{D5CDD505-2E9C-101B-9397-08002B2CF9AE}" pid="6" name="AC_Publication">
    <vt:lpwstr>985;#Information sheet|31afde06-3a25-468d-86c9-8334d241ffbe</vt:lpwstr>
  </property>
</Properties>
</file>