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aklcouncil-my.sharepoint.com/personal/tinkerr_aklc_govt_nz/Documents/Queue requests/Contribution etc/Supporting/"/>
    </mc:Choice>
  </mc:AlternateContent>
  <xr:revisionPtr revIDLastSave="207" documentId="8_{A833D1CA-E482-411F-B575-4F945A88150B}" xr6:coauthVersionLast="47" xr6:coauthVersionMax="47" xr10:uidLastSave="{7A248BF1-C1B7-4A90-901B-97C1061A36A3}"/>
  <workbookProtection workbookAlgorithmName="SHA-512" workbookHashValue="9ugOQwpaNyNl/0fDLsihxdiMuWOA15P+kVy3tamQcwfykN5OwaJx95IxMx7Nwe6eCv5FT2z2C2clqlhSXI/Fog==" workbookSaltValue="xFFUWVlHhmiyFnvYRl0bww==" workbookSpinCount="100000" lockStructure="1"/>
  <bookViews>
    <workbookView xWindow="-108" yWindow="-108" windowWidth="23256" windowHeight="12456" tabRatio="907" xr2:uid="{63002EFA-C7BD-4873-805E-8D416602383A}"/>
  </bookViews>
  <sheets>
    <sheet name="Version notes" sheetId="27" r:id="rId1"/>
    <sheet name="Cost inputs" sheetId="1" r:id="rId2"/>
    <sheet name="Park spec inputs" sheetId="26" r:id="rId3"/>
    <sheet name="Land Price Phase Sc1&amp;2" sheetId="21" state="hidden" r:id="rId4"/>
    <sheet name="LTP " sheetId="28" r:id="rId5"/>
    <sheet name="OS Dev model" sheetId="25" r:id="rId6"/>
    <sheet name="sequential acq phasing" sheetId="37" r:id="rId7"/>
    <sheet name="sports fields" sheetId="30" r:id="rId8"/>
    <sheet name="Summary" sheetId="31" r:id="rId9"/>
  </sheets>
  <externalReferences>
    <externalReference r:id="rId10"/>
    <externalReference r:id="rId11"/>
  </externalReferences>
  <definedNames>
    <definedName name="_xlnm._FilterDatabase" localSheetId="4" hidden="1">'LTP '!$A$3:$N$87</definedName>
    <definedName name="AU_ERP_2019">#REF!</definedName>
    <definedName name="AvgPriceByAreaStage">#REF!</definedName>
    <definedName name="AvgPriceColCount">#REF!</definedName>
    <definedName name="NAME">#REF!</definedName>
    <definedName name="POLICE_AREA_FINAL">#REF!</definedName>
    <definedName name="POLICE_DISTRICT_FINAL">#REF!</definedName>
    <definedName name="PROJ">#REF!</definedName>
    <definedName name="RC_ERP_2019">#REF!</definedName>
    <definedName name="SA2_ERP_2019">#REF!</definedName>
    <definedName name="Sheet1">#REF!</definedName>
    <definedName name="TA_ERP_2019">#REF!</definedName>
    <definedName name="TABL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39" i="37" l="1"/>
  <c r="AZ29" i="37"/>
  <c r="AX41" i="37"/>
  <c r="AX39" i="37"/>
  <c r="AX36" i="37"/>
  <c r="AX29" i="37"/>
  <c r="AW41" i="37"/>
  <c r="AY41" i="37" s="1"/>
  <c r="AW39" i="37"/>
  <c r="AY39" i="37" s="1"/>
  <c r="AW36" i="37"/>
  <c r="AY36" i="37" s="1"/>
  <c r="AW29" i="37"/>
  <c r="AX32" i="37"/>
  <c r="AU32" i="37"/>
  <c r="AL29" i="37"/>
  <c r="AL30" i="37"/>
  <c r="AL31" i="37"/>
  <c r="AL32" i="37"/>
  <c r="AL33" i="37"/>
  <c r="AL34" i="37"/>
  <c r="AL35" i="37"/>
  <c r="AL36" i="37"/>
  <c r="AL37" i="37"/>
  <c r="AL38" i="37"/>
  <c r="AL39" i="37"/>
  <c r="AL40" i="37"/>
  <c r="AL41" i="37"/>
  <c r="AL42" i="37"/>
  <c r="AL43" i="37"/>
  <c r="AL44" i="37"/>
  <c r="AL28" i="37"/>
  <c r="BQ42" i="25"/>
  <c r="BQ31" i="25"/>
  <c r="AY29" i="37" l="1"/>
  <c r="AN36" i="37"/>
  <c r="AN41" i="37"/>
  <c r="AN39" i="37"/>
  <c r="D33" i="27"/>
  <c r="D32" i="27"/>
  <c r="F10" i="1" s="1"/>
  <c r="D34" i="27" l="1"/>
  <c r="E33" i="27"/>
  <c r="F33" i="27" s="1"/>
  <c r="G33" i="27" s="1"/>
  <c r="E32" i="27"/>
  <c r="A8" i="31"/>
  <c r="A9" i="31"/>
  <c r="B9" i="31"/>
  <c r="F9" i="31"/>
  <c r="A10" i="31"/>
  <c r="A47" i="31" s="1"/>
  <c r="B10" i="31"/>
  <c r="A11" i="31"/>
  <c r="B11" i="31"/>
  <c r="A12" i="31"/>
  <c r="B12" i="31"/>
  <c r="A13" i="31"/>
  <c r="B13" i="31"/>
  <c r="A14" i="31"/>
  <c r="B14" i="31"/>
  <c r="A15" i="31"/>
  <c r="A52" i="31" s="1"/>
  <c r="B15" i="31"/>
  <c r="A16" i="31"/>
  <c r="A17" i="31"/>
  <c r="B17" i="31"/>
  <c r="E17" i="31"/>
  <c r="A18" i="31"/>
  <c r="A55" i="31" s="1"/>
  <c r="B18" i="31"/>
  <c r="E18" i="31"/>
  <c r="A19" i="31"/>
  <c r="B19" i="31"/>
  <c r="E19" i="31"/>
  <c r="A20" i="31"/>
  <c r="A57" i="31" s="1"/>
  <c r="B20" i="31"/>
  <c r="A21" i="31"/>
  <c r="A58" i="31" s="1"/>
  <c r="B21" i="31"/>
  <c r="E21" i="31"/>
  <c r="A22" i="31"/>
  <c r="A59" i="31" s="1"/>
  <c r="B22" i="31"/>
  <c r="E22" i="31"/>
  <c r="A23" i="31"/>
  <c r="B23" i="31"/>
  <c r="E23" i="31"/>
  <c r="A24" i="31"/>
  <c r="B24" i="31"/>
  <c r="A25" i="31"/>
  <c r="B25" i="31"/>
  <c r="E25" i="31"/>
  <c r="A26" i="31"/>
  <c r="A63" i="31" s="1"/>
  <c r="B26" i="31"/>
  <c r="A27" i="31"/>
  <c r="B27" i="31"/>
  <c r="E27" i="31"/>
  <c r="A28" i="31"/>
  <c r="B28" i="31"/>
  <c r="E28" i="31"/>
  <c r="G28" i="31" s="1"/>
  <c r="A29" i="31"/>
  <c r="B29" i="31"/>
  <c r="E29" i="31"/>
  <c r="A30" i="31"/>
  <c r="B30" i="31"/>
  <c r="E30" i="31"/>
  <c r="A31" i="31"/>
  <c r="B31" i="31"/>
  <c r="A32" i="31"/>
  <c r="B32" i="31"/>
  <c r="A33" i="31"/>
  <c r="B33" i="31"/>
  <c r="A34" i="31"/>
  <c r="B34" i="31"/>
  <c r="A35" i="31"/>
  <c r="B35" i="31"/>
  <c r="E35" i="31"/>
  <c r="G35" i="31" s="1"/>
  <c r="A36" i="31"/>
  <c r="A46" i="31"/>
  <c r="F46" i="31"/>
  <c r="D9" i="31" s="1"/>
  <c r="E9" i="31" s="1"/>
  <c r="G9" i="31" s="1"/>
  <c r="F47" i="31"/>
  <c r="A48" i="31"/>
  <c r="F48" i="31"/>
  <c r="A49" i="31"/>
  <c r="F49" i="31"/>
  <c r="F50" i="31"/>
  <c r="F51" i="31"/>
  <c r="F14" i="31" s="1"/>
  <c r="F52" i="31"/>
  <c r="A54" i="31"/>
  <c r="F54" i="31"/>
  <c r="F17" i="31" s="1"/>
  <c r="F55" i="31"/>
  <c r="F18" i="31" s="1"/>
  <c r="G18" i="31" s="1"/>
  <c r="F56" i="31"/>
  <c r="F19" i="31" s="1"/>
  <c r="F57" i="31"/>
  <c r="F58" i="31"/>
  <c r="F21" i="31" s="1"/>
  <c r="G21" i="31" s="1"/>
  <c r="F59" i="31"/>
  <c r="F22" i="31" s="1"/>
  <c r="G22" i="31" s="1"/>
  <c r="F60" i="31"/>
  <c r="F23" i="31" s="1"/>
  <c r="F61" i="31"/>
  <c r="F62" i="31"/>
  <c r="F25" i="31" s="1"/>
  <c r="G25" i="31" s="1"/>
  <c r="F63" i="31"/>
  <c r="F26" i="31" s="1"/>
  <c r="F64" i="31"/>
  <c r="F27" i="31" s="1"/>
  <c r="F65" i="31"/>
  <c r="F66" i="31"/>
  <c r="F29" i="31" s="1"/>
  <c r="F67" i="31"/>
  <c r="F30" i="31" s="1"/>
  <c r="F68" i="31"/>
  <c r="F31" i="31" s="1"/>
  <c r="F69" i="31"/>
  <c r="A70" i="31"/>
  <c r="F70" i="31"/>
  <c r="F33" i="31" s="1"/>
  <c r="F71" i="31"/>
  <c r="F34" i="31" s="1"/>
  <c r="F72" i="31"/>
  <c r="F75" i="31"/>
  <c r="D14" i="31" s="1"/>
  <c r="E14" i="31" s="1"/>
  <c r="G14" i="31" s="1"/>
  <c r="G29" i="31" l="1"/>
  <c r="G27" i="31"/>
  <c r="G23" i="31"/>
  <c r="G10" i="1"/>
  <c r="A67" i="31"/>
  <c r="A72" i="31"/>
  <c r="A62" i="31"/>
  <c r="A50" i="31"/>
  <c r="A71" i="31"/>
  <c r="A66" i="31"/>
  <c r="A61" i="31"/>
  <c r="A69" i="31"/>
  <c r="A64" i="31"/>
  <c r="A60" i="31"/>
  <c r="A56" i="31"/>
  <c r="A51" i="31"/>
  <c r="A68" i="31"/>
  <c r="E34" i="27"/>
  <c r="F32" i="27"/>
  <c r="F34" i="27" s="1"/>
  <c r="H10" i="1"/>
  <c r="H33" i="27"/>
  <c r="D12" i="31"/>
  <c r="E12" i="31" s="1"/>
  <c r="F12" i="31"/>
  <c r="F13" i="31"/>
  <c r="F32" i="31"/>
  <c r="F24" i="31"/>
  <c r="D24" i="31"/>
  <c r="E24" i="31" s="1"/>
  <c r="G24" i="31" s="1"/>
  <c r="D20" i="31"/>
  <c r="E20" i="31" s="1"/>
  <c r="F20" i="31"/>
  <c r="F15" i="31"/>
  <c r="F11" i="31"/>
  <c r="G30" i="31"/>
  <c r="D26" i="31"/>
  <c r="E26" i="31" s="1"/>
  <c r="G26" i="31" s="1"/>
  <c r="A65" i="31"/>
  <c r="G17" i="31"/>
  <c r="F10" i="31"/>
  <c r="G19" i="31"/>
  <c r="G12" i="31" l="1"/>
  <c r="G32" i="27"/>
  <c r="I10" i="1"/>
  <c r="H32" i="27"/>
  <c r="H34" i="27" s="1"/>
  <c r="I33" i="27"/>
  <c r="G34" i="27"/>
  <c r="G20" i="31"/>
  <c r="BF277" i="25"/>
  <c r="J33" i="27" l="1"/>
  <c r="J10" i="1"/>
  <c r="I32" i="27"/>
  <c r="J32" i="27" l="1"/>
  <c r="J34" i="27" s="1"/>
  <c r="K10" i="1"/>
  <c r="I34" i="27"/>
  <c r="K33" i="27"/>
  <c r="BC32" i="37"/>
  <c r="BB32" i="37"/>
  <c r="BA32" i="37"/>
  <c r="BD32" i="37"/>
  <c r="BK32" i="37"/>
  <c r="BJ32" i="37"/>
  <c r="BI32" i="37"/>
  <c r="AZ32" i="37"/>
  <c r="AY32" i="37"/>
  <c r="BN40" i="37"/>
  <c r="BN41" i="37"/>
  <c r="BN42" i="37"/>
  <c r="BN43" i="37"/>
  <c r="BN44" i="37"/>
  <c r="BI41" i="37"/>
  <c r="BJ41" i="37" s="1"/>
  <c r="BG41" i="37"/>
  <c r="BF41" i="37"/>
  <c r="BE41" i="37"/>
  <c r="BD41" i="37"/>
  <c r="BB41" i="37"/>
  <c r="BA41" i="37"/>
  <c r="AV41" i="37"/>
  <c r="BK39" i="37"/>
  <c r="BJ39" i="37"/>
  <c r="BH39" i="37"/>
  <c r="BG39" i="37"/>
  <c r="BF39" i="37"/>
  <c r="BD39" i="37"/>
  <c r="BE39" i="37" s="1"/>
  <c r="BC39" i="37"/>
  <c r="BB39" i="37"/>
  <c r="AV39" i="37"/>
  <c r="BK37" i="37"/>
  <c r="BJ37" i="37"/>
  <c r="BI37" i="37"/>
  <c r="BG37" i="37"/>
  <c r="BF37" i="37"/>
  <c r="BD37" i="37"/>
  <c r="BE37" i="37" s="1"/>
  <c r="BA37" i="37"/>
  <c r="AZ37" i="37"/>
  <c r="BI36" i="37"/>
  <c r="BJ36" i="37" s="1"/>
  <c r="BG36" i="37"/>
  <c r="BH36" i="37" s="1"/>
  <c r="BE36" i="37"/>
  <c r="BF36" i="37"/>
  <c r="BD36" i="37"/>
  <c r="AZ36" i="37"/>
  <c r="BA36" i="37" s="1"/>
  <c r="AV36" i="37"/>
  <c r="BE35" i="37"/>
  <c r="BL34" i="37"/>
  <c r="BK34" i="37"/>
  <c r="BJ34" i="37"/>
  <c r="BH34" i="37"/>
  <c r="BI34" i="37" s="1"/>
  <c r="BF34" i="37"/>
  <c r="BE34" i="37"/>
  <c r="BH33" i="37"/>
  <c r="BI33" i="37" s="1"/>
  <c r="BJ33" i="37" s="1"/>
  <c r="BK33" i="37" s="1"/>
  <c r="BD33" i="37"/>
  <c r="BC33" i="37"/>
  <c r="BB33" i="37"/>
  <c r="BA33" i="37"/>
  <c r="BN38" i="37"/>
  <c r="BN35" i="37"/>
  <c r="BE32" i="37"/>
  <c r="BN31" i="37"/>
  <c r="BN30" i="37"/>
  <c r="BN28" i="37"/>
  <c r="BJ29" i="37"/>
  <c r="BK29" i="37" s="1"/>
  <c r="BH29" i="37"/>
  <c r="BG29" i="37"/>
  <c r="BF29" i="37"/>
  <c r="BE29" i="37"/>
  <c r="BD29" i="37"/>
  <c r="BB29" i="37"/>
  <c r="BC29" i="37" s="1"/>
  <c r="AN29" i="37"/>
  <c r="AV29" i="37"/>
  <c r="C35" i="37"/>
  <c r="C43" i="37"/>
  <c r="D43" i="37"/>
  <c r="C6" i="37"/>
  <c r="C31" i="37" s="1"/>
  <c r="D6" i="37"/>
  <c r="D31" i="37" s="1"/>
  <c r="E6" i="37"/>
  <c r="F6" i="37"/>
  <c r="G6" i="37"/>
  <c r="H6" i="37"/>
  <c r="I6" i="37"/>
  <c r="J6" i="37"/>
  <c r="K6" i="37"/>
  <c r="L6" i="37"/>
  <c r="M6" i="37"/>
  <c r="N6" i="37"/>
  <c r="O6" i="37"/>
  <c r="P6" i="37"/>
  <c r="Q6" i="37"/>
  <c r="R6" i="37"/>
  <c r="S6" i="37"/>
  <c r="T6" i="37"/>
  <c r="U6" i="37"/>
  <c r="V6" i="37"/>
  <c r="AS27" i="37"/>
  <c r="AT27" i="37"/>
  <c r="AU27" i="37"/>
  <c r="AV27" i="37"/>
  <c r="AW27" i="37"/>
  <c r="AX27" i="37"/>
  <c r="AY27" i="37"/>
  <c r="AZ27" i="37"/>
  <c r="BA27" i="37"/>
  <c r="BB27" i="37"/>
  <c r="BC27" i="37"/>
  <c r="BD27" i="37"/>
  <c r="BE27" i="37"/>
  <c r="BF27" i="37"/>
  <c r="BG27" i="37"/>
  <c r="BH27" i="37"/>
  <c r="BI27" i="37"/>
  <c r="A29" i="37"/>
  <c r="A30" i="37"/>
  <c r="A31" i="37"/>
  <c r="A32" i="37"/>
  <c r="A34" i="37"/>
  <c r="A35" i="37"/>
  <c r="A37" i="37"/>
  <c r="A41" i="37"/>
  <c r="A42" i="37"/>
  <c r="A43" i="37"/>
  <c r="A44" i="37"/>
  <c r="A28" i="37"/>
  <c r="BN29" i="37" l="1"/>
  <c r="AN32" i="37"/>
  <c r="L33" i="27"/>
  <c r="K32" i="27"/>
  <c r="L10" i="1"/>
  <c r="BF32" i="37"/>
  <c r="BN39" i="37"/>
  <c r="BN37" i="37"/>
  <c r="BN36" i="37"/>
  <c r="BN34" i="37"/>
  <c r="BN33" i="37"/>
  <c r="AE6" i="37"/>
  <c r="AL6" i="37"/>
  <c r="AI6" i="37"/>
  <c r="AA6" i="37"/>
  <c r="AP6" i="37"/>
  <c r="AH6" i="37"/>
  <c r="Z6" i="37"/>
  <c r="AC6" i="37"/>
  <c r="AJ6" i="37"/>
  <c r="AG6" i="37"/>
  <c r="AN6" i="37"/>
  <c r="AF6" i="37"/>
  <c r="W6" i="37"/>
  <c r="AD6" i="37"/>
  <c r="AK6" i="37"/>
  <c r="AB6" i="37"/>
  <c r="AO6" i="37"/>
  <c r="Y6" i="37"/>
  <c r="AM6" i="37"/>
  <c r="AP2" i="37"/>
  <c r="BI2" i="37" s="1"/>
  <c r="AM2" i="37"/>
  <c r="BF2" i="37" s="1"/>
  <c r="AN2" i="37"/>
  <c r="BG2" i="37" s="1"/>
  <c r="AO2" i="37"/>
  <c r="BH2" i="37" s="1"/>
  <c r="Z2" i="37"/>
  <c r="AS2" i="37" s="1"/>
  <c r="AA2" i="37"/>
  <c r="AT2" i="37" s="1"/>
  <c r="AB2" i="37"/>
  <c r="AU2" i="37" s="1"/>
  <c r="AC2" i="37"/>
  <c r="AV2" i="37" s="1"/>
  <c r="AD2" i="37"/>
  <c r="AW2" i="37" s="1"/>
  <c r="AE2" i="37"/>
  <c r="AX2" i="37" s="1"/>
  <c r="AF2" i="37"/>
  <c r="AY2" i="37" s="1"/>
  <c r="AG2" i="37"/>
  <c r="AZ2" i="37" s="1"/>
  <c r="AH2" i="37"/>
  <c r="BA2" i="37" s="1"/>
  <c r="AI2" i="37"/>
  <c r="BB2" i="37" s="1"/>
  <c r="AJ2" i="37"/>
  <c r="BC2" i="37" s="1"/>
  <c r="AK2" i="37"/>
  <c r="BD2" i="37" s="1"/>
  <c r="AL2" i="37"/>
  <c r="BE2" i="37" s="1"/>
  <c r="Y2" i="37"/>
  <c r="F3" i="37"/>
  <c r="G3" i="37"/>
  <c r="H3" i="37"/>
  <c r="I3" i="37"/>
  <c r="J3" i="37"/>
  <c r="K3" i="37"/>
  <c r="L3" i="37"/>
  <c r="M3" i="37"/>
  <c r="N3" i="37"/>
  <c r="O3" i="37"/>
  <c r="P3" i="37"/>
  <c r="Q3" i="37"/>
  <c r="R3" i="37"/>
  <c r="S3" i="37"/>
  <c r="T3" i="37"/>
  <c r="U3" i="37"/>
  <c r="V3" i="37"/>
  <c r="F4" i="37"/>
  <c r="G4" i="37"/>
  <c r="H4" i="37"/>
  <c r="I4" i="37"/>
  <c r="J4" i="37"/>
  <c r="K4" i="37"/>
  <c r="L4" i="37"/>
  <c r="M4" i="37"/>
  <c r="N4" i="37"/>
  <c r="O4" i="37"/>
  <c r="P4" i="37"/>
  <c r="Q4" i="37"/>
  <c r="R4" i="37"/>
  <c r="S4" i="37"/>
  <c r="T4" i="37"/>
  <c r="U4" i="37"/>
  <c r="V4" i="37"/>
  <c r="F5" i="37"/>
  <c r="G5" i="37"/>
  <c r="H5" i="37"/>
  <c r="I5" i="37"/>
  <c r="J5" i="37"/>
  <c r="K5" i="37"/>
  <c r="L5" i="37"/>
  <c r="M5" i="37"/>
  <c r="N5" i="37"/>
  <c r="O5" i="37"/>
  <c r="P5" i="37"/>
  <c r="Q5" i="37"/>
  <c r="R5" i="37"/>
  <c r="S5" i="37"/>
  <c r="T5" i="37"/>
  <c r="U5" i="37"/>
  <c r="V5" i="37"/>
  <c r="F7" i="37"/>
  <c r="G7" i="37"/>
  <c r="H7" i="37"/>
  <c r="I7" i="37"/>
  <c r="J7" i="37"/>
  <c r="K7" i="37"/>
  <c r="L7" i="37"/>
  <c r="M7" i="37"/>
  <c r="N7" i="37"/>
  <c r="O7" i="37"/>
  <c r="P7" i="37"/>
  <c r="Q7" i="37"/>
  <c r="R7" i="37"/>
  <c r="S7" i="37"/>
  <c r="T7" i="37"/>
  <c r="U7" i="37"/>
  <c r="V7" i="37"/>
  <c r="F8" i="37"/>
  <c r="G8" i="37"/>
  <c r="H8" i="37"/>
  <c r="I8" i="37"/>
  <c r="J8" i="37"/>
  <c r="K8" i="37"/>
  <c r="L8" i="37"/>
  <c r="M8" i="37"/>
  <c r="N8" i="37"/>
  <c r="O8" i="37"/>
  <c r="P8" i="37"/>
  <c r="Q8" i="37"/>
  <c r="R8" i="37"/>
  <c r="S8" i="37"/>
  <c r="T8" i="37"/>
  <c r="U8" i="37"/>
  <c r="V8" i="37"/>
  <c r="F9" i="37"/>
  <c r="G9" i="37"/>
  <c r="H9" i="37"/>
  <c r="I9" i="37"/>
  <c r="J9" i="37"/>
  <c r="K9" i="37"/>
  <c r="L9" i="37"/>
  <c r="M9" i="37"/>
  <c r="N9" i="37"/>
  <c r="O9" i="37"/>
  <c r="P9" i="37"/>
  <c r="Q9" i="37"/>
  <c r="R9" i="37"/>
  <c r="S9" i="37"/>
  <c r="T9" i="37"/>
  <c r="U9" i="37"/>
  <c r="V9" i="37"/>
  <c r="F10" i="37"/>
  <c r="G10" i="37"/>
  <c r="H10" i="37"/>
  <c r="I10" i="37"/>
  <c r="J10" i="37"/>
  <c r="K10" i="37"/>
  <c r="L10" i="37"/>
  <c r="M10" i="37"/>
  <c r="N10" i="37"/>
  <c r="O10" i="37"/>
  <c r="P10" i="37"/>
  <c r="Q10" i="37"/>
  <c r="R10" i="37"/>
  <c r="S10" i="37"/>
  <c r="T10" i="37"/>
  <c r="U10" i="37"/>
  <c r="V10" i="37"/>
  <c r="F11" i="37"/>
  <c r="G11" i="37"/>
  <c r="H11" i="37"/>
  <c r="I11" i="37"/>
  <c r="J11" i="37"/>
  <c r="K11" i="37"/>
  <c r="L11" i="37"/>
  <c r="M11" i="37"/>
  <c r="N11" i="37"/>
  <c r="O11" i="37"/>
  <c r="P11" i="37"/>
  <c r="Q11" i="37"/>
  <c r="R11" i="37"/>
  <c r="S11" i="37"/>
  <c r="T11" i="37"/>
  <c r="U11" i="37"/>
  <c r="V11" i="37"/>
  <c r="F12" i="37"/>
  <c r="G12" i="37"/>
  <c r="H12" i="37"/>
  <c r="I12" i="37"/>
  <c r="J12" i="37"/>
  <c r="K12" i="37"/>
  <c r="L12" i="37"/>
  <c r="M12" i="37"/>
  <c r="N12" i="37"/>
  <c r="O12" i="37"/>
  <c r="P12" i="37"/>
  <c r="Q12" i="37"/>
  <c r="R12" i="37"/>
  <c r="S12" i="37"/>
  <c r="T12" i="37"/>
  <c r="U12" i="37"/>
  <c r="V12" i="37"/>
  <c r="F13" i="37"/>
  <c r="G13" i="37"/>
  <c r="H13" i="37"/>
  <c r="I13" i="37"/>
  <c r="J13" i="37"/>
  <c r="K13" i="37"/>
  <c r="L13" i="37"/>
  <c r="M13" i="37"/>
  <c r="N13" i="37"/>
  <c r="O13" i="37"/>
  <c r="P13" i="37"/>
  <c r="Q13" i="37"/>
  <c r="R13" i="37"/>
  <c r="S13" i="37"/>
  <c r="T13" i="37"/>
  <c r="U13" i="37"/>
  <c r="V13" i="37"/>
  <c r="F14" i="37"/>
  <c r="G14" i="37"/>
  <c r="H14" i="37"/>
  <c r="I14" i="37"/>
  <c r="J14" i="37"/>
  <c r="K14" i="37"/>
  <c r="L14" i="37"/>
  <c r="M14" i="37"/>
  <c r="N14" i="37"/>
  <c r="O14" i="37"/>
  <c r="P14" i="37"/>
  <c r="Q14" i="37"/>
  <c r="R14" i="37"/>
  <c r="S14" i="37"/>
  <c r="T14" i="37"/>
  <c r="U14" i="37"/>
  <c r="V14" i="37"/>
  <c r="F15" i="37"/>
  <c r="G15" i="37"/>
  <c r="H15" i="37"/>
  <c r="I15" i="37"/>
  <c r="J15" i="37"/>
  <c r="K15" i="37"/>
  <c r="L15" i="37"/>
  <c r="M15" i="37"/>
  <c r="N15" i="37"/>
  <c r="O15" i="37"/>
  <c r="P15" i="37"/>
  <c r="Q15" i="37"/>
  <c r="R15" i="37"/>
  <c r="S15" i="37"/>
  <c r="T15" i="37"/>
  <c r="U15" i="37"/>
  <c r="V15" i="37"/>
  <c r="F16" i="37"/>
  <c r="G16" i="37"/>
  <c r="H16" i="37"/>
  <c r="I16" i="37"/>
  <c r="J16" i="37"/>
  <c r="K16" i="37"/>
  <c r="L16" i="37"/>
  <c r="M16" i="37"/>
  <c r="N16" i="37"/>
  <c r="O16" i="37"/>
  <c r="P16" i="37"/>
  <c r="Q16" i="37"/>
  <c r="R16" i="37"/>
  <c r="S16" i="37"/>
  <c r="T16" i="37"/>
  <c r="U16" i="37"/>
  <c r="V16" i="37"/>
  <c r="F17" i="37"/>
  <c r="G17" i="37"/>
  <c r="H17" i="37"/>
  <c r="I17" i="37"/>
  <c r="J17" i="37"/>
  <c r="K17" i="37"/>
  <c r="L17" i="37"/>
  <c r="M17" i="37"/>
  <c r="N17" i="37"/>
  <c r="O17" i="37"/>
  <c r="P17" i="37"/>
  <c r="Q17" i="37"/>
  <c r="R17" i="37"/>
  <c r="S17" i="37"/>
  <c r="T17" i="37"/>
  <c r="U17" i="37"/>
  <c r="V17" i="37"/>
  <c r="F18" i="37"/>
  <c r="G18" i="37"/>
  <c r="H18" i="37"/>
  <c r="I18" i="37"/>
  <c r="J18" i="37"/>
  <c r="K18" i="37"/>
  <c r="L18" i="37"/>
  <c r="M18" i="37"/>
  <c r="N18" i="37"/>
  <c r="O18" i="37"/>
  <c r="P18" i="37"/>
  <c r="Q18" i="37"/>
  <c r="R18" i="37"/>
  <c r="S18" i="37"/>
  <c r="T18" i="37"/>
  <c r="U18" i="37"/>
  <c r="V18" i="37"/>
  <c r="F19" i="37"/>
  <c r="G19" i="37"/>
  <c r="H19" i="37"/>
  <c r="I19" i="37"/>
  <c r="J19" i="37"/>
  <c r="K19" i="37"/>
  <c r="L19" i="37"/>
  <c r="M19" i="37"/>
  <c r="N19" i="37"/>
  <c r="O19" i="37"/>
  <c r="P19" i="37"/>
  <c r="Q19" i="37"/>
  <c r="R19" i="37"/>
  <c r="S19" i="37"/>
  <c r="T19" i="37"/>
  <c r="U19" i="37"/>
  <c r="V19" i="37"/>
  <c r="E19" i="37"/>
  <c r="E18" i="37"/>
  <c r="E17" i="37"/>
  <c r="E16" i="37"/>
  <c r="E15" i="37"/>
  <c r="E14" i="37"/>
  <c r="E13" i="37"/>
  <c r="E12" i="37"/>
  <c r="E11" i="37"/>
  <c r="E10" i="37"/>
  <c r="E9" i="37"/>
  <c r="E8" i="37"/>
  <c r="E7" i="37"/>
  <c r="E5" i="37"/>
  <c r="E4" i="37"/>
  <c r="E3" i="37"/>
  <c r="D3" i="37"/>
  <c r="D28" i="37" s="1"/>
  <c r="D4" i="37"/>
  <c r="D29" i="37" s="1"/>
  <c r="D5" i="37"/>
  <c r="D30" i="37" s="1"/>
  <c r="D7" i="37"/>
  <c r="D32" i="37" s="1"/>
  <c r="D8" i="37"/>
  <c r="D33" i="37" s="1"/>
  <c r="D9" i="37"/>
  <c r="D34" i="37" s="1"/>
  <c r="D10" i="37"/>
  <c r="D35" i="37" s="1"/>
  <c r="D11" i="37"/>
  <c r="D36" i="37" s="1"/>
  <c r="D12" i="37"/>
  <c r="D37" i="37" s="1"/>
  <c r="D13" i="37"/>
  <c r="D38" i="37" s="1"/>
  <c r="D14" i="37"/>
  <c r="D39" i="37" s="1"/>
  <c r="D15" i="37"/>
  <c r="D40" i="37" s="1"/>
  <c r="D16" i="37"/>
  <c r="D41" i="37" s="1"/>
  <c r="D17" i="37"/>
  <c r="D42" i="37" s="1"/>
  <c r="D19" i="37"/>
  <c r="D44" i="37" s="1"/>
  <c r="C19" i="37"/>
  <c r="C44" i="37" s="1"/>
  <c r="C17" i="37"/>
  <c r="C42" i="37" s="1"/>
  <c r="C16" i="37"/>
  <c r="C41" i="37" s="1"/>
  <c r="C15" i="37"/>
  <c r="C40" i="37" s="1"/>
  <c r="C14" i="37"/>
  <c r="C39" i="37" s="1"/>
  <c r="C13" i="37"/>
  <c r="C38" i="37" s="1"/>
  <c r="C12" i="37"/>
  <c r="C37" i="37" s="1"/>
  <c r="C11" i="37"/>
  <c r="C36" i="37" s="1"/>
  <c r="C9" i="37"/>
  <c r="C34" i="37" s="1"/>
  <c r="C8" i="37"/>
  <c r="C33" i="37" s="1"/>
  <c r="A13" i="37"/>
  <c r="A11" i="37"/>
  <c r="A36" i="37" s="1"/>
  <c r="C3" i="37"/>
  <c r="C28" i="37" s="1"/>
  <c r="C5" i="37"/>
  <c r="C30" i="37" s="1"/>
  <c r="C4" i="37"/>
  <c r="C29" i="37" s="1"/>
  <c r="A8" i="37"/>
  <c r="A33" i="37" s="1"/>
  <c r="L32" i="27" l="1"/>
  <c r="L34" i="27" s="1"/>
  <c r="M10" i="1"/>
  <c r="K34" i="27"/>
  <c r="M33" i="27"/>
  <c r="AD10" i="37"/>
  <c r="Y12" i="37"/>
  <c r="BG32" i="37"/>
  <c r="Y11" i="37"/>
  <c r="AA19" i="37"/>
  <c r="Z8" i="37"/>
  <c r="Z16" i="37"/>
  <c r="AD18" i="37"/>
  <c r="AD12" i="37"/>
  <c r="AC3" i="37"/>
  <c r="AA11" i="37"/>
  <c r="AT11" i="37" s="1"/>
  <c r="AH3" i="37"/>
  <c r="Z12" i="37"/>
  <c r="AF19" i="37"/>
  <c r="AF11" i="37"/>
  <c r="AB11" i="37"/>
  <c r="Z13" i="37"/>
  <c r="AD5" i="37"/>
  <c r="AD14" i="37"/>
  <c r="AB4" i="37"/>
  <c r="AB19" i="37"/>
  <c r="AF4" i="37"/>
  <c r="AA10" i="37"/>
  <c r="Y16" i="37"/>
  <c r="Y8" i="37"/>
  <c r="AB7" i="37"/>
  <c r="AB15" i="37"/>
  <c r="AD16" i="37"/>
  <c r="W12" i="37"/>
  <c r="AL8" i="37"/>
  <c r="Y19" i="37"/>
  <c r="AC18" i="37"/>
  <c r="AF9" i="37"/>
  <c r="AF17" i="37"/>
  <c r="AG19" i="37"/>
  <c r="AI18" i="37"/>
  <c r="Z14" i="37"/>
  <c r="AK13" i="37"/>
  <c r="AM12" i="37"/>
  <c r="AO11" i="37"/>
  <c r="AI10" i="37"/>
  <c r="Z5" i="37"/>
  <c r="AK4" i="37"/>
  <c r="AM3" i="37"/>
  <c r="AA18" i="37"/>
  <c r="AB13" i="37"/>
  <c r="AF3" i="37"/>
  <c r="AO3" i="37"/>
  <c r="AG3" i="37"/>
  <c r="AI19" i="37"/>
  <c r="AK18" i="37"/>
  <c r="AM17" i="37"/>
  <c r="AE17" i="37"/>
  <c r="AO16" i="37"/>
  <c r="AG16" i="37"/>
  <c r="AI15" i="37"/>
  <c r="AA15" i="37"/>
  <c r="AK14" i="37"/>
  <c r="AC14" i="37"/>
  <c r="AM13" i="37"/>
  <c r="AE13" i="37"/>
  <c r="AO12" i="37"/>
  <c r="AG12" i="37"/>
  <c r="AI11" i="37"/>
  <c r="AK10" i="37"/>
  <c r="AC10" i="37"/>
  <c r="AM9" i="37"/>
  <c r="AE9" i="37"/>
  <c r="AO8" i="37"/>
  <c r="AG8" i="37"/>
  <c r="AI7" i="37"/>
  <c r="AA7" i="37"/>
  <c r="AT7" i="37" s="1"/>
  <c r="AK5" i="37"/>
  <c r="AC5" i="37"/>
  <c r="AM4" i="37"/>
  <c r="AE4" i="37"/>
  <c r="AE3" i="37"/>
  <c r="AN3" i="37"/>
  <c r="AP19" i="37"/>
  <c r="AH19" i="37"/>
  <c r="Z19" i="37"/>
  <c r="AJ18" i="37"/>
  <c r="AB18" i="37"/>
  <c r="AL17" i="37"/>
  <c r="AD17" i="37"/>
  <c r="AN16" i="37"/>
  <c r="AF16" i="37"/>
  <c r="AP15" i="37"/>
  <c r="AH15" i="37"/>
  <c r="Z15" i="37"/>
  <c r="AJ14" i="37"/>
  <c r="AB14" i="37"/>
  <c r="AL13" i="37"/>
  <c r="AD13" i="37"/>
  <c r="AN12" i="37"/>
  <c r="AF12" i="37"/>
  <c r="AP11" i="37"/>
  <c r="AH11" i="37"/>
  <c r="Z11" i="37"/>
  <c r="AJ10" i="37"/>
  <c r="AB10" i="37"/>
  <c r="AL9" i="37"/>
  <c r="AD9" i="37"/>
  <c r="AN8" i="37"/>
  <c r="AF8" i="37"/>
  <c r="AP7" i="37"/>
  <c r="AH7" i="37"/>
  <c r="Z7" i="37"/>
  <c r="AJ5" i="37"/>
  <c r="AB5" i="37"/>
  <c r="AL4" i="37"/>
  <c r="AD4" i="37"/>
  <c r="AD3" i="37"/>
  <c r="AE16" i="37"/>
  <c r="AA14" i="37"/>
  <c r="AT14" i="37" s="1"/>
  <c r="AE12" i="37"/>
  <c r="AC9" i="37"/>
  <c r="AO7" i="37"/>
  <c r="AI5" i="37"/>
  <c r="AC4" i="37"/>
  <c r="AP18" i="37"/>
  <c r="AL16" i="37"/>
  <c r="AH14" i="37"/>
  <c r="AL12" i="37"/>
  <c r="AH10" i="37"/>
  <c r="AD8" i="37"/>
  <c r="AJ4" i="37"/>
  <c r="AM16" i="37"/>
  <c r="Y15" i="37"/>
  <c r="AC13" i="37"/>
  <c r="AG11" i="37"/>
  <c r="AK9" i="37"/>
  <c r="A14" i="37"/>
  <c r="A38" i="37"/>
  <c r="AN19" i="37"/>
  <c r="AJ17" i="37"/>
  <c r="AN15" i="37"/>
  <c r="AJ13" i="37"/>
  <c r="AN11" i="37"/>
  <c r="AB9" i="37"/>
  <c r="AP5" i="37"/>
  <c r="AB3" i="37"/>
  <c r="AK3" i="37"/>
  <c r="AM19" i="37"/>
  <c r="AE19" i="37"/>
  <c r="AO18" i="37"/>
  <c r="AG18" i="37"/>
  <c r="Y18" i="37"/>
  <c r="AI17" i="37"/>
  <c r="AA17" i="37"/>
  <c r="AK16" i="37"/>
  <c r="AC16" i="37"/>
  <c r="AM15" i="37"/>
  <c r="AE15" i="37"/>
  <c r="AO14" i="37"/>
  <c r="AG14" i="37"/>
  <c r="Y14" i="37"/>
  <c r="AI13" i="37"/>
  <c r="AA13" i="37"/>
  <c r="AK12" i="37"/>
  <c r="AC12" i="37"/>
  <c r="AM11" i="37"/>
  <c r="AE11" i="37"/>
  <c r="AO10" i="37"/>
  <c r="AG10" i="37"/>
  <c r="Y10" i="37"/>
  <c r="AI9" i="37"/>
  <c r="AA9" i="37"/>
  <c r="AT9" i="37" s="1"/>
  <c r="AK8" i="37"/>
  <c r="AC8" i="37"/>
  <c r="AM7" i="37"/>
  <c r="AE7" i="37"/>
  <c r="AO5" i="37"/>
  <c r="AG5" i="37"/>
  <c r="Y5" i="37"/>
  <c r="AI4" i="37"/>
  <c r="AA4" i="37"/>
  <c r="AT4" i="37" s="1"/>
  <c r="AO19" i="37"/>
  <c r="AK17" i="37"/>
  <c r="AO15" i="37"/>
  <c r="AE8" i="37"/>
  <c r="Y7" i="37"/>
  <c r="AL3" i="37"/>
  <c r="Z18" i="37"/>
  <c r="AF15" i="37"/>
  <c r="AA3" i="37"/>
  <c r="AJ3" i="37"/>
  <c r="AL19" i="37"/>
  <c r="AD19" i="37"/>
  <c r="AN18" i="37"/>
  <c r="AF18" i="37"/>
  <c r="AP17" i="37"/>
  <c r="AH17" i="37"/>
  <c r="Z17" i="37"/>
  <c r="AJ16" i="37"/>
  <c r="AB16" i="37"/>
  <c r="AL15" i="37"/>
  <c r="AD15" i="37"/>
  <c r="AN14" i="37"/>
  <c r="AF14" i="37"/>
  <c r="AP13" i="37"/>
  <c r="AH13" i="37"/>
  <c r="AJ12" i="37"/>
  <c r="AB12" i="37"/>
  <c r="AL11" i="37"/>
  <c r="AD11" i="37"/>
  <c r="AN10" i="37"/>
  <c r="AF10" i="37"/>
  <c r="AP9" i="37"/>
  <c r="AH9" i="37"/>
  <c r="Z9" i="37"/>
  <c r="AJ8" i="37"/>
  <c r="AB8" i="37"/>
  <c r="AL7" i="37"/>
  <c r="AD7" i="37"/>
  <c r="AN5" i="37"/>
  <c r="AF5" i="37"/>
  <c r="AP4" i="37"/>
  <c r="AH4" i="37"/>
  <c r="Z4" i="37"/>
  <c r="AC17" i="37"/>
  <c r="AI14" i="37"/>
  <c r="AM8" i="37"/>
  <c r="AG7" i="37"/>
  <c r="AA5" i="37"/>
  <c r="AB17" i="37"/>
  <c r="AP14" i="37"/>
  <c r="AP10" i="37"/>
  <c r="AJ9" i="37"/>
  <c r="AN7" i="37"/>
  <c r="AH5" i="37"/>
  <c r="W13" i="37"/>
  <c r="W18" i="37"/>
  <c r="W10" i="37"/>
  <c r="Z3" i="37"/>
  <c r="AI3" i="37"/>
  <c r="AK19" i="37"/>
  <c r="AC19" i="37"/>
  <c r="AM18" i="37"/>
  <c r="AE18" i="37"/>
  <c r="AO17" i="37"/>
  <c r="AG17" i="37"/>
  <c r="Y17" i="37"/>
  <c r="AI16" i="37"/>
  <c r="AA16" i="37"/>
  <c r="AT16" i="37" s="1"/>
  <c r="AK15" i="37"/>
  <c r="AC15" i="37"/>
  <c r="AM14" i="37"/>
  <c r="AE14" i="37"/>
  <c r="AO13" i="37"/>
  <c r="AG13" i="37"/>
  <c r="Y13" i="37"/>
  <c r="AI12" i="37"/>
  <c r="AA12" i="37"/>
  <c r="AT12" i="37" s="1"/>
  <c r="AK11" i="37"/>
  <c r="AC11" i="37"/>
  <c r="AM10" i="37"/>
  <c r="AE10" i="37"/>
  <c r="AO9" i="37"/>
  <c r="AG9" i="37"/>
  <c r="Y9" i="37"/>
  <c r="AI8" i="37"/>
  <c r="AA8" i="37"/>
  <c r="AT8" i="37" s="1"/>
  <c r="AK7" i="37"/>
  <c r="AC7" i="37"/>
  <c r="AM5" i="37"/>
  <c r="AE5" i="37"/>
  <c r="AO4" i="37"/>
  <c r="AG4" i="37"/>
  <c r="Y4" i="37"/>
  <c r="AG15" i="37"/>
  <c r="AH18" i="37"/>
  <c r="Z10" i="37"/>
  <c r="AF7" i="37"/>
  <c r="W9" i="37"/>
  <c r="Y3" i="37"/>
  <c r="AP3" i="37"/>
  <c r="AJ19" i="37"/>
  <c r="AL18" i="37"/>
  <c r="AN17" i="37"/>
  <c r="AP16" i="37"/>
  <c r="AH16" i="37"/>
  <c r="AJ15" i="37"/>
  <c r="AL14" i="37"/>
  <c r="AN13" i="37"/>
  <c r="AF13" i="37"/>
  <c r="AP12" i="37"/>
  <c r="AH12" i="37"/>
  <c r="AJ11" i="37"/>
  <c r="AL10" i="37"/>
  <c r="AN9" i="37"/>
  <c r="AP8" i="37"/>
  <c r="AH8" i="37"/>
  <c r="AJ7" i="37"/>
  <c r="AL5" i="37"/>
  <c r="AN4" i="37"/>
  <c r="W16" i="37"/>
  <c r="W15" i="37"/>
  <c r="W5" i="37"/>
  <c r="W7" i="37"/>
  <c r="W4" i="37"/>
  <c r="W19" i="37"/>
  <c r="W14" i="37"/>
  <c r="W8" i="37"/>
  <c r="W17" i="37"/>
  <c r="W3" i="37"/>
  <c r="W11" i="37"/>
  <c r="AU11" i="37" l="1"/>
  <c r="N33" i="27"/>
  <c r="M32" i="27"/>
  <c r="M34" i="27" s="1"/>
  <c r="N10" i="1"/>
  <c r="AV11" i="37"/>
  <c r="AW11" i="37" s="1"/>
  <c r="AU8" i="37"/>
  <c r="AU12" i="37"/>
  <c r="AU4" i="37"/>
  <c r="AV4" i="37" s="1"/>
  <c r="AW4" i="37" s="1"/>
  <c r="AU7" i="37"/>
  <c r="AV7" i="37" s="1"/>
  <c r="BH32" i="37"/>
  <c r="AU9" i="37"/>
  <c r="AV9" i="37" s="1"/>
  <c r="AW9" i="37" s="1"/>
  <c r="AU14" i="37"/>
  <c r="AV14" i="37" s="1"/>
  <c r="AW14" i="37" s="1"/>
  <c r="AU16" i="37"/>
  <c r="AV16" i="37" s="1"/>
  <c r="A15" i="37"/>
  <c r="A40" i="37" s="1"/>
  <c r="A39" i="37"/>
  <c r="AV8" i="37"/>
  <c r="N32" i="27" l="1"/>
  <c r="N34" i="27" s="1"/>
  <c r="O10" i="1"/>
  <c r="O33" i="27"/>
  <c r="AV12" i="37"/>
  <c r="AW7" i="37"/>
  <c r="AX7" i="37" s="1"/>
  <c r="BN32" i="37"/>
  <c r="AX9" i="37"/>
  <c r="AY9" i="37" s="1"/>
  <c r="AZ9" i="37" s="1"/>
  <c r="AW16" i="37"/>
  <c r="AX16" i="37" s="1"/>
  <c r="AX4" i="37"/>
  <c r="AY4" i="37" s="1"/>
  <c r="AW8" i="37"/>
  <c r="AX8" i="37" s="1"/>
  <c r="AX11" i="37"/>
  <c r="AX14" i="37"/>
  <c r="AY7" i="37" l="1"/>
  <c r="AZ7" i="37" s="1"/>
  <c r="P33" i="27"/>
  <c r="O32" i="27"/>
  <c r="O34" i="27" s="1"/>
  <c r="P10" i="1"/>
  <c r="AW12" i="37"/>
  <c r="AX12" i="37" s="1"/>
  <c r="AY12" i="37" s="1"/>
  <c r="AZ12" i="37" s="1"/>
  <c r="AZ4" i="37"/>
  <c r="BA4" i="37" s="1"/>
  <c r="AY8" i="37"/>
  <c r="BA7" i="37"/>
  <c r="BB7" i="37" s="1"/>
  <c r="BA9" i="37"/>
  <c r="BB9" i="37" s="1"/>
  <c r="AY11" i="37"/>
  <c r="AY14" i="37"/>
  <c r="AY16" i="37"/>
  <c r="P32" i="27" l="1"/>
  <c r="Q10" i="1"/>
  <c r="Q33" i="27"/>
  <c r="P34" i="27"/>
  <c r="BA12" i="37"/>
  <c r="BB4" i="37"/>
  <c r="BC4" i="37" s="1"/>
  <c r="BD4" i="37" s="1"/>
  <c r="AZ8" i="37"/>
  <c r="BC7" i="37"/>
  <c r="BD7" i="37" s="1"/>
  <c r="BC9" i="37"/>
  <c r="BD9" i="37" s="1"/>
  <c r="BE9" i="37" s="1"/>
  <c r="BF9" i="37" s="1"/>
  <c r="BG9" i="37" s="1"/>
  <c r="BH9" i="37" s="1"/>
  <c r="BJ9" i="37" s="1"/>
  <c r="AZ11" i="37"/>
  <c r="AZ14" i="37"/>
  <c r="AZ16" i="37"/>
  <c r="BA16" i="37" s="1"/>
  <c r="R33" i="27" l="1"/>
  <c r="Q32" i="27"/>
  <c r="R10" i="1"/>
  <c r="BE4" i="37"/>
  <c r="BF4" i="37" s="1"/>
  <c r="BG4" i="37" s="1"/>
  <c r="BH4" i="37" s="1"/>
  <c r="BI4" i="37" s="1"/>
  <c r="BJ4" i="37" s="1"/>
  <c r="BB12" i="37"/>
  <c r="BC12" i="37" s="1"/>
  <c r="BA8" i="37"/>
  <c r="BB8" i="37" s="1"/>
  <c r="BE7" i="37"/>
  <c r="BF7" i="37" s="1"/>
  <c r="BG7" i="37" s="1"/>
  <c r="BH7" i="37" s="1"/>
  <c r="BI7" i="37" s="1"/>
  <c r="BJ7" i="37" s="1"/>
  <c r="BA11" i="37"/>
  <c r="BB11" i="37" s="1"/>
  <c r="BC11" i="37" s="1"/>
  <c r="BD11" i="37" s="1"/>
  <c r="BE11" i="37" s="1"/>
  <c r="BF11" i="37" s="1"/>
  <c r="BG11" i="37" s="1"/>
  <c r="BH11" i="37" s="1"/>
  <c r="BA14" i="37"/>
  <c r="BB16" i="37"/>
  <c r="BC16" i="37" s="1"/>
  <c r="R32" i="27" l="1"/>
  <c r="R34" i="27" s="1"/>
  <c r="S10" i="1"/>
  <c r="Q34" i="27"/>
  <c r="S33" i="27"/>
  <c r="BD12" i="37"/>
  <c r="BE12" i="37" s="1"/>
  <c r="BF12" i="37" s="1"/>
  <c r="BG12" i="37" s="1"/>
  <c r="BH12" i="37" s="1"/>
  <c r="BI12" i="37" s="1"/>
  <c r="BJ12" i="37" s="1"/>
  <c r="BD16" i="37"/>
  <c r="BE16" i="37" s="1"/>
  <c r="BC8" i="37"/>
  <c r="BD8" i="37" s="1"/>
  <c r="BE8" i="37" s="1"/>
  <c r="BF8" i="37" s="1"/>
  <c r="BG8" i="37" s="1"/>
  <c r="BH8" i="37" s="1"/>
  <c r="BI8" i="37" s="1"/>
  <c r="BJ8" i="37" s="1"/>
  <c r="BI11" i="37"/>
  <c r="BJ11" i="37" s="1"/>
  <c r="BB14" i="37"/>
  <c r="BC14" i="37" s="1"/>
  <c r="BD14" i="37" s="1"/>
  <c r="BE14" i="37" s="1"/>
  <c r="BF14" i="37" s="1"/>
  <c r="BG14" i="37" s="1"/>
  <c r="BH14" i="37" s="1"/>
  <c r="BI14" i="37" s="1"/>
  <c r="BJ14" i="37" s="1"/>
  <c r="T33" i="27" l="1"/>
  <c r="S32" i="27"/>
  <c r="T10" i="1"/>
  <c r="BF16" i="37"/>
  <c r="BG16" i="37" s="1"/>
  <c r="BH16" i="37" s="1"/>
  <c r="T32" i="27" l="1"/>
  <c r="T34" i="27" s="1"/>
  <c r="U10" i="1"/>
  <c r="S34" i="27"/>
  <c r="U33" i="27"/>
  <c r="BI16" i="37"/>
  <c r="BJ16" i="37" s="1"/>
  <c r="CJ251" i="25"/>
  <c r="CH251" i="25"/>
  <c r="CI246" i="25"/>
  <c r="CH246" i="25"/>
  <c r="CJ245" i="25"/>
  <c r="CH245" i="25"/>
  <c r="CJ244" i="25"/>
  <c r="CI244" i="25"/>
  <c r="CJ229" i="25"/>
  <c r="CH229" i="25"/>
  <c r="CJ228" i="25"/>
  <c r="CI228" i="25"/>
  <c r="CJ227" i="25"/>
  <c r="CH227" i="25"/>
  <c r="CJ226" i="25"/>
  <c r="CI226" i="25"/>
  <c r="CJ218" i="25"/>
  <c r="CI218" i="25"/>
  <c r="CJ217" i="25"/>
  <c r="CI217" i="25"/>
  <c r="CJ216" i="25"/>
  <c r="CI216" i="25"/>
  <c r="CJ112" i="25"/>
  <c r="CI112" i="25"/>
  <c r="CI111" i="25"/>
  <c r="CH111" i="25"/>
  <c r="CJ110" i="25"/>
  <c r="CH110" i="25"/>
  <c r="CJ109" i="25"/>
  <c r="CI109" i="25"/>
  <c r="CJ107" i="25"/>
  <c r="CI107" i="25"/>
  <c r="V33" i="27" l="1"/>
  <c r="U32" i="27"/>
  <c r="V10" i="1"/>
  <c r="CE198" i="25"/>
  <c r="J31" i="25"/>
  <c r="V32" i="27" l="1"/>
  <c r="V34" i="27" s="1"/>
  <c r="W10" i="1"/>
  <c r="U34" i="27"/>
  <c r="W33" i="27"/>
  <c r="Y106" i="25"/>
  <c r="X33" i="27" l="1"/>
  <c r="W32" i="27"/>
  <c r="X10" i="1"/>
  <c r="X32" i="27" l="1"/>
  <c r="Y10" i="1"/>
  <c r="W34" i="27"/>
  <c r="Y33" i="27"/>
  <c r="X34" i="27"/>
  <c r="Z33" i="27" l="1"/>
  <c r="Y32" i="27"/>
  <c r="Y34" i="27" s="1"/>
  <c r="Z10" i="1"/>
  <c r="B78" i="25"/>
  <c r="AA324" i="25"/>
  <c r="AD324" i="25"/>
  <c r="AE324" i="25"/>
  <c r="AF324" i="25"/>
  <c r="AG324" i="25"/>
  <c r="AH324" i="25"/>
  <c r="AI324" i="25"/>
  <c r="AJ324" i="25"/>
  <c r="Z324" i="25"/>
  <c r="AA323" i="25"/>
  <c r="AB323" i="25"/>
  <c r="AC323" i="25"/>
  <c r="AD323" i="25"/>
  <c r="AE323" i="25"/>
  <c r="AH323" i="25"/>
  <c r="AI323" i="25"/>
  <c r="AJ323" i="25"/>
  <c r="Z323" i="25"/>
  <c r="E67" i="1"/>
  <c r="Z32" i="27" l="1"/>
  <c r="AA10" i="1"/>
  <c r="AA33" i="27"/>
  <c r="Z34" i="27"/>
  <c r="B79" i="25"/>
  <c r="AA299" i="25" s="1"/>
  <c r="AB33" i="27" l="1"/>
  <c r="AA32" i="27"/>
  <c r="AB10" i="1"/>
  <c r="BC314" i="25"/>
  <c r="AQ308" i="25"/>
  <c r="AP309" i="25"/>
  <c r="BC313" i="25"/>
  <c r="BJ318" i="25"/>
  <c r="BC311" i="25"/>
  <c r="BJ315" i="25"/>
  <c r="AK314" i="25"/>
  <c r="AS306" i="25"/>
  <c r="BA317" i="25"/>
  <c r="AP308" i="25"/>
  <c r="AM313" i="25"/>
  <c r="AM311" i="25"/>
  <c r="AP314" i="25"/>
  <c r="AP301" i="25"/>
  <c r="AS317" i="25"/>
  <c r="AH301" i="25"/>
  <c r="AL306" i="25"/>
  <c r="AI313" i="25"/>
  <c r="BB318" i="25"/>
  <c r="AV308" i="25"/>
  <c r="AM309" i="25"/>
  <c r="AO299" i="25"/>
  <c r="AX306" i="25"/>
  <c r="Z313" i="25"/>
  <c r="BG310" i="25"/>
  <c r="AX312" i="25"/>
  <c r="AY310" i="25"/>
  <c r="BI315" i="25"/>
  <c r="AP299" i="25"/>
  <c r="Z312" i="25"/>
  <c r="AA313" i="25"/>
  <c r="BB316" i="25"/>
  <c r="AM308" i="25"/>
  <c r="AC309" i="25"/>
  <c r="AG299" i="25"/>
  <c r="AT291" i="25"/>
  <c r="AE313" i="25"/>
  <c r="AU307" i="25"/>
  <c r="AP312" i="25"/>
  <c r="BA315" i="25"/>
  <c r="BD318" i="25"/>
  <c r="Z304" i="25"/>
  <c r="AQ311" i="25"/>
  <c r="BJ314" i="25"/>
  <c r="BJ296" i="25"/>
  <c r="AJ317" i="25"/>
  <c r="AZ306" i="25"/>
  <c r="AW306" i="25"/>
  <c r="AY314" i="25"/>
  <c r="BB319" i="25"/>
  <c r="BF310" i="25"/>
  <c r="AG312" i="25"/>
  <c r="BH317" i="25"/>
  <c r="AX309" i="25"/>
  <c r="BB314" i="25"/>
  <c r="AH295" i="25"/>
  <c r="AZ316" i="25"/>
  <c r="AR306" i="25"/>
  <c r="BA291" i="25"/>
  <c r="BG312" i="25"/>
  <c r="BJ317" i="25"/>
  <c r="AX310" i="25"/>
  <c r="BF299" i="25"/>
  <c r="AW310" i="25"/>
  <c r="AB313" i="25"/>
  <c r="BC316" i="25"/>
  <c r="AO309" i="25"/>
  <c r="BJ312" i="25"/>
  <c r="AR313" i="25"/>
  <c r="BD311" i="25"/>
  <c r="AN299" i="25"/>
  <c r="BD306" i="25"/>
  <c r="BG318" i="25"/>
  <c r="BB317" i="25"/>
  <c r="BJ308" i="25"/>
  <c r="AS319" i="25"/>
  <c r="AV312" i="25"/>
  <c r="AZ319" i="25"/>
  <c r="BB312" i="25"/>
  <c r="BE317" i="25"/>
  <c r="AV311" i="25"/>
  <c r="AF299" i="25"/>
  <c r="AZ291" i="25"/>
  <c r="Z316" i="25"/>
  <c r="BA308" i="25"/>
  <c r="AK319" i="25"/>
  <c r="AZ308" i="25"/>
  <c r="AY309" i="25"/>
  <c r="BD310" i="25"/>
  <c r="BJ310" i="25"/>
  <c r="AS314" i="25"/>
  <c r="BA306" i="25"/>
  <c r="AM305" i="25"/>
  <c r="AU306" i="25"/>
  <c r="AX301" i="25"/>
  <c r="BB315" i="25"/>
  <c r="AH312" i="25"/>
  <c r="AR308" i="25"/>
  <c r="AX299" i="25"/>
  <c r="AL296" i="25"/>
  <c r="AK317" i="25"/>
  <c r="BA313" i="25"/>
  <c r="BI311" i="25"/>
  <c r="AX297" i="25"/>
  <c r="AZ311" i="25"/>
  <c r="BG319" i="25"/>
  <c r="AU314" i="25"/>
  <c r="BC312" i="25"/>
  <c r="AL304" i="25"/>
  <c r="AZ317" i="25"/>
  <c r="AT314" i="25"/>
  <c r="AL312" i="25"/>
  <c r="AJ311" i="25"/>
  <c r="AO317" i="25"/>
  <c r="BI312" i="25"/>
  <c r="BD308" i="25"/>
  <c r="AO297" i="25"/>
  <c r="BH296" i="25"/>
  <c r="BF304" i="25"/>
  <c r="BE304" i="25"/>
  <c r="BC304" i="25"/>
  <c r="BC319" i="25"/>
  <c r="BC317" i="25"/>
  <c r="AL317" i="25"/>
  <c r="BB313" i="25"/>
  <c r="BJ311" i="25"/>
  <c r="BF297" i="25"/>
  <c r="AS309" i="25"/>
  <c r="Z314" i="25"/>
  <c r="BE318" i="25"/>
  <c r="AS313" i="25"/>
  <c r="BA311" i="25"/>
  <c r="BI309" i="25"/>
  <c r="BH307" i="25"/>
  <c r="BF295" i="25"/>
  <c r="AR311" i="25"/>
  <c r="BH308" i="25"/>
  <c r="BB302" i="25"/>
  <c r="AY319" i="25"/>
  <c r="BG317" i="25"/>
  <c r="AM314" i="25"/>
  <c r="AU312" i="25"/>
  <c r="BC310" i="25"/>
  <c r="BG308" i="25"/>
  <c r="BD316" i="25"/>
  <c r="Z303" i="25"/>
  <c r="AD312" i="25"/>
  <c r="BD307" i="25"/>
  <c r="AX291" i="25"/>
  <c r="Z302" i="25"/>
  <c r="BA312" i="25"/>
  <c r="AX305" i="25"/>
  <c r="Z309" i="25"/>
  <c r="BD309" i="25"/>
  <c r="BA304" i="25"/>
  <c r="BI296" i="25"/>
  <c r="AZ304" i="25"/>
  <c r="AZ296" i="25"/>
  <c r="BC301" i="25"/>
  <c r="BC309" i="25"/>
  <c r="Z315" i="25"/>
  <c r="BF318" i="25"/>
  <c r="AT313" i="25"/>
  <c r="BB311" i="25"/>
  <c r="BJ309" i="25"/>
  <c r="BI307" i="25"/>
  <c r="AA309" i="25"/>
  <c r="Z306" i="25"/>
  <c r="BE316" i="25"/>
  <c r="AK313" i="25"/>
  <c r="AS311" i="25"/>
  <c r="AZ309" i="25"/>
  <c r="AM307" i="25"/>
  <c r="AL292" i="25"/>
  <c r="BH315" i="25"/>
  <c r="AV310" i="25"/>
  <c r="AY308" i="25"/>
  <c r="BJ300" i="25"/>
  <c r="AY317" i="25"/>
  <c r="BG315" i="25"/>
  <c r="AM312" i="25"/>
  <c r="AW308" i="25"/>
  <c r="AZ315" i="25"/>
  <c r="Z295" i="25"/>
  <c r="BF315" i="25"/>
  <c r="BF313" i="25"/>
  <c r="BF311" i="25"/>
  <c r="BF309" i="25"/>
  <c r="BJ306" i="25"/>
  <c r="BE319" i="25"/>
  <c r="AS312" i="25"/>
  <c r="BF303" i="25"/>
  <c r="BH318" i="25"/>
  <c r="BA294" i="25"/>
  <c r="AU299" i="25"/>
  <c r="AL301" i="25"/>
  <c r="AI301" i="25"/>
  <c r="Z292" i="25"/>
  <c r="BF316" i="25"/>
  <c r="AL313" i="25"/>
  <c r="AT311" i="25"/>
  <c r="BA309" i="25"/>
  <c r="AP307" i="25"/>
  <c r="AA312" i="25"/>
  <c r="AS308" i="25"/>
  <c r="Z298" i="25"/>
  <c r="BE314" i="25"/>
  <c r="AC313" i="25"/>
  <c r="AK311" i="25"/>
  <c r="AQ309" i="25"/>
  <c r="AQ306" i="25"/>
  <c r="BF293" i="25"/>
  <c r="AO308" i="25"/>
  <c r="AH299" i="25"/>
  <c r="AY315" i="25"/>
  <c r="AE312" i="25"/>
  <c r="AN308" i="25"/>
  <c r="BJ298" i="25"/>
  <c r="BD314" i="25"/>
  <c r="BF319" i="25"/>
  <c r="AX317" i="25"/>
  <c r="AX315" i="25"/>
  <c r="AX313" i="25"/>
  <c r="AX311" i="25"/>
  <c r="AW309" i="25"/>
  <c r="BF305" i="25"/>
  <c r="AW319" i="25"/>
  <c r="AV313" i="25"/>
  <c r="AX307" i="25"/>
  <c r="BI302" i="25"/>
  <c r="BH302" i="25"/>
  <c r="BD293" i="25"/>
  <c r="BG296" i="25"/>
  <c r="AD299" i="25"/>
  <c r="AC299" i="25"/>
  <c r="AJ299" i="25"/>
  <c r="AA291" i="25"/>
  <c r="BC296" i="25"/>
  <c r="AI299" i="25"/>
  <c r="BC306" i="25"/>
  <c r="BH291" i="25"/>
  <c r="BD294" i="25"/>
  <c r="AR297" i="25"/>
  <c r="AR299" i="25"/>
  <c r="AZ301" i="25"/>
  <c r="AJ305" i="25"/>
  <c r="BI291" i="25"/>
  <c r="BE294" i="25"/>
  <c r="AK297" i="25"/>
  <c r="AK299" i="25"/>
  <c r="BE306" i="25"/>
  <c r="BB291" i="25"/>
  <c r="BF294" i="25"/>
  <c r="AL297" i="25"/>
  <c r="AL299" i="25"/>
  <c r="BF306" i="25"/>
  <c r="AX308" i="25"/>
  <c r="AU291" i="25"/>
  <c r="AY294" i="25"/>
  <c r="AM297" i="25"/>
  <c r="BC299" i="25"/>
  <c r="BC303" i="25"/>
  <c r="AU305" i="25"/>
  <c r="AJ292" i="25"/>
  <c r="AZ294" i="25"/>
  <c r="AN297" i="25"/>
  <c r="AV299" i="25"/>
  <c r="AV301" i="25"/>
  <c r="BH306" i="25"/>
  <c r="AS292" i="25"/>
  <c r="BI294" i="25"/>
  <c r="AW297" i="25"/>
  <c r="AW299" i="25"/>
  <c r="AW301" i="25"/>
  <c r="BI306" i="25"/>
  <c r="AT296" i="25"/>
  <c r="AK308" i="25"/>
  <c r="AB312" i="25"/>
  <c r="BD313" i="25"/>
  <c r="AV315" i="25"/>
  <c r="AF312" i="25"/>
  <c r="AP291" i="25"/>
  <c r="BG306" i="25"/>
  <c r="AV309" i="25"/>
  <c r="AO311" i="25"/>
  <c r="AG313" i="25"/>
  <c r="BI314" i="25"/>
  <c r="BA316" i="25"/>
  <c r="AT300" i="25"/>
  <c r="AI291" i="25"/>
  <c r="AQ297" i="25"/>
  <c r="AQ299" i="25"/>
  <c r="AY301" i="25"/>
  <c r="AV292" i="25"/>
  <c r="AB295" i="25"/>
  <c r="AZ297" i="25"/>
  <c r="AZ299" i="25"/>
  <c r="BH301" i="25"/>
  <c r="AZ303" i="25"/>
  <c r="AR305" i="25"/>
  <c r="AJ307" i="25"/>
  <c r="AO292" i="25"/>
  <c r="AC295" i="25"/>
  <c r="AS297" i="25"/>
  <c r="AS299" i="25"/>
  <c r="BA301" i="25"/>
  <c r="AK305" i="25"/>
  <c r="BJ291" i="25"/>
  <c r="AD295" i="25"/>
  <c r="AT297" i="25"/>
  <c r="AT299" i="25"/>
  <c r="BB301" i="25"/>
  <c r="AL305" i="25"/>
  <c r="BF308" i="25"/>
  <c r="BC291" i="25"/>
  <c r="BG294" i="25"/>
  <c r="BC297" i="25"/>
  <c r="AQ300" i="25"/>
  <c r="AA304" i="25"/>
  <c r="BC305" i="25"/>
  <c r="AR292" i="25"/>
  <c r="BH294" i="25"/>
  <c r="BD297" i="25"/>
  <c r="BD299" i="25"/>
  <c r="BD301" i="25"/>
  <c r="AV303" i="25"/>
  <c r="AN305" i="25"/>
  <c r="BA292" i="25"/>
  <c r="AG295" i="25"/>
  <c r="BE297" i="25"/>
  <c r="BE299" i="25"/>
  <c r="BE301" i="25"/>
  <c r="AW303" i="25"/>
  <c r="AO305" i="25"/>
  <c r="AL298" i="25"/>
  <c r="AT308" i="25"/>
  <c r="AJ312" i="25"/>
  <c r="BD315" i="25"/>
  <c r="AV317" i="25"/>
  <c r="AN319" i="25"/>
  <c r="AJ313" i="25"/>
  <c r="BJ294" i="25"/>
  <c r="BC307" i="25"/>
  <c r="BE309" i="25"/>
  <c r="AW311" i="25"/>
  <c r="AO313" i="25"/>
  <c r="BA318" i="25"/>
  <c r="BE308" i="25"/>
  <c r="BB310" i="25"/>
  <c r="AT312" i="25"/>
  <c r="AL314" i="25"/>
  <c r="BF317" i="25"/>
  <c r="AX319" i="25"/>
  <c r="BD312" i="25"/>
  <c r="BF291" i="25"/>
  <c r="AY291" i="25"/>
  <c r="BC294" i="25"/>
  <c r="AY297" i="25"/>
  <c r="AY299" i="25"/>
  <c r="BG301" i="25"/>
  <c r="AY303" i="25"/>
  <c r="AQ305" i="25"/>
  <c r="AJ295" i="25"/>
  <c r="BH297" i="25"/>
  <c r="AN300" i="25"/>
  <c r="BH303" i="25"/>
  <c r="AZ305" i="25"/>
  <c r="AR307" i="25"/>
  <c r="AK295" i="25"/>
  <c r="BA297" i="25"/>
  <c r="BA299" i="25"/>
  <c r="BI301" i="25"/>
  <c r="BA303" i="25"/>
  <c r="AS305" i="25"/>
  <c r="AK307" i="25"/>
  <c r="BF292" i="25"/>
  <c r="AL295" i="25"/>
  <c r="BB297" i="25"/>
  <c r="BB299" i="25"/>
  <c r="BJ301" i="25"/>
  <c r="BB303" i="25"/>
  <c r="AT305" i="25"/>
  <c r="AL307" i="25"/>
  <c r="AD309" i="25"/>
  <c r="AA292" i="25"/>
  <c r="AE295" i="25"/>
  <c r="AQ298" i="25"/>
  <c r="AI304" i="25"/>
  <c r="AA306" i="25"/>
  <c r="AZ292" i="25"/>
  <c r="AF295" i="25"/>
  <c r="AJ298" i="25"/>
  <c r="BD303" i="25"/>
  <c r="AV305" i="25"/>
  <c r="AN307" i="25"/>
  <c r="BI292" i="25"/>
  <c r="AO295" i="25"/>
  <c r="AK298" i="25"/>
  <c r="BE303" i="25"/>
  <c r="AW305" i="25"/>
  <c r="AO307" i="25"/>
  <c r="BF301" i="25"/>
  <c r="BC308" i="25"/>
  <c r="AZ310" i="25"/>
  <c r="AR312" i="25"/>
  <c r="AJ314" i="25"/>
  <c r="BD317" i="25"/>
  <c r="AV319" i="25"/>
  <c r="AN314" i="25"/>
  <c r="BB296" i="25"/>
  <c r="BE311" i="25"/>
  <c r="AW313" i="25"/>
  <c r="BI318" i="25"/>
  <c r="BG291" i="25"/>
  <c r="AA295" i="25"/>
  <c r="BG297" i="25"/>
  <c r="BG303" i="25"/>
  <c r="AY305" i="25"/>
  <c r="AQ307" i="25"/>
  <c r="AR295" i="25"/>
  <c r="AN298" i="25"/>
  <c r="AV300" i="25"/>
  <c r="AF304" i="25"/>
  <c r="BH305" i="25"/>
  <c r="AZ307" i="25"/>
  <c r="AS295" i="25"/>
  <c r="BI297" i="25"/>
  <c r="AO300" i="25"/>
  <c r="BI303" i="25"/>
  <c r="BA305" i="25"/>
  <c r="AS307" i="25"/>
  <c r="AT295" i="25"/>
  <c r="BJ297" i="25"/>
  <c r="AP300" i="25"/>
  <c r="BJ303" i="25"/>
  <c r="BB305" i="25"/>
  <c r="AT307" i="25"/>
  <c r="AL309" i="25"/>
  <c r="AY292" i="25"/>
  <c r="AM295" i="25"/>
  <c r="AY298" i="25"/>
  <c r="BG300" i="25"/>
  <c r="AY302" i="25"/>
  <c r="AQ304" i="25"/>
  <c r="BH292" i="25"/>
  <c r="AN295" i="25"/>
  <c r="AR298" i="25"/>
  <c r="AR300" i="25"/>
  <c r="AB304" i="25"/>
  <c r="BD305" i="25"/>
  <c r="AV307" i="25"/>
  <c r="BE295" i="25"/>
  <c r="AS298" i="25"/>
  <c r="AS300" i="25"/>
  <c r="AC304" i="25"/>
  <c r="BE305" i="25"/>
  <c r="AW307" i="25"/>
  <c r="AX303" i="25"/>
  <c r="AB309" i="25"/>
  <c r="BH310" i="25"/>
  <c r="AZ312" i="25"/>
  <c r="AR314" i="25"/>
  <c r="BD319" i="25"/>
  <c r="AT298" i="25"/>
  <c r="AL308" i="25"/>
  <c r="AC312" i="25"/>
  <c r="BE313" i="25"/>
  <c r="AI295" i="25"/>
  <c r="AM298" i="25"/>
  <c r="AU300" i="25"/>
  <c r="AE304" i="25"/>
  <c r="BG305" i="25"/>
  <c r="AY307" i="25"/>
  <c r="AZ293" i="25"/>
  <c r="AN296" i="25"/>
  <c r="AV298" i="25"/>
  <c r="BD300" i="25"/>
  <c r="AV302" i="25"/>
  <c r="AC291" i="25"/>
  <c r="BA293" i="25"/>
  <c r="BA295" i="25"/>
  <c r="AO298" i="25"/>
  <c r="AW300" i="25"/>
  <c r="AG304" i="25"/>
  <c r="BI305" i="25"/>
  <c r="BA307" i="25"/>
  <c r="BB295" i="25"/>
  <c r="AP298" i="25"/>
  <c r="AX300" i="25"/>
  <c r="AH304" i="25"/>
  <c r="BJ305" i="25"/>
  <c r="BB307" i="25"/>
  <c r="AT309" i="25"/>
  <c r="BG292" i="25"/>
  <c r="BC295" i="25"/>
  <c r="BG298" i="25"/>
  <c r="AE301" i="25"/>
  <c r="BG302" i="25"/>
  <c r="AY304" i="25"/>
  <c r="AF291" i="25"/>
  <c r="BD295" i="25"/>
  <c r="AZ298" i="25"/>
  <c r="AJ304" i="25"/>
  <c r="AB306" i="25"/>
  <c r="AG291" i="25"/>
  <c r="AW293" i="25"/>
  <c r="AK296" i="25"/>
  <c r="BA298" i="25"/>
  <c r="AK304" i="25"/>
  <c r="BE307" i="25"/>
  <c r="AP305" i="25"/>
  <c r="AK309" i="25"/>
  <c r="BH312" i="25"/>
  <c r="AZ314" i="25"/>
  <c r="Z301" i="25"/>
  <c r="AU308" i="25"/>
  <c r="AK312" i="25"/>
  <c r="BE315" i="25"/>
  <c r="AW317" i="25"/>
  <c r="AQ295" i="25"/>
  <c r="AU298" i="25"/>
  <c r="BC300" i="25"/>
  <c r="AB291" i="25"/>
  <c r="BH293" i="25"/>
  <c r="AV296" i="25"/>
  <c r="BD298" i="25"/>
  <c r="AB301" i="25"/>
  <c r="BD302" i="25"/>
  <c r="AV304" i="25"/>
  <c r="AN306" i="25"/>
  <c r="AK291" i="25"/>
  <c r="BI293" i="25"/>
  <c r="AO296" i="25"/>
  <c r="AW298" i="25"/>
  <c r="BE300" i="25"/>
  <c r="AW302" i="25"/>
  <c r="AD291" i="25"/>
  <c r="BB293" i="25"/>
  <c r="AP296" i="25"/>
  <c r="AX298" i="25"/>
  <c r="BF300" i="25"/>
  <c r="AX302" i="25"/>
  <c r="BJ307" i="25"/>
  <c r="BB309" i="25"/>
  <c r="AQ296" i="25"/>
  <c r="AE299" i="25"/>
  <c r="AM301" i="25"/>
  <c r="AN291" i="25"/>
  <c r="AV293" i="25"/>
  <c r="AJ296" i="25"/>
  <c r="BH298" i="25"/>
  <c r="BH300" i="25"/>
  <c r="AZ302" i="25"/>
  <c r="AJ306" i="25"/>
  <c r="AO291" i="25"/>
  <c r="BE293" i="25"/>
  <c r="BA296" i="25"/>
  <c r="BI298" i="25"/>
  <c r="BI300" i="25"/>
  <c r="BA302" i="25"/>
  <c r="AK306" i="25"/>
  <c r="AH291" i="25"/>
  <c r="BB306" i="25"/>
  <c r="AU309" i="25"/>
  <c r="AN311" i="25"/>
  <c r="AY293" i="25"/>
  <c r="AM296" i="25"/>
  <c r="BC298" i="25"/>
  <c r="AA301" i="25"/>
  <c r="BC302" i="25"/>
  <c r="AM306" i="25"/>
  <c r="AJ291" i="25"/>
  <c r="BD296" i="25"/>
  <c r="AB299" i="25"/>
  <c r="BD304" i="25"/>
  <c r="AV306" i="25"/>
  <c r="AS291" i="25"/>
  <c r="AW296" i="25"/>
  <c r="BE298" i="25"/>
  <c r="AC301" i="25"/>
  <c r="BE302" i="25"/>
  <c r="AW304" i="25"/>
  <c r="AO306" i="25"/>
  <c r="AL291" i="25"/>
  <c r="BJ293" i="25"/>
  <c r="AX296" i="25"/>
  <c r="BF298" i="25"/>
  <c r="AD301" i="25"/>
  <c r="BF302" i="25"/>
  <c r="AX304" i="25"/>
  <c r="AP306" i="25"/>
  <c r="AE291" i="25"/>
  <c r="AY296" i="25"/>
  <c r="AM299" i="25"/>
  <c r="AU301" i="25"/>
  <c r="BC315" i="25"/>
  <c r="AU313" i="25"/>
  <c r="Z297" i="25"/>
  <c r="AQ314" i="25"/>
  <c r="AQ312" i="25"/>
  <c r="BB308" i="25"/>
  <c r="Z299" i="25"/>
  <c r="BF314" i="25"/>
  <c r="AD313" i="25"/>
  <c r="AL311" i="25"/>
  <c r="AR309" i="25"/>
  <c r="AT306" i="25"/>
  <c r="AU311" i="25"/>
  <c r="BI319" i="25"/>
  <c r="AW314" i="25"/>
  <c r="BE312" i="25"/>
  <c r="BB304" i="25"/>
  <c r="BH319" i="25"/>
  <c r="AV314" i="25"/>
  <c r="AP297" i="25"/>
  <c r="AY313" i="25"/>
  <c r="BG311" i="25"/>
  <c r="AP295" i="25"/>
  <c r="AP317" i="25"/>
  <c r="AP313" i="25"/>
  <c r="AP311" i="25"/>
  <c r="AN309" i="25"/>
  <c r="AD304" i="25"/>
  <c r="AW315" i="25"/>
  <c r="BI310" i="25"/>
  <c r="AJ319" i="25"/>
  <c r="AN313" i="25"/>
  <c r="BB294" i="25"/>
  <c r="AO301" i="25"/>
  <c r="AK292" i="25"/>
  <c r="AN301" i="25"/>
  <c r="AB292" i="25"/>
  <c r="BC293" i="25"/>
  <c r="BF296" i="25"/>
  <c r="BE296" i="25"/>
  <c r="AJ297" i="25"/>
  <c r="AU296" i="25"/>
  <c r="AJ309" i="25"/>
  <c r="AY312" i="25"/>
  <c r="AI312" i="25"/>
  <c r="AJ308" i="25"/>
  <c r="BJ319" i="25"/>
  <c r="AX314" i="25"/>
  <c r="BF312" i="25"/>
  <c r="AY306" i="25"/>
  <c r="BA319" i="25"/>
  <c r="BI317" i="25"/>
  <c r="AO314" i="25"/>
  <c r="AW312" i="25"/>
  <c r="BE310" i="25"/>
  <c r="BI308" i="25"/>
  <c r="BJ302" i="25"/>
  <c r="AZ313" i="25"/>
  <c r="BH309" i="25"/>
  <c r="BG307" i="25"/>
  <c r="Z291" i="25"/>
  <c r="BC318" i="25"/>
  <c r="AQ313" i="25"/>
  <c r="AY311" i="25"/>
  <c r="BG309" i="25"/>
  <c r="BF307" i="25"/>
  <c r="AX293" i="25"/>
  <c r="BH311" i="25"/>
  <c r="AH313" i="25"/>
  <c r="AE309" i="25"/>
  <c r="BB298" i="25"/>
  <c r="BA314" i="25"/>
  <c r="BA310" i="25"/>
  <c r="AF313" i="25"/>
  <c r="BJ292" i="25"/>
  <c r="BE291" i="25"/>
  <c r="BD291" i="25"/>
  <c r="AM291" i="25"/>
  <c r="AX294" i="25"/>
  <c r="AW294" i="25"/>
  <c r="AV294" i="25"/>
  <c r="BG293" i="25"/>
  <c r="AB32" i="27" l="1"/>
  <c r="AB34" i="27" s="1"/>
  <c r="AC10" i="1"/>
  <c r="AA34" i="27"/>
  <c r="AC33" i="27"/>
  <c r="AD33" i="27" l="1"/>
  <c r="AC32" i="27"/>
  <c r="AD10" i="1"/>
  <c r="AD32" i="27" l="1"/>
  <c r="AD34" i="27" s="1"/>
  <c r="AE10" i="1"/>
  <c r="AC34" i="27"/>
  <c r="AE33" i="27"/>
  <c r="AF33" i="27" l="1"/>
  <c r="AE32" i="27"/>
  <c r="AF10" i="1"/>
  <c r="X42" i="25"/>
  <c r="AF32" i="27" l="1"/>
  <c r="AF34" i="27" s="1"/>
  <c r="AG10" i="1"/>
  <c r="AE34" i="27"/>
  <c r="AG33" i="27"/>
  <c r="AH33" i="27" l="1"/>
  <c r="AG32" i="27"/>
  <c r="AH10" i="1"/>
  <c r="J64" i="30"/>
  <c r="K64" i="30"/>
  <c r="L64" i="30"/>
  <c r="M64" i="30"/>
  <c r="N18" i="30"/>
  <c r="N17" i="30"/>
  <c r="N15" i="30"/>
  <c r="K16" i="30"/>
  <c r="D41" i="30"/>
  <c r="E41" i="30"/>
  <c r="F41" i="30"/>
  <c r="G41" i="30"/>
  <c r="H41" i="30"/>
  <c r="E39" i="30"/>
  <c r="F39" i="30"/>
  <c r="G39" i="30"/>
  <c r="H39" i="30"/>
  <c r="D39" i="30"/>
  <c r="A42" i="30"/>
  <c r="A41" i="30"/>
  <c r="A40" i="30"/>
  <c r="A39" i="30"/>
  <c r="AI99" i="25"/>
  <c r="AH99" i="25"/>
  <c r="AG99" i="25"/>
  <c r="AF99" i="25"/>
  <c r="AE99" i="25"/>
  <c r="I42" i="30" s="1"/>
  <c r="AD99" i="25"/>
  <c r="H42" i="30" s="1"/>
  <c r="AC99" i="25"/>
  <c r="G42" i="30" s="1"/>
  <c r="AB99" i="25"/>
  <c r="F42" i="30" s="1"/>
  <c r="AA99" i="25"/>
  <c r="E42" i="30" s="1"/>
  <c r="Z99" i="25"/>
  <c r="D42" i="30" s="1"/>
  <c r="D16" i="30"/>
  <c r="E16" i="30"/>
  <c r="F16" i="30"/>
  <c r="E19" i="30"/>
  <c r="F19" i="30"/>
  <c r="E20" i="30"/>
  <c r="F20" i="30"/>
  <c r="G20" i="30"/>
  <c r="H20" i="30"/>
  <c r="E21" i="30"/>
  <c r="F21" i="30"/>
  <c r="E23" i="30"/>
  <c r="F23" i="30"/>
  <c r="G23" i="30"/>
  <c r="D25" i="30"/>
  <c r="E25" i="30"/>
  <c r="F25" i="30"/>
  <c r="G25" i="30"/>
  <c r="D37" i="30"/>
  <c r="E37" i="30"/>
  <c r="F37" i="30"/>
  <c r="H37" i="30"/>
  <c r="I37" i="30"/>
  <c r="D43" i="30"/>
  <c r="E43" i="30"/>
  <c r="F43" i="30"/>
  <c r="G43" i="30"/>
  <c r="H43" i="30"/>
  <c r="I43" i="30"/>
  <c r="D26" i="30"/>
  <c r="E26" i="30"/>
  <c r="F26" i="30"/>
  <c r="G26" i="30"/>
  <c r="D27" i="30"/>
  <c r="E27" i="30"/>
  <c r="F27" i="30"/>
  <c r="G27" i="30"/>
  <c r="H27" i="30"/>
  <c r="I27" i="30"/>
  <c r="Y89" i="25"/>
  <c r="A27" i="30"/>
  <c r="A15" i="30"/>
  <c r="A16" i="30"/>
  <c r="A18" i="30"/>
  <c r="A19" i="30"/>
  <c r="A20" i="30"/>
  <c r="A21" i="30"/>
  <c r="A22" i="30"/>
  <c r="A23" i="30"/>
  <c r="A17" i="30"/>
  <c r="A24" i="30"/>
  <c r="A38" i="30"/>
  <c r="A25" i="30"/>
  <c r="A37" i="30"/>
  <c r="A43" i="30"/>
  <c r="A26" i="30"/>
  <c r="A14" i="30"/>
  <c r="BQ276" i="25"/>
  <c r="BQ197" i="25"/>
  <c r="BQ108" i="25"/>
  <c r="BQ81" i="25"/>
  <c r="BQ80" i="25"/>
  <c r="BQ79" i="25"/>
  <c r="BQ78" i="25"/>
  <c r="BQ62" i="25"/>
  <c r="AB54" i="25"/>
  <c r="AB296" i="25" s="1"/>
  <c r="AC36" i="25"/>
  <c r="AH32" i="27" l="1"/>
  <c r="AH34" i="27" s="1"/>
  <c r="AI10" i="1"/>
  <c r="AG34" i="27"/>
  <c r="AI33" i="27"/>
  <c r="J42" i="30"/>
  <c r="J27" i="30"/>
  <c r="X99" i="25"/>
  <c r="J43" i="30"/>
  <c r="AJ33" i="27" l="1"/>
  <c r="AI32" i="27"/>
  <c r="AJ10" i="1"/>
  <c r="N27" i="30"/>
  <c r="Q27" i="30"/>
  <c r="X108" i="25"/>
  <c r="CE108" i="25"/>
  <c r="AJ32" i="27" l="1"/>
  <c r="AK10" i="1"/>
  <c r="AI34" i="27"/>
  <c r="AK33" i="27"/>
  <c r="AJ34" i="27"/>
  <c r="AD208" i="25"/>
  <c r="AL33" i="27" l="1"/>
  <c r="AK32" i="27"/>
  <c r="AL10" i="1"/>
  <c r="X197" i="25"/>
  <c r="CE197" i="25"/>
  <c r="AC79" i="25"/>
  <c r="X55" i="25"/>
  <c r="CE55" i="25"/>
  <c r="AD73" i="25"/>
  <c r="H23" i="30" s="1"/>
  <c r="X125" i="25"/>
  <c r="AB68" i="25"/>
  <c r="F18" i="30" s="1"/>
  <c r="AD78" i="25"/>
  <c r="X80" i="25"/>
  <c r="CE80" i="25"/>
  <c r="AA143" i="25"/>
  <c r="AD81" i="25"/>
  <c r="CE81" i="25"/>
  <c r="AI60" i="25"/>
  <c r="AH60" i="25"/>
  <c r="AG60" i="25"/>
  <c r="AF60" i="25"/>
  <c r="AE60" i="25"/>
  <c r="AD60" i="25"/>
  <c r="AC60" i="25"/>
  <c r="AB60" i="25"/>
  <c r="X62" i="25"/>
  <c r="AC39" i="25"/>
  <c r="AD276" i="25"/>
  <c r="AE276" i="25" s="1"/>
  <c r="Z189" i="25"/>
  <c r="CE276" i="25"/>
  <c r="W222" i="25"/>
  <c r="F297" i="25"/>
  <c r="G297" i="25" s="1"/>
  <c r="AL32" i="27" l="1"/>
  <c r="AM10" i="1"/>
  <c r="AK34" i="27"/>
  <c r="AM33" i="27"/>
  <c r="AL34" i="27"/>
  <c r="X79" i="25"/>
  <c r="G37" i="30"/>
  <c r="J37" i="30" s="1"/>
  <c r="AE78" i="25"/>
  <c r="I25" i="30" s="1"/>
  <c r="H25" i="30"/>
  <c r="AE81" i="25"/>
  <c r="H26" i="30"/>
  <c r="X60" i="25"/>
  <c r="X276" i="25"/>
  <c r="X78" i="25" l="1"/>
  <c r="AN33" i="27"/>
  <c r="AM32" i="27"/>
  <c r="AM34" i="27" s="1"/>
  <c r="AN10" i="1"/>
  <c r="J25" i="30"/>
  <c r="X81" i="25"/>
  <c r="I26" i="30"/>
  <c r="J26" i="30" s="1"/>
  <c r="AC56" i="25"/>
  <c r="AD56" i="25"/>
  <c r="AE56" i="25"/>
  <c r="AF56" i="25"/>
  <c r="AG56" i="25"/>
  <c r="Z56" i="25"/>
  <c r="A56" i="25"/>
  <c r="E56" i="25"/>
  <c r="AN32" i="27" l="1"/>
  <c r="AN34" i="27" s="1"/>
  <c r="AO10" i="1"/>
  <c r="AO33" i="27"/>
  <c r="N25" i="30"/>
  <c r="Q25" i="30"/>
  <c r="N26" i="30"/>
  <c r="Q26" i="30"/>
  <c r="C292" i="25"/>
  <c r="C293" i="25"/>
  <c r="C294" i="25"/>
  <c r="C295" i="25"/>
  <c r="C296" i="25"/>
  <c r="C297" i="25"/>
  <c r="C298" i="25"/>
  <c r="C299" i="25"/>
  <c r="C300" i="25"/>
  <c r="C301" i="25"/>
  <c r="C304" i="25" s="1"/>
  <c r="C302" i="25"/>
  <c r="C303" i="25"/>
  <c r="C305" i="25"/>
  <c r="C306" i="25"/>
  <c r="C307" i="25"/>
  <c r="C308" i="25"/>
  <c r="C309" i="25"/>
  <c r="C310" i="25"/>
  <c r="C311" i="25"/>
  <c r="C312" i="25"/>
  <c r="C313" i="25"/>
  <c r="C314" i="25"/>
  <c r="C315" i="25"/>
  <c r="C316" i="25"/>
  <c r="C317" i="25"/>
  <c r="C318" i="25"/>
  <c r="C319" i="25"/>
  <c r="C291" i="25"/>
  <c r="AZ20" i="31" l="1"/>
  <c r="AZ22" i="31"/>
  <c r="AT11" i="31"/>
  <c r="AT14" i="31"/>
  <c r="AY12" i="31"/>
  <c r="AT18" i="31"/>
  <c r="AT22" i="31"/>
  <c r="AT16" i="31"/>
  <c r="AT29" i="31"/>
  <c r="N30" i="31"/>
  <c r="AY19" i="31"/>
  <c r="AZ30" i="31"/>
  <c r="AY29" i="31"/>
  <c r="AT33" i="31"/>
  <c r="AY31" i="31"/>
  <c r="AY21" i="31"/>
  <c r="AY20" i="31"/>
  <c r="AT12" i="31"/>
  <c r="N12" i="31"/>
  <c r="AZ28" i="31"/>
  <c r="N17" i="31"/>
  <c r="AZ33" i="31"/>
  <c r="N9" i="31"/>
  <c r="AT35" i="31"/>
  <c r="AT25" i="31"/>
  <c r="N18" i="31"/>
  <c r="N8" i="31"/>
  <c r="AT23" i="31"/>
  <c r="AY23" i="31"/>
  <c r="AZ31" i="31"/>
  <c r="AT27" i="31"/>
  <c r="AZ34" i="31"/>
  <c r="AY28" i="31"/>
  <c r="AZ21" i="31"/>
  <c r="N24" i="31"/>
  <c r="AZ8" i="31"/>
  <c r="AT13" i="31"/>
  <c r="AY17" i="31"/>
  <c r="AY15" i="31"/>
  <c r="N31" i="31"/>
  <c r="AZ26" i="31"/>
  <c r="N29" i="31"/>
  <c r="AZ17" i="31"/>
  <c r="AY16" i="31"/>
  <c r="AY30" i="31"/>
  <c r="AT26" i="31"/>
  <c r="AT31" i="31"/>
  <c r="N28" i="31"/>
  <c r="AZ25" i="31"/>
  <c r="AT24" i="31"/>
  <c r="AZ18" i="31"/>
  <c r="AZ10" i="31"/>
  <c r="AY26" i="31"/>
  <c r="AT32" i="31"/>
  <c r="AZ15" i="31"/>
  <c r="N19" i="31"/>
  <c r="AZ19" i="31"/>
  <c r="AY11" i="31"/>
  <c r="AZ11" i="31"/>
  <c r="AY27" i="31"/>
  <c r="AZ24" i="31"/>
  <c r="N27" i="31"/>
  <c r="AT28" i="31"/>
  <c r="AZ35" i="31"/>
  <c r="AZ29" i="31"/>
  <c r="AY9" i="31"/>
  <c r="AT17" i="31"/>
  <c r="AZ12" i="31"/>
  <c r="AZ23" i="31"/>
  <c r="AT34" i="31"/>
  <c r="AY33" i="31"/>
  <c r="N16" i="31"/>
  <c r="AZ27" i="31"/>
  <c r="AY24" i="31"/>
  <c r="AY14" i="31"/>
  <c r="AT20" i="31"/>
  <c r="AZ14" i="31"/>
  <c r="AZ16" i="31"/>
  <c r="AY32" i="31"/>
  <c r="N21" i="31"/>
  <c r="N15" i="31"/>
  <c r="AT9" i="31"/>
  <c r="AY8" i="31"/>
  <c r="AT10" i="31"/>
  <c r="AY18" i="31"/>
  <c r="AZ9" i="31"/>
  <c r="AZ13" i="31"/>
  <c r="AY10" i="31"/>
  <c r="AY22" i="31"/>
  <c r="AT19" i="31"/>
  <c r="N14" i="31"/>
  <c r="AT8" i="31"/>
  <c r="AT30" i="31"/>
  <c r="AY35" i="31"/>
  <c r="AT21" i="31"/>
  <c r="AT15" i="31"/>
  <c r="AY13" i="31"/>
  <c r="AY25" i="31"/>
  <c r="AY34" i="31"/>
  <c r="AZ32" i="31"/>
  <c r="O16" i="31"/>
  <c r="AK11" i="31"/>
  <c r="Q16" i="31"/>
  <c r="AE26" i="31"/>
  <c r="AX20" i="31"/>
  <c r="AI29" i="31"/>
  <c r="AM26" i="31"/>
  <c r="AR29" i="31"/>
  <c r="Z23" i="31"/>
  <c r="AQ23" i="31"/>
  <c r="AL35" i="31"/>
  <c r="Y13" i="31"/>
  <c r="AH28" i="31"/>
  <c r="U12" i="31"/>
  <c r="AW21" i="31"/>
  <c r="AM22" i="31"/>
  <c r="AE28" i="31"/>
  <c r="AK13" i="31"/>
  <c r="AN29" i="31"/>
  <c r="AU35" i="31"/>
  <c r="AO14" i="31"/>
  <c r="AD8" i="31"/>
  <c r="AO24" i="31"/>
  <c r="AC32" i="31"/>
  <c r="AP34" i="31"/>
  <c r="AK24" i="31"/>
  <c r="AO32" i="31"/>
  <c r="AM28" i="31"/>
  <c r="AV35" i="31"/>
  <c r="AD15" i="31"/>
  <c r="AV20" i="31"/>
  <c r="AH23" i="31"/>
  <c r="X9" i="31"/>
  <c r="AJ25" i="31"/>
  <c r="AP30" i="31"/>
  <c r="AP31" i="31"/>
  <c r="AN31" i="31"/>
  <c r="AD21" i="31"/>
  <c r="AK32" i="31"/>
  <c r="AG22" i="31"/>
  <c r="AM16" i="31"/>
  <c r="AW29" i="31"/>
  <c r="AL28" i="31"/>
  <c r="AQ25" i="31"/>
  <c r="AD27" i="31"/>
  <c r="AJ26" i="31"/>
  <c r="AM10" i="31"/>
  <c r="AN15" i="31"/>
  <c r="Z24" i="31"/>
  <c r="AG20" i="31"/>
  <c r="AH14" i="31"/>
  <c r="X20" i="31"/>
  <c r="AW22" i="31"/>
  <c r="AI21" i="31"/>
  <c r="AC16" i="31"/>
  <c r="AL10" i="31"/>
  <c r="AI13" i="31"/>
  <c r="AO13" i="31"/>
  <c r="AR35" i="31"/>
  <c r="AW33" i="31"/>
  <c r="AP25" i="31"/>
  <c r="AV21" i="31"/>
  <c r="AA27" i="31"/>
  <c r="Y32" i="31"/>
  <c r="S28" i="31"/>
  <c r="AV23" i="31"/>
  <c r="AD28" i="31"/>
  <c r="AW10" i="31"/>
  <c r="AV25" i="31"/>
  <c r="AV14" i="31"/>
  <c r="AF20" i="31"/>
  <c r="AJ28" i="31"/>
  <c r="AO26" i="31"/>
  <c r="AU27" i="31"/>
  <c r="AO17" i="31"/>
  <c r="AJ17" i="31"/>
  <c r="V17" i="31"/>
  <c r="AB28" i="31"/>
  <c r="AM32" i="31"/>
  <c r="U16" i="31"/>
  <c r="AM18" i="31"/>
  <c r="AK27" i="31"/>
  <c r="AS27" i="31"/>
  <c r="AG26" i="31"/>
  <c r="AN22" i="31"/>
  <c r="AE14" i="31"/>
  <c r="AB29" i="31"/>
  <c r="AS28" i="31"/>
  <c r="AQ32" i="31"/>
  <c r="AW23" i="31"/>
  <c r="AK34" i="31"/>
  <c r="AX14" i="31"/>
  <c r="AS25" i="31"/>
  <c r="AQ18" i="31"/>
  <c r="AK10" i="31"/>
  <c r="AD35" i="31"/>
  <c r="AE20" i="31"/>
  <c r="AB14" i="31"/>
  <c r="AO11" i="31"/>
  <c r="AU34" i="31"/>
  <c r="Q24" i="31"/>
  <c r="AM23" i="31"/>
  <c r="AE23" i="31"/>
  <c r="AI26" i="31"/>
  <c r="AP24" i="31"/>
  <c r="AO10" i="31"/>
  <c r="AU14" i="31"/>
  <c r="AO9" i="31"/>
  <c r="AS11" i="31"/>
  <c r="AQ24" i="31"/>
  <c r="AM24" i="31"/>
  <c r="AG21" i="31"/>
  <c r="AV26" i="31"/>
  <c r="AC21" i="31"/>
  <c r="AD20" i="31"/>
  <c r="O12" i="31"/>
  <c r="Z29" i="31"/>
  <c r="AR28" i="31"/>
  <c r="AM30" i="31"/>
  <c r="AH29" i="31"/>
  <c r="O28" i="31"/>
  <c r="AM29" i="31"/>
  <c r="AW15" i="31"/>
  <c r="AU9" i="31"/>
  <c r="AO20" i="31"/>
  <c r="AV19" i="31"/>
  <c r="AC9" i="31"/>
  <c r="AQ13" i="31"/>
  <c r="AN13" i="31"/>
  <c r="Y34" i="31"/>
  <c r="AX30" i="31"/>
  <c r="AO34" i="31"/>
  <c r="AD26" i="31"/>
  <c r="AJ10" i="31"/>
  <c r="AA15" i="31"/>
  <c r="AF27" i="31"/>
  <c r="X28" i="31"/>
  <c r="AQ16" i="31"/>
  <c r="AA22" i="31"/>
  <c r="AA20" i="31"/>
  <c r="AD16" i="31"/>
  <c r="V27" i="31"/>
  <c r="R28" i="31"/>
  <c r="AV10" i="31"/>
  <c r="AS12" i="31"/>
  <c r="AM8" i="31"/>
  <c r="AE16" i="31"/>
  <c r="O27" i="31"/>
  <c r="Z32" i="31"/>
  <c r="U27" i="31"/>
  <c r="AN17" i="31"/>
  <c r="AM17" i="31"/>
  <c r="Y8" i="31"/>
  <c r="AM34" i="31"/>
  <c r="AM25" i="31"/>
  <c r="AB22" i="31"/>
  <c r="AU26" i="31"/>
  <c r="AP21" i="31"/>
  <c r="AW27" i="31"/>
  <c r="O9" i="31"/>
  <c r="AS21" i="31"/>
  <c r="Y12" i="31"/>
  <c r="AX19" i="31"/>
  <c r="AQ33" i="31"/>
  <c r="AS15" i="31"/>
  <c r="AG28" i="31"/>
  <c r="AC22" i="31"/>
  <c r="AX34" i="31"/>
  <c r="V8" i="31"/>
  <c r="AU18" i="31"/>
  <c r="AG12" i="31"/>
  <c r="AR27" i="31"/>
  <c r="AI8" i="31"/>
  <c r="AX35" i="31"/>
  <c r="AF23" i="31"/>
  <c r="AL27" i="31"/>
  <c r="AR25" i="31"/>
  <c r="AR8" i="31"/>
  <c r="AE27" i="31"/>
  <c r="AK18" i="31"/>
  <c r="AU20" i="31"/>
  <c r="AJ34" i="31"/>
  <c r="AQ20" i="31"/>
  <c r="AQ21" i="31"/>
  <c r="AL20" i="31"/>
  <c r="AS32" i="31"/>
  <c r="AQ29" i="31"/>
  <c r="AU22" i="31"/>
  <c r="AA13" i="31"/>
  <c r="AQ12" i="31"/>
  <c r="AR32" i="31"/>
  <c r="AQ22" i="31"/>
  <c r="AW11" i="31"/>
  <c r="AS29" i="31"/>
  <c r="AW26" i="31"/>
  <c r="AL21" i="31"/>
  <c r="AX9" i="31"/>
  <c r="X13" i="31"/>
  <c r="AO22" i="31"/>
  <c r="AJ35" i="31"/>
  <c r="AM14" i="31"/>
  <c r="AJ9" i="31"/>
  <c r="AW18" i="31"/>
  <c r="AI27" i="31"/>
  <c r="AN34" i="31"/>
  <c r="AN16" i="31"/>
  <c r="X24" i="31"/>
  <c r="AV34" i="31"/>
  <c r="AC13" i="31"/>
  <c r="AN27" i="31"/>
  <c r="AC12" i="31"/>
  <c r="AK19" i="31"/>
  <c r="O8" i="31"/>
  <c r="AX24" i="31"/>
  <c r="AO23" i="31"/>
  <c r="AA24" i="31"/>
  <c r="AJ11" i="31"/>
  <c r="AQ30" i="31"/>
  <c r="AI23" i="31"/>
  <c r="AP20" i="31"/>
  <c r="AS23" i="31"/>
  <c r="AJ24" i="31"/>
  <c r="AU30" i="31"/>
  <c r="AR23" i="31"/>
  <c r="AX29" i="31"/>
  <c r="O17" i="31"/>
  <c r="AK35" i="31"/>
  <c r="AG29" i="31"/>
  <c r="AP33" i="31"/>
  <c r="AO33" i="31"/>
  <c r="AG8" i="31"/>
  <c r="P24" i="31"/>
  <c r="S24" i="31"/>
  <c r="AL34" i="31"/>
  <c r="AD22" i="31"/>
  <c r="AK26" i="31"/>
  <c r="AE15" i="31"/>
  <c r="AW34" i="31"/>
  <c r="P8" i="31"/>
  <c r="AA8" i="31"/>
  <c r="AM19" i="31"/>
  <c r="X34" i="31"/>
  <c r="X21" i="31"/>
  <c r="AC15" i="31"/>
  <c r="AM20" i="31"/>
  <c r="AC28" i="31"/>
  <c r="Y16" i="31"/>
  <c r="Y28" i="31"/>
  <c r="AX25" i="31"/>
  <c r="W28" i="31"/>
  <c r="P28" i="31"/>
  <c r="V28" i="31"/>
  <c r="S8" i="31"/>
  <c r="AR18" i="31"/>
  <c r="AH15" i="31"/>
  <c r="AK20" i="31"/>
  <c r="AG14" i="31"/>
  <c r="AR10" i="31"/>
  <c r="AU23" i="31"/>
  <c r="AR21" i="31"/>
  <c r="AK16" i="31"/>
  <c r="AW32" i="31"/>
  <c r="AW35" i="31"/>
  <c r="AP12" i="31"/>
  <c r="AS19" i="31"/>
  <c r="Z15" i="31"/>
  <c r="AI20" i="31"/>
  <c r="AG27" i="31"/>
  <c r="AN23" i="31"/>
  <c r="AG32" i="31"/>
  <c r="AV24" i="31"/>
  <c r="AL18" i="31"/>
  <c r="AJ18" i="31"/>
  <c r="AU8" i="31"/>
  <c r="AH27" i="31"/>
  <c r="U28" i="31"/>
  <c r="AL30" i="31"/>
  <c r="AV22" i="31"/>
  <c r="AR26" i="31"/>
  <c r="AL23" i="31"/>
  <c r="AB24" i="31"/>
  <c r="Z26" i="31"/>
  <c r="AJ13" i="31"/>
  <c r="AG15" i="31"/>
  <c r="O21" i="31"/>
  <c r="AQ14" i="31"/>
  <c r="AL22" i="31"/>
  <c r="AL8" i="31"/>
  <c r="AJ27" i="31"/>
  <c r="AD29" i="31"/>
  <c r="AO25" i="31"/>
  <c r="X8" i="31"/>
  <c r="AO15" i="31"/>
  <c r="AC35" i="31"/>
  <c r="AB34" i="31"/>
  <c r="AH13" i="31"/>
  <c r="AN24" i="31"/>
  <c r="AQ27" i="31"/>
  <c r="AH8" i="31"/>
  <c r="S17" i="31"/>
  <c r="AL17" i="31"/>
  <c r="AW14" i="31"/>
  <c r="AN8" i="31"/>
  <c r="AA28" i="31"/>
  <c r="Y20" i="31"/>
  <c r="AI15" i="31"/>
  <c r="AS26" i="31"/>
  <c r="AW25" i="31"/>
  <c r="Z20" i="31"/>
  <c r="AL16" i="31"/>
  <c r="AF9" i="31"/>
  <c r="AJ32" i="31"/>
  <c r="Y21" i="31"/>
  <c r="AB13" i="31"/>
  <c r="AQ10" i="31"/>
  <c r="X27" i="31"/>
  <c r="AD12" i="31"/>
  <c r="S16" i="31"/>
  <c r="AN10" i="31"/>
  <c r="AP13" i="31"/>
  <c r="AR30" i="31"/>
  <c r="AR11" i="31"/>
  <c r="AR24" i="31"/>
  <c r="T16" i="31"/>
  <c r="AD23" i="31"/>
  <c r="AR33" i="31"/>
  <c r="AC29" i="31"/>
  <c r="Z8" i="31"/>
  <c r="AE12" i="31"/>
  <c r="AS20" i="31"/>
  <c r="X15" i="31"/>
  <c r="AN14" i="31"/>
  <c r="AL26" i="31"/>
  <c r="AF26" i="31"/>
  <c r="AK25" i="31"/>
  <c r="AU13" i="31"/>
  <c r="AM27" i="31"/>
  <c r="AV15" i="31"/>
  <c r="Q8" i="31"/>
  <c r="T12" i="31"/>
  <c r="AB20" i="31"/>
  <c r="Z16" i="31"/>
  <c r="AN30" i="31"/>
  <c r="AP27" i="31"/>
  <c r="Y29" i="31"/>
  <c r="Y9" i="31"/>
  <c r="AK15" i="31"/>
  <c r="AI35" i="31"/>
  <c r="X29" i="31"/>
  <c r="AX11" i="31"/>
  <c r="P27" i="31"/>
  <c r="V16" i="31"/>
  <c r="AX26" i="31"/>
  <c r="AL25" i="31"/>
  <c r="AB23" i="31"/>
  <c r="AU10" i="31"/>
  <c r="AI28" i="31"/>
  <c r="Y27" i="31"/>
  <c r="AV9" i="31"/>
  <c r="AP19" i="31"/>
  <c r="R12" i="31"/>
  <c r="AL32" i="31"/>
  <c r="AS16" i="31"/>
  <c r="AC24" i="31"/>
  <c r="AD32" i="31"/>
  <c r="AI16" i="31"/>
  <c r="AM15" i="31"/>
  <c r="AQ8" i="31"/>
  <c r="AE13" i="31"/>
  <c r="AD13" i="31"/>
  <c r="AP23" i="31"/>
  <c r="AS13" i="31"/>
  <c r="AM11" i="31"/>
  <c r="AU19" i="31"/>
  <c r="AO16" i="31"/>
  <c r="AN18" i="31"/>
  <c r="AL11" i="31"/>
  <c r="AA16" i="31"/>
  <c r="AB21" i="31"/>
  <c r="AL19" i="31"/>
  <c r="S12" i="31"/>
  <c r="AV11" i="31"/>
  <c r="AX15" i="31"/>
  <c r="AS33" i="31"/>
  <c r="AQ31" i="31"/>
  <c r="AH35" i="31"/>
  <c r="AU25" i="31"/>
  <c r="P9" i="31"/>
  <c r="AQ15" i="31"/>
  <c r="P21" i="31"/>
  <c r="AA12" i="31"/>
  <c r="AF22" i="31"/>
  <c r="AJ30" i="31"/>
  <c r="Q28" i="31"/>
  <c r="Z27" i="31"/>
  <c r="AK21" i="31"/>
  <c r="AR31" i="31"/>
  <c r="AH21" i="31"/>
  <c r="AS35" i="31"/>
  <c r="AF15" i="31"/>
  <c r="Y22" i="31"/>
  <c r="Q12" i="31"/>
  <c r="W16" i="31"/>
  <c r="O24" i="31"/>
  <c r="AP29" i="31"/>
  <c r="Y26" i="31"/>
  <c r="AF24" i="31"/>
  <c r="AS30" i="31"/>
  <c r="AG35" i="31"/>
  <c r="AN9" i="31"/>
  <c r="AJ19" i="31"/>
  <c r="AQ19" i="31"/>
  <c r="AK23" i="31"/>
  <c r="AN32" i="31"/>
  <c r="X32" i="31"/>
  <c r="AU33" i="31"/>
  <c r="AN28" i="31"/>
  <c r="AR13" i="31"/>
  <c r="AH24" i="31"/>
  <c r="AW19" i="31"/>
  <c r="AB35" i="31"/>
  <c r="AC26" i="31"/>
  <c r="AG23" i="31"/>
  <c r="AP28" i="31"/>
  <c r="AV32" i="31"/>
  <c r="AV8" i="31"/>
  <c r="X14" i="31"/>
  <c r="AB8" i="31"/>
  <c r="AJ15" i="31"/>
  <c r="AN25" i="31"/>
  <c r="AU11" i="31"/>
  <c r="AF16" i="31"/>
  <c r="AR22" i="31"/>
  <c r="AG34" i="31"/>
  <c r="AA26" i="31"/>
  <c r="AP16" i="31"/>
  <c r="AO12" i="31"/>
  <c r="X23" i="31"/>
  <c r="AE22" i="31"/>
  <c r="AP10" i="31"/>
  <c r="R16" i="31"/>
  <c r="AA23" i="31"/>
  <c r="AF35" i="31"/>
  <c r="AG24" i="31"/>
  <c r="AX22" i="31"/>
  <c r="AW8" i="31"/>
  <c r="AJ29" i="31"/>
  <c r="AC20" i="31"/>
  <c r="AL24" i="31"/>
  <c r="AR12" i="31"/>
  <c r="AC23" i="31"/>
  <c r="AQ26" i="31"/>
  <c r="AL15" i="31"/>
  <c r="AR16" i="31"/>
  <c r="Z13" i="31"/>
  <c r="AP17" i="31"/>
  <c r="Q17" i="31"/>
  <c r="AP15" i="31"/>
  <c r="AN26" i="31"/>
  <c r="AM21" i="31"/>
  <c r="AK28" i="31"/>
  <c r="Z28" i="31"/>
  <c r="AO28" i="31"/>
  <c r="AU21" i="31"/>
  <c r="AR19" i="31"/>
  <c r="R8" i="31"/>
  <c r="AR14" i="31"/>
  <c r="AQ35" i="31"/>
  <c r="AE24" i="31"/>
  <c r="Z21" i="31"/>
  <c r="AH12" i="31"/>
  <c r="AL14" i="31"/>
  <c r="P17" i="31"/>
  <c r="AV18" i="31"/>
  <c r="P16" i="31"/>
  <c r="AE35" i="31"/>
  <c r="AI22" i="31"/>
  <c r="AW20" i="31"/>
  <c r="AX21" i="31"/>
  <c r="T27" i="31"/>
  <c r="T8" i="31"/>
  <c r="AX8" i="31"/>
  <c r="AO21" i="31"/>
  <c r="AK17" i="31"/>
  <c r="R17" i="31"/>
  <c r="AE21" i="31"/>
  <c r="AK14" i="31"/>
  <c r="AB12" i="31"/>
  <c r="AP11" i="31"/>
  <c r="P12" i="31"/>
  <c r="AX13" i="31"/>
  <c r="AU32" i="31"/>
  <c r="AX23" i="31"/>
  <c r="X12" i="31"/>
  <c r="AO29" i="31"/>
  <c r="AM13" i="31"/>
  <c r="Q27" i="31"/>
  <c r="AP18" i="31"/>
  <c r="W27" i="31"/>
  <c r="R24" i="31"/>
  <c r="V12" i="31"/>
  <c r="AR34" i="31"/>
  <c r="AV30" i="31"/>
  <c r="AR15" i="31"/>
  <c r="AG9" i="31"/>
  <c r="X26" i="31"/>
  <c r="AH22" i="31"/>
  <c r="AA29" i="31"/>
  <c r="AV33" i="31"/>
  <c r="AP22" i="31"/>
  <c r="AA14" i="31"/>
  <c r="AX27" i="31"/>
  <c r="W17" i="31"/>
  <c r="AA21" i="31"/>
  <c r="AF21" i="31"/>
  <c r="AN21" i="31"/>
  <c r="AF28" i="31"/>
  <c r="AU15" i="31"/>
  <c r="Y23" i="31"/>
  <c r="AR17" i="31"/>
  <c r="AO8" i="31"/>
  <c r="AJ16" i="31"/>
  <c r="AC8" i="31"/>
  <c r="AV27" i="31"/>
  <c r="AR20" i="31"/>
  <c r="AQ34" i="31"/>
  <c r="AK30" i="31"/>
  <c r="AS24" i="31"/>
  <c r="AO30" i="31"/>
  <c r="AM9" i="31"/>
  <c r="AO27" i="31"/>
  <c r="AS22" i="31"/>
  <c r="Z14" i="31"/>
  <c r="AS8" i="31"/>
  <c r="AB15" i="31"/>
  <c r="AW24" i="31"/>
  <c r="AU24" i="31"/>
  <c r="W12" i="31"/>
  <c r="AP8" i="31"/>
  <c r="AW30" i="31"/>
  <c r="U8" i="31"/>
  <c r="AO18" i="31"/>
  <c r="Z9" i="31"/>
  <c r="AP26" i="31"/>
  <c r="Y14" i="31"/>
  <c r="AB26" i="31"/>
  <c r="AQ28" i="31"/>
  <c r="AX10" i="31"/>
  <c r="AN19" i="31"/>
  <c r="AG16" i="31"/>
  <c r="AJ20" i="31"/>
  <c r="AP32" i="31"/>
  <c r="AJ21" i="31"/>
  <c r="AO31" i="31"/>
  <c r="AH26" i="31"/>
  <c r="Z22" i="31"/>
  <c r="AB16" i="31"/>
  <c r="AF29" i="31"/>
  <c r="AS34" i="31"/>
  <c r="T28" i="31"/>
  <c r="AO19" i="31"/>
  <c r="AC14" i="31"/>
  <c r="AX18" i="31"/>
  <c r="AF12" i="31"/>
  <c r="X16" i="31"/>
  <c r="AJ23" i="31"/>
  <c r="AQ17" i="31"/>
  <c r="AP14" i="31"/>
  <c r="AN20" i="31"/>
  <c r="AQ11" i="31"/>
  <c r="AX33" i="31"/>
  <c r="AS31" i="31"/>
  <c r="AS10" i="31"/>
  <c r="AF14" i="31"/>
  <c r="AL29" i="31"/>
  <c r="AK22" i="31"/>
  <c r="AK29" i="31"/>
  <c r="AS14" i="31"/>
  <c r="AD24" i="31"/>
  <c r="Y24" i="31"/>
  <c r="S27" i="31"/>
  <c r="AD14" i="31"/>
  <c r="AH16" i="31"/>
  <c r="AN11" i="31"/>
  <c r="Y15" i="31"/>
  <c r="AV13" i="31"/>
  <c r="AS18" i="31"/>
  <c r="X22" i="31"/>
  <c r="AX32" i="31"/>
  <c r="AI24" i="31"/>
  <c r="AW9" i="31"/>
  <c r="AW13" i="31"/>
  <c r="Z17" i="31"/>
  <c r="R27" i="31"/>
  <c r="AJ22" i="31"/>
  <c r="Z12" i="31"/>
  <c r="AL13" i="31"/>
  <c r="W8" i="31"/>
  <c r="AE29" i="31"/>
  <c r="AH20" i="31"/>
  <c r="AS17" i="31"/>
  <c r="P13" i="31"/>
  <c r="AP10" i="1"/>
  <c r="AO32" i="27"/>
  <c r="AQ10" i="1" s="1"/>
  <c r="L19" i="31" l="1"/>
  <c r="K16" i="31"/>
  <c r="L22" i="31"/>
  <c r="L30" i="31"/>
  <c r="L15" i="31"/>
  <c r="L23" i="31"/>
  <c r="L26" i="31"/>
  <c r="K15" i="31"/>
  <c r="J24" i="31"/>
  <c r="L32" i="31"/>
  <c r="K13" i="31"/>
  <c r="K29" i="31"/>
  <c r="AT36" i="31"/>
  <c r="K21" i="31"/>
  <c r="L20" i="31"/>
  <c r="J29" i="31"/>
  <c r="K28" i="31"/>
  <c r="AY36" i="31"/>
  <c r="AY37" i="31" s="1"/>
  <c r="J23" i="31"/>
  <c r="L18" i="31"/>
  <c r="L21" i="31"/>
  <c r="L27" i="31"/>
  <c r="J20" i="31"/>
  <c r="AZ36" i="31"/>
  <c r="AZ37" i="31" s="1"/>
  <c r="K20" i="31"/>
  <c r="L34" i="31"/>
  <c r="L33" i="31"/>
  <c r="J16" i="31"/>
  <c r="K26" i="31"/>
  <c r="K22" i="31"/>
  <c r="L14" i="31"/>
  <c r="J14" i="31"/>
  <c r="K24" i="31"/>
  <c r="J15" i="31"/>
  <c r="L24" i="31"/>
  <c r="K27" i="31"/>
  <c r="J21" i="31"/>
  <c r="L35" i="31"/>
  <c r="K23" i="31"/>
  <c r="I27" i="31"/>
  <c r="J12" i="31"/>
  <c r="J22" i="31"/>
  <c r="J26" i="31"/>
  <c r="L13" i="31"/>
  <c r="L11" i="31"/>
  <c r="L10" i="31"/>
  <c r="L8" i="31"/>
  <c r="H16" i="31"/>
  <c r="I16" i="31"/>
  <c r="H28" i="31"/>
  <c r="I28" i="31"/>
  <c r="I8" i="31"/>
  <c r="L25" i="31"/>
  <c r="J28" i="31"/>
  <c r="I12" i="31"/>
  <c r="AO34" i="27"/>
  <c r="CE15" i="25"/>
  <c r="CE16" i="25"/>
  <c r="CE17" i="25"/>
  <c r="CE18" i="25"/>
  <c r="CE19" i="25"/>
  <c r="CE20" i="25"/>
  <c r="CE21" i="25"/>
  <c r="CE22" i="25"/>
  <c r="CE23" i="25"/>
  <c r="CE24" i="25"/>
  <c r="CE25" i="25"/>
  <c r="CE26" i="25"/>
  <c r="CE27" i="25"/>
  <c r="CE28" i="25"/>
  <c r="CE29" i="25"/>
  <c r="CE30" i="25"/>
  <c r="CE32" i="25"/>
  <c r="CE33" i="25"/>
  <c r="CE34" i="25"/>
  <c r="CE35" i="25"/>
  <c r="CE36" i="25"/>
  <c r="CE37" i="25"/>
  <c r="CE38" i="25"/>
  <c r="CE39" i="25"/>
  <c r="CE40" i="25"/>
  <c r="CE41" i="25"/>
  <c r="CE43" i="25"/>
  <c r="CE44" i="25"/>
  <c r="CE45" i="25"/>
  <c r="CE46" i="25"/>
  <c r="CE47" i="25"/>
  <c r="CE48" i="25"/>
  <c r="CE49" i="25"/>
  <c r="CE50" i="25"/>
  <c r="CE51" i="25"/>
  <c r="CE52" i="25"/>
  <c r="CE53" i="25"/>
  <c r="CE54" i="25"/>
  <c r="CE57" i="25"/>
  <c r="CE58" i="25"/>
  <c r="CE59" i="25"/>
  <c r="CE61" i="25"/>
  <c r="CE63" i="25"/>
  <c r="CE64" i="25"/>
  <c r="CE65" i="25"/>
  <c r="CE66" i="25"/>
  <c r="CE67" i="25"/>
  <c r="CE68" i="25"/>
  <c r="CE69" i="25"/>
  <c r="CE70" i="25"/>
  <c r="CE71" i="25"/>
  <c r="CE72" i="25"/>
  <c r="CE73" i="25"/>
  <c r="CE74" i="25"/>
  <c r="CE75" i="25"/>
  <c r="CE76" i="25"/>
  <c r="CE77" i="25"/>
  <c r="CE82" i="25"/>
  <c r="CE84" i="25"/>
  <c r="CE85" i="25"/>
  <c r="CE87" i="25"/>
  <c r="CE88" i="25"/>
  <c r="CE89" i="25"/>
  <c r="CE90" i="25"/>
  <c r="CE91" i="25"/>
  <c r="CE92" i="25"/>
  <c r="CE93" i="25"/>
  <c r="CE94" i="25"/>
  <c r="CE95" i="25"/>
  <c r="CE96" i="25"/>
  <c r="CE97" i="25"/>
  <c r="CE98" i="25"/>
  <c r="CE99" i="25"/>
  <c r="CE100" i="25"/>
  <c r="CE101" i="25"/>
  <c r="CE102" i="25"/>
  <c r="CE103" i="25"/>
  <c r="CE104" i="25"/>
  <c r="CE105" i="25"/>
  <c r="CE106" i="25"/>
  <c r="CE107" i="25"/>
  <c r="CE109" i="25"/>
  <c r="CE110" i="25"/>
  <c r="CE111" i="25"/>
  <c r="CE112" i="25"/>
  <c r="CE113" i="25"/>
  <c r="CE114" i="25"/>
  <c r="CE115" i="25"/>
  <c r="CE116" i="25"/>
  <c r="CE117" i="25"/>
  <c r="CE118" i="25"/>
  <c r="CE119" i="25"/>
  <c r="CE120" i="25"/>
  <c r="CE121" i="25"/>
  <c r="CE122" i="25"/>
  <c r="CE123" i="25"/>
  <c r="CE124" i="25"/>
  <c r="CE126" i="25"/>
  <c r="CE127" i="25"/>
  <c r="CE128" i="25"/>
  <c r="CE129" i="25"/>
  <c r="CE130" i="25"/>
  <c r="CE131" i="25"/>
  <c r="CE132" i="25"/>
  <c r="CE133" i="25"/>
  <c r="CE134" i="25"/>
  <c r="CE135" i="25"/>
  <c r="CE136" i="25"/>
  <c r="CE137" i="25"/>
  <c r="CE138" i="25"/>
  <c r="CE139" i="25"/>
  <c r="CE140" i="25"/>
  <c r="CE141" i="25"/>
  <c r="CE142" i="25"/>
  <c r="CE143" i="25"/>
  <c r="CE144" i="25"/>
  <c r="CE145" i="25"/>
  <c r="CE146" i="25"/>
  <c r="CE147" i="25"/>
  <c r="CE148" i="25"/>
  <c r="CE149" i="25"/>
  <c r="CE150" i="25"/>
  <c r="CE151" i="25"/>
  <c r="CE152" i="25"/>
  <c r="CE153" i="25"/>
  <c r="CE154" i="25"/>
  <c r="CE155" i="25"/>
  <c r="CE156" i="25"/>
  <c r="CE157" i="25"/>
  <c r="CE158" i="25"/>
  <c r="CE159" i="25"/>
  <c r="CE160" i="25"/>
  <c r="CE161" i="25"/>
  <c r="CE162" i="25"/>
  <c r="CE163" i="25"/>
  <c r="CE164" i="25"/>
  <c r="CE165" i="25"/>
  <c r="CE166" i="25"/>
  <c r="CE167" i="25"/>
  <c r="CE168" i="25"/>
  <c r="CE169" i="25"/>
  <c r="CE170" i="25"/>
  <c r="CE171" i="25"/>
  <c r="CE172" i="25"/>
  <c r="CE173" i="25"/>
  <c r="CE174" i="25"/>
  <c r="CE175" i="25"/>
  <c r="CE176" i="25"/>
  <c r="CE177" i="25"/>
  <c r="CE178" i="25"/>
  <c r="CE179" i="25"/>
  <c r="CE180" i="25"/>
  <c r="CE181" i="25"/>
  <c r="CE182" i="25"/>
  <c r="CE183" i="25"/>
  <c r="CE184" i="25"/>
  <c r="CE185" i="25"/>
  <c r="CE186" i="25"/>
  <c r="CE187" i="25"/>
  <c r="CE188" i="25"/>
  <c r="CE189" i="25"/>
  <c r="CE190" i="25"/>
  <c r="CE191" i="25"/>
  <c r="CE192" i="25"/>
  <c r="CE193" i="25"/>
  <c r="CE194" i="25"/>
  <c r="CE195" i="25"/>
  <c r="CE196" i="25"/>
  <c r="CE200" i="25"/>
  <c r="CE201" i="25"/>
  <c r="CE202" i="25"/>
  <c r="CE203" i="25"/>
  <c r="CE204" i="25"/>
  <c r="CE205" i="25"/>
  <c r="CE206" i="25"/>
  <c r="CE207" i="25"/>
  <c r="CE208" i="25"/>
  <c r="CE209" i="25"/>
  <c r="CE210" i="25"/>
  <c r="CE211" i="25"/>
  <c r="CE212" i="25"/>
  <c r="CE213" i="25"/>
  <c r="CE214" i="25"/>
  <c r="CE215" i="25"/>
  <c r="CE216" i="25"/>
  <c r="CE217" i="25"/>
  <c r="CE218" i="25"/>
  <c r="CE219" i="25"/>
  <c r="CE220" i="25"/>
  <c r="CE221" i="25"/>
  <c r="CE222" i="25"/>
  <c r="CE223" i="25"/>
  <c r="CE224" i="25"/>
  <c r="CE225" i="25"/>
  <c r="CE226" i="25"/>
  <c r="CE227" i="25"/>
  <c r="CE228" i="25"/>
  <c r="CE229" i="25"/>
  <c r="CE230" i="25"/>
  <c r="CE231" i="25"/>
  <c r="CE232" i="25"/>
  <c r="CE233" i="25"/>
  <c r="CE234" i="25"/>
  <c r="CE235" i="25"/>
  <c r="CE236" i="25"/>
  <c r="CE237" i="25"/>
  <c r="CE238" i="25"/>
  <c r="CE239" i="25"/>
  <c r="CE240" i="25"/>
  <c r="CE241" i="25"/>
  <c r="CE242" i="25"/>
  <c r="CE243" i="25"/>
  <c r="CE244" i="25"/>
  <c r="CE245" i="25"/>
  <c r="CE246" i="25"/>
  <c r="CE247" i="25"/>
  <c r="CE248" i="25"/>
  <c r="CE249" i="25"/>
  <c r="CE250" i="25"/>
  <c r="CE251" i="25"/>
  <c r="CE252" i="25"/>
  <c r="CE253" i="25"/>
  <c r="CE254" i="25"/>
  <c r="CE255" i="25"/>
  <c r="CE256" i="25"/>
  <c r="CE257" i="25"/>
  <c r="CE258" i="25"/>
  <c r="CE259" i="25"/>
  <c r="CE260" i="25"/>
  <c r="CE261" i="25"/>
  <c r="CE262" i="25"/>
  <c r="CE263" i="25"/>
  <c r="CE264" i="25"/>
  <c r="CE266" i="25"/>
  <c r="CE267" i="25"/>
  <c r="CE268" i="25"/>
  <c r="CE269" i="25"/>
  <c r="CE270" i="25"/>
  <c r="CE271" i="25"/>
  <c r="CE272" i="25"/>
  <c r="CE273" i="25"/>
  <c r="CE274" i="25"/>
  <c r="CE275" i="25"/>
  <c r="CE13" i="25"/>
  <c r="CE14" i="25"/>
  <c r="CE12" i="25"/>
  <c r="CA25" i="25"/>
  <c r="CB25" i="25"/>
  <c r="CB26" i="25"/>
  <c r="CA27" i="25"/>
  <c r="CB27" i="25"/>
  <c r="CA35" i="25"/>
  <c r="CB35" i="25"/>
  <c r="CB36" i="25"/>
  <c r="CB37" i="25"/>
  <c r="CB38" i="25"/>
  <c r="CB39" i="25"/>
  <c r="CB40" i="25"/>
  <c r="CA41" i="25"/>
  <c r="CB41" i="25"/>
  <c r="CA53" i="25"/>
  <c r="CB53" i="25"/>
  <c r="CB54" i="25"/>
  <c r="CB57" i="25"/>
  <c r="CB59" i="25"/>
  <c r="CB61" i="25"/>
  <c r="CB65" i="25"/>
  <c r="CB66" i="25"/>
  <c r="CB67" i="25"/>
  <c r="CB68" i="25"/>
  <c r="CB69" i="25"/>
  <c r="CB70" i="25"/>
  <c r="CB71" i="25"/>
  <c r="CB72" i="25"/>
  <c r="CB73" i="25"/>
  <c r="CB74" i="25"/>
  <c r="CB75" i="25"/>
  <c r="CB76" i="25"/>
  <c r="CB77" i="25"/>
  <c r="CA84" i="25"/>
  <c r="CB84" i="25"/>
  <c r="CA85" i="25"/>
  <c r="CB85" i="25"/>
  <c r="CB87" i="25"/>
  <c r="CA88" i="25"/>
  <c r="CB88" i="25"/>
  <c r="CA91" i="25"/>
  <c r="CB91" i="25"/>
  <c r="CA95" i="25"/>
  <c r="CB95" i="25"/>
  <c r="CB97" i="25"/>
  <c r="CA99" i="25"/>
  <c r="CB99" i="25"/>
  <c r="CA100" i="25"/>
  <c r="CB100" i="25"/>
  <c r="CA101" i="25"/>
  <c r="CB101" i="25"/>
  <c r="CA103" i="25"/>
  <c r="CB103" i="25"/>
  <c r="CA121" i="25"/>
  <c r="CB121" i="25"/>
  <c r="CA122" i="25"/>
  <c r="CB122" i="25"/>
  <c r="CB123" i="25"/>
  <c r="CB124" i="25"/>
  <c r="CB126" i="25"/>
  <c r="CB127" i="25"/>
  <c r="CB128" i="25"/>
  <c r="CA131" i="25"/>
  <c r="CB131" i="25"/>
  <c r="CA133" i="25"/>
  <c r="CB133" i="25"/>
  <c r="CA136" i="25"/>
  <c r="CB136" i="25"/>
  <c r="CA138" i="25"/>
  <c r="CB138" i="25"/>
  <c r="CA141" i="25"/>
  <c r="CB141" i="25"/>
  <c r="CA142" i="25"/>
  <c r="CB142" i="25"/>
  <c r="CB143" i="25"/>
  <c r="CB144" i="25"/>
  <c r="CB147" i="25"/>
  <c r="CB148" i="25"/>
  <c r="CB149" i="25"/>
  <c r="CB151" i="25"/>
  <c r="CB155" i="25"/>
  <c r="CB156" i="25"/>
  <c r="CB159" i="25"/>
  <c r="CB164" i="25"/>
  <c r="CB165" i="25"/>
  <c r="CB170" i="25"/>
  <c r="CA172" i="25"/>
  <c r="CB172" i="25"/>
  <c r="CA176" i="25"/>
  <c r="CB176" i="25"/>
  <c r="CA179" i="25"/>
  <c r="CB179" i="25"/>
  <c r="CA181" i="25"/>
  <c r="CB181" i="25"/>
  <c r="CA184" i="25"/>
  <c r="CB184" i="25"/>
  <c r="CA186" i="25"/>
  <c r="CB186" i="25"/>
  <c r="CA187" i="25"/>
  <c r="CB187" i="25"/>
  <c r="CA188" i="25"/>
  <c r="CB188" i="25"/>
  <c r="CB189" i="25"/>
  <c r="CA191" i="25"/>
  <c r="CB191" i="25"/>
  <c r="CA192" i="25"/>
  <c r="CB192" i="25"/>
  <c r="CA193" i="25"/>
  <c r="CB193" i="25"/>
  <c r="CB194" i="25"/>
  <c r="CB195" i="25"/>
  <c r="CB196" i="25"/>
  <c r="CB200" i="25"/>
  <c r="CB202" i="25"/>
  <c r="CA207" i="25"/>
  <c r="CB207" i="25"/>
  <c r="CB208" i="25"/>
  <c r="CA222" i="25"/>
  <c r="CB222" i="25"/>
  <c r="CA241" i="25"/>
  <c r="CB241" i="25"/>
  <c r="CA242" i="25"/>
  <c r="CB242" i="25"/>
  <c r="CB254" i="25"/>
  <c r="CB255" i="25"/>
  <c r="CB256" i="25"/>
  <c r="CB257" i="25"/>
  <c r="CB258" i="25"/>
  <c r="CB272" i="25"/>
  <c r="CB273" i="25"/>
  <c r="CB274" i="25"/>
  <c r="CB275" i="25"/>
  <c r="CB14" i="25"/>
  <c r="CB15" i="25"/>
  <c r="CA15" i="25"/>
  <c r="BF320" i="25" l="1"/>
  <c r="BF321" i="25" s="1"/>
  <c r="X291" i="25"/>
  <c r="X295" i="25"/>
  <c r="X304" i="25"/>
  <c r="X299" i="25"/>
  <c r="AT37" i="31" l="1"/>
  <c r="Q4" i="28"/>
  <c r="S4" i="28" s="1"/>
  <c r="R4" i="28"/>
  <c r="Q5" i="28"/>
  <c r="S5" i="28" s="1"/>
  <c r="R5" i="28"/>
  <c r="Q6" i="28"/>
  <c r="S6" i="28" s="1"/>
  <c r="R6" i="28"/>
  <c r="Q7" i="28"/>
  <c r="S7" i="28" s="1"/>
  <c r="R7" i="28"/>
  <c r="Q8" i="28"/>
  <c r="S8" i="28" s="1"/>
  <c r="R8" i="28"/>
  <c r="Q9" i="28"/>
  <c r="S9" i="28" s="1"/>
  <c r="R9" i="28"/>
  <c r="Q10" i="28"/>
  <c r="S10" i="28" s="1"/>
  <c r="R10" i="28"/>
  <c r="Q11" i="28"/>
  <c r="S11" i="28" s="1"/>
  <c r="R11" i="28"/>
  <c r="Q12" i="28"/>
  <c r="S12" i="28" s="1"/>
  <c r="R12" i="28"/>
  <c r="Q13" i="28"/>
  <c r="S13" i="28" s="1"/>
  <c r="R13" i="28"/>
  <c r="Q14" i="28"/>
  <c r="S14" i="28" s="1"/>
  <c r="R14" i="28"/>
  <c r="Q15" i="28"/>
  <c r="S15" i="28" s="1"/>
  <c r="R15" i="28"/>
  <c r="Q16" i="28"/>
  <c r="S16" i="28" s="1"/>
  <c r="R16" i="28"/>
  <c r="Q17" i="28"/>
  <c r="S17" i="28" s="1"/>
  <c r="R17" i="28"/>
  <c r="Q18" i="28"/>
  <c r="S18" i="28" s="1"/>
  <c r="R18" i="28"/>
  <c r="Q19" i="28"/>
  <c r="S19" i="28" s="1"/>
  <c r="R19" i="28"/>
  <c r="Q20" i="28"/>
  <c r="S20" i="28" s="1"/>
  <c r="R20" i="28"/>
  <c r="Q21" i="28"/>
  <c r="S21" i="28" s="1"/>
  <c r="R21" i="28"/>
  <c r="Q22" i="28"/>
  <c r="S22" i="28" s="1"/>
  <c r="R22" i="28"/>
  <c r="Q23" i="28"/>
  <c r="S23" i="28" s="1"/>
  <c r="R23" i="28"/>
  <c r="Q24" i="28"/>
  <c r="S24" i="28" s="1"/>
  <c r="R24" i="28"/>
  <c r="Q25" i="28"/>
  <c r="S25" i="28" s="1"/>
  <c r="R25" i="28"/>
  <c r="Q26" i="28"/>
  <c r="S26" i="28" s="1"/>
  <c r="R26" i="28"/>
  <c r="Q27" i="28"/>
  <c r="S27" i="28" s="1"/>
  <c r="R27" i="28"/>
  <c r="Q28" i="28"/>
  <c r="S28" i="28" s="1"/>
  <c r="R28" i="28"/>
  <c r="Q29" i="28"/>
  <c r="S29" i="28" s="1"/>
  <c r="R29" i="28"/>
  <c r="Q30" i="28"/>
  <c r="S30" i="28" s="1"/>
  <c r="R30" i="28"/>
  <c r="Q31" i="28"/>
  <c r="S31" i="28" s="1"/>
  <c r="R31" i="28"/>
  <c r="Q32" i="28"/>
  <c r="S32" i="28" s="1"/>
  <c r="R32" i="28"/>
  <c r="Q33" i="28"/>
  <c r="S33" i="28" s="1"/>
  <c r="R33" i="28"/>
  <c r="Q34" i="28"/>
  <c r="S34" i="28" s="1"/>
  <c r="R34" i="28"/>
  <c r="Q35" i="28"/>
  <c r="S35" i="28" s="1"/>
  <c r="R35" i="28"/>
  <c r="Q36" i="28"/>
  <c r="S36" i="28" s="1"/>
  <c r="R36" i="28"/>
  <c r="Q37" i="28"/>
  <c r="S37" i="28" s="1"/>
  <c r="R37" i="28"/>
  <c r="Q38" i="28"/>
  <c r="S38" i="28" s="1"/>
  <c r="R38" i="28"/>
  <c r="Q39" i="28"/>
  <c r="S39" i="28" s="1"/>
  <c r="R39" i="28"/>
  <c r="Q40" i="28"/>
  <c r="S40" i="28" s="1"/>
  <c r="R40" i="28"/>
  <c r="Q41" i="28"/>
  <c r="S41" i="28" s="1"/>
  <c r="R41" i="28"/>
  <c r="Q42" i="28"/>
  <c r="S42" i="28" s="1"/>
  <c r="R42" i="28"/>
  <c r="Q43" i="28"/>
  <c r="S43" i="28" s="1"/>
  <c r="R43" i="28"/>
  <c r="Q44" i="28"/>
  <c r="S44" i="28" s="1"/>
  <c r="R44" i="28"/>
  <c r="Q45" i="28"/>
  <c r="S45" i="28" s="1"/>
  <c r="R45" i="28"/>
  <c r="Q46" i="28"/>
  <c r="S46" i="28" s="1"/>
  <c r="R46" i="28"/>
  <c r="Q47" i="28"/>
  <c r="S47" i="28" s="1"/>
  <c r="R47" i="28"/>
  <c r="Q48" i="28"/>
  <c r="S48" i="28" s="1"/>
  <c r="R48" i="28"/>
  <c r="Q49" i="28"/>
  <c r="S49" i="28" s="1"/>
  <c r="R49" i="28"/>
  <c r="Q50" i="28"/>
  <c r="S50" i="28" s="1"/>
  <c r="R50" i="28"/>
  <c r="Q51" i="28"/>
  <c r="S51" i="28" s="1"/>
  <c r="R51" i="28"/>
  <c r="Q52" i="28"/>
  <c r="S52" i="28" s="1"/>
  <c r="R52" i="28"/>
  <c r="Q53" i="28"/>
  <c r="S53" i="28" s="1"/>
  <c r="R53" i="28"/>
  <c r="Q54" i="28"/>
  <c r="S54" i="28" s="1"/>
  <c r="R54" i="28"/>
  <c r="Q55" i="28"/>
  <c r="S55" i="28" s="1"/>
  <c r="R55" i="28"/>
  <c r="Q56" i="28"/>
  <c r="S56" i="28" s="1"/>
  <c r="R56" i="28"/>
  <c r="Q57" i="28"/>
  <c r="S57" i="28" s="1"/>
  <c r="R57" i="28"/>
  <c r="Q58" i="28"/>
  <c r="S58" i="28" s="1"/>
  <c r="R58" i="28"/>
  <c r="Q59" i="28"/>
  <c r="S59" i="28" s="1"/>
  <c r="R59" i="28"/>
  <c r="Q60" i="28"/>
  <c r="S60" i="28" s="1"/>
  <c r="R60" i="28"/>
  <c r="Q61" i="28"/>
  <c r="S61" i="28" s="1"/>
  <c r="R61" i="28"/>
  <c r="Q62" i="28"/>
  <c r="S62" i="28" s="1"/>
  <c r="R62" i="28"/>
  <c r="Q63" i="28"/>
  <c r="S63" i="28" s="1"/>
  <c r="R63" i="28"/>
  <c r="Q64" i="28"/>
  <c r="S64" i="28" s="1"/>
  <c r="R64" i="28"/>
  <c r="Q65" i="28"/>
  <c r="S65" i="28" s="1"/>
  <c r="R65" i="28"/>
  <c r="Q66" i="28"/>
  <c r="S66" i="28" s="1"/>
  <c r="R66" i="28"/>
  <c r="Q67" i="28"/>
  <c r="S67" i="28" s="1"/>
  <c r="R67" i="28"/>
  <c r="Q68" i="28"/>
  <c r="S68" i="28" s="1"/>
  <c r="R68" i="28"/>
  <c r="Q69" i="28"/>
  <c r="R69" i="28"/>
  <c r="S69" i="28"/>
  <c r="Q70" i="28"/>
  <c r="S70" i="28" s="1"/>
  <c r="R70" i="28"/>
  <c r="Q71" i="28"/>
  <c r="S71" i="28" s="1"/>
  <c r="R71" i="28"/>
  <c r="Q72" i="28"/>
  <c r="S72" i="28" s="1"/>
  <c r="R72" i="28"/>
  <c r="Q73" i="28"/>
  <c r="S73" i="28" s="1"/>
  <c r="R73" i="28"/>
  <c r="Q74" i="28"/>
  <c r="S74" i="28" s="1"/>
  <c r="R74" i="28"/>
  <c r="Q75" i="28"/>
  <c r="S75" i="28" s="1"/>
  <c r="R75" i="28"/>
  <c r="Q76" i="28"/>
  <c r="S76" i="28" s="1"/>
  <c r="R76" i="28"/>
  <c r="Q77" i="28"/>
  <c r="S77" i="28" s="1"/>
  <c r="R77" i="28"/>
  <c r="Q78" i="28"/>
  <c r="S78" i="28" s="1"/>
  <c r="R78" i="28"/>
  <c r="Q79" i="28"/>
  <c r="S79" i="28" s="1"/>
  <c r="R79" i="28"/>
  <c r="Q80" i="28"/>
  <c r="S80" i="28" s="1"/>
  <c r="R80" i="28"/>
  <c r="Q81" i="28"/>
  <c r="S81" i="28" s="1"/>
  <c r="R81" i="28"/>
  <c r="Q82" i="28"/>
  <c r="S82" i="28" s="1"/>
  <c r="R82" i="28"/>
  <c r="Q83" i="28"/>
  <c r="S83" i="28" s="1"/>
  <c r="R83" i="28"/>
  <c r="Q84" i="28"/>
  <c r="S84" i="28" s="1"/>
  <c r="R84" i="28"/>
  <c r="Q85" i="28"/>
  <c r="S85" i="28" s="1"/>
  <c r="R85" i="28"/>
  <c r="Q86" i="28"/>
  <c r="S86" i="28" s="1"/>
  <c r="R86" i="28"/>
  <c r="R3" i="28"/>
  <c r="Q3" i="28"/>
  <c r="S3" i="28" s="1"/>
  <c r="Z143" i="25"/>
  <c r="BQ12" i="25"/>
  <c r="BQ13" i="25"/>
  <c r="BQ14" i="25"/>
  <c r="BQ15" i="25"/>
  <c r="BQ16" i="25"/>
  <c r="BQ17" i="25"/>
  <c r="BQ18" i="25"/>
  <c r="BQ19" i="25"/>
  <c r="BQ20" i="25"/>
  <c r="BQ21" i="25"/>
  <c r="BQ22" i="25"/>
  <c r="BQ23" i="25"/>
  <c r="BQ24" i="25"/>
  <c r="BQ25" i="25"/>
  <c r="BQ26" i="25"/>
  <c r="BQ27" i="25"/>
  <c r="BQ28" i="25"/>
  <c r="BQ29" i="25"/>
  <c r="BQ30" i="25"/>
  <c r="BQ32" i="25"/>
  <c r="BQ33" i="25"/>
  <c r="BQ34" i="25"/>
  <c r="BQ35" i="25"/>
  <c r="BQ36" i="25"/>
  <c r="BQ37" i="25"/>
  <c r="BQ38" i="25"/>
  <c r="BQ39" i="25"/>
  <c r="BQ40" i="25"/>
  <c r="BQ41" i="25"/>
  <c r="BQ43" i="25"/>
  <c r="BQ44" i="25"/>
  <c r="BQ45" i="25"/>
  <c r="BQ46" i="25"/>
  <c r="BQ47" i="25"/>
  <c r="BQ48" i="25"/>
  <c r="BQ49" i="25"/>
  <c r="BQ50" i="25"/>
  <c r="BQ51" i="25"/>
  <c r="BQ52" i="25"/>
  <c r="BQ53" i="25"/>
  <c r="BQ54" i="25"/>
  <c r="BQ57" i="25"/>
  <c r="BQ58" i="25"/>
  <c r="BQ59" i="25"/>
  <c r="BQ61" i="25"/>
  <c r="BQ63" i="25"/>
  <c r="BQ64" i="25"/>
  <c r="BQ65" i="25"/>
  <c r="BQ66" i="25"/>
  <c r="BQ67" i="25"/>
  <c r="BQ68" i="25"/>
  <c r="BQ69" i="25"/>
  <c r="BQ70" i="25"/>
  <c r="BQ71" i="25"/>
  <c r="BQ72" i="25"/>
  <c r="BQ73" i="25"/>
  <c r="BQ74" i="25"/>
  <c r="BQ75" i="25"/>
  <c r="BQ76" i="25"/>
  <c r="BQ77" i="25"/>
  <c r="BQ82" i="25"/>
  <c r="BQ84" i="25"/>
  <c r="BQ85" i="25"/>
  <c r="BQ87" i="25"/>
  <c r="BQ88" i="25"/>
  <c r="BQ89" i="25"/>
  <c r="BQ90" i="25"/>
  <c r="BQ91" i="25"/>
  <c r="BQ92" i="25"/>
  <c r="BQ93" i="25"/>
  <c r="BQ94" i="25"/>
  <c r="BQ95" i="25"/>
  <c r="BQ96" i="25"/>
  <c r="BQ97" i="25"/>
  <c r="BQ98" i="25"/>
  <c r="BQ99" i="25"/>
  <c r="BQ100" i="25"/>
  <c r="BQ101" i="25"/>
  <c r="BQ102" i="25"/>
  <c r="BQ103" i="25"/>
  <c r="BQ104" i="25"/>
  <c r="BQ105" i="25"/>
  <c r="BQ106" i="25"/>
  <c r="BQ107" i="25"/>
  <c r="BQ109" i="25"/>
  <c r="BQ110" i="25"/>
  <c r="BQ111" i="25"/>
  <c r="BQ112" i="25"/>
  <c r="BQ113" i="25"/>
  <c r="BQ114" i="25"/>
  <c r="BQ115" i="25"/>
  <c r="BQ116" i="25"/>
  <c r="BQ117" i="25"/>
  <c r="BQ118" i="25"/>
  <c r="BQ119" i="25"/>
  <c r="BQ120" i="25"/>
  <c r="BQ121" i="25"/>
  <c r="BQ122" i="25"/>
  <c r="BQ123" i="25"/>
  <c r="BQ124" i="25"/>
  <c r="BQ126" i="25"/>
  <c r="BQ127" i="25"/>
  <c r="BQ128" i="25"/>
  <c r="BQ129" i="25"/>
  <c r="BQ130" i="25"/>
  <c r="BQ131" i="25"/>
  <c r="BQ132" i="25"/>
  <c r="BQ133" i="25"/>
  <c r="BQ134" i="25"/>
  <c r="BQ135" i="25"/>
  <c r="BQ136" i="25"/>
  <c r="BQ137" i="25"/>
  <c r="BQ138" i="25"/>
  <c r="BQ139" i="25"/>
  <c r="BQ140" i="25"/>
  <c r="BQ141" i="25"/>
  <c r="BQ142" i="25"/>
  <c r="BQ143" i="25"/>
  <c r="BQ144" i="25"/>
  <c r="BQ145" i="25"/>
  <c r="BQ146" i="25"/>
  <c r="BQ147" i="25"/>
  <c r="BQ148" i="25"/>
  <c r="BQ149" i="25"/>
  <c r="BQ150" i="25"/>
  <c r="BQ151" i="25"/>
  <c r="BQ152" i="25"/>
  <c r="BQ153" i="25"/>
  <c r="BQ154" i="25"/>
  <c r="BQ155" i="25"/>
  <c r="BQ156" i="25"/>
  <c r="BQ157" i="25"/>
  <c r="BQ158" i="25"/>
  <c r="BQ159" i="25"/>
  <c r="BQ160" i="25"/>
  <c r="BQ161" i="25"/>
  <c r="BQ162" i="25"/>
  <c r="BQ163" i="25"/>
  <c r="BQ164" i="25"/>
  <c r="BQ165" i="25"/>
  <c r="BQ166" i="25"/>
  <c r="BQ167" i="25"/>
  <c r="BQ168" i="25"/>
  <c r="BQ169" i="25"/>
  <c r="BQ170" i="25"/>
  <c r="BQ171" i="25"/>
  <c r="BQ172" i="25"/>
  <c r="BQ173" i="25"/>
  <c r="BQ174" i="25"/>
  <c r="BQ175" i="25"/>
  <c r="BQ176" i="25"/>
  <c r="BQ177" i="25"/>
  <c r="BQ178" i="25"/>
  <c r="BQ179" i="25"/>
  <c r="BQ180" i="25"/>
  <c r="BQ181" i="25"/>
  <c r="BQ182" i="25"/>
  <c r="BQ183" i="25"/>
  <c r="BQ184" i="25"/>
  <c r="BQ185" i="25"/>
  <c r="BQ186" i="25"/>
  <c r="BQ187" i="25"/>
  <c r="BQ188" i="25"/>
  <c r="BQ189" i="25"/>
  <c r="BQ190" i="25"/>
  <c r="BQ191" i="25"/>
  <c r="BQ192" i="25"/>
  <c r="BQ193" i="25"/>
  <c r="BQ194" i="25"/>
  <c r="BQ195" i="25"/>
  <c r="BQ196" i="25"/>
  <c r="BQ200" i="25"/>
  <c r="BQ201" i="25"/>
  <c r="BQ202" i="25"/>
  <c r="BQ203" i="25"/>
  <c r="BQ204" i="25"/>
  <c r="BQ205" i="25"/>
  <c r="BQ206" i="25"/>
  <c r="BQ207" i="25"/>
  <c r="BQ208" i="25"/>
  <c r="BQ209" i="25"/>
  <c r="BQ210" i="25"/>
  <c r="BQ211" i="25"/>
  <c r="BQ212" i="25"/>
  <c r="BQ213" i="25"/>
  <c r="BQ214" i="25"/>
  <c r="BQ215" i="25"/>
  <c r="BQ216" i="25"/>
  <c r="BQ217" i="25"/>
  <c r="BQ218" i="25"/>
  <c r="BQ219" i="25"/>
  <c r="BQ220" i="25"/>
  <c r="BQ221" i="25"/>
  <c r="BQ222" i="25"/>
  <c r="BQ223" i="25"/>
  <c r="BQ224" i="25"/>
  <c r="BQ225" i="25"/>
  <c r="BQ226" i="25"/>
  <c r="BQ227" i="25"/>
  <c r="BQ228" i="25"/>
  <c r="BQ229" i="25"/>
  <c r="BQ230" i="25"/>
  <c r="BQ231" i="25"/>
  <c r="BQ232" i="25"/>
  <c r="BQ233" i="25"/>
  <c r="BQ234" i="25"/>
  <c r="BQ235" i="25"/>
  <c r="BQ236" i="25"/>
  <c r="BQ237" i="25"/>
  <c r="BQ238" i="25"/>
  <c r="BQ239" i="25"/>
  <c r="BQ240" i="25"/>
  <c r="BQ241" i="25"/>
  <c r="BQ242" i="25"/>
  <c r="BQ243" i="25"/>
  <c r="BQ244" i="25"/>
  <c r="BQ245" i="25"/>
  <c r="BQ246" i="25"/>
  <c r="BQ247" i="25"/>
  <c r="BQ248" i="25"/>
  <c r="BQ249" i="25"/>
  <c r="BQ250" i="25"/>
  <c r="BQ251" i="25"/>
  <c r="BQ252" i="25"/>
  <c r="BQ253" i="25"/>
  <c r="BQ254" i="25"/>
  <c r="BQ255" i="25"/>
  <c r="BQ256" i="25"/>
  <c r="BQ257" i="25"/>
  <c r="BQ258" i="25"/>
  <c r="BQ259" i="25"/>
  <c r="BQ260" i="25"/>
  <c r="BQ261" i="25"/>
  <c r="BQ262" i="25"/>
  <c r="BQ263" i="25"/>
  <c r="BQ264" i="25"/>
  <c r="BQ266" i="25"/>
  <c r="BQ267" i="25"/>
  <c r="BQ268" i="25"/>
  <c r="BQ269" i="25"/>
  <c r="BQ270" i="25"/>
  <c r="BQ271" i="25"/>
  <c r="BQ272" i="25"/>
  <c r="BQ273" i="25"/>
  <c r="BQ274" i="25"/>
  <c r="BQ275" i="25"/>
  <c r="BO7" i="25"/>
  <c r="BO6" i="25"/>
  <c r="AE143" i="25"/>
  <c r="AF143" i="25"/>
  <c r="AG143" i="25"/>
  <c r="AB143" i="25"/>
  <c r="AC143" i="25"/>
  <c r="AD143" i="25"/>
  <c r="CA143" i="25" l="1"/>
  <c r="BR71" i="25"/>
  <c r="BR13" i="25"/>
  <c r="BR252" i="25"/>
  <c r="BR204" i="25"/>
  <c r="BR153" i="25"/>
  <c r="BR129" i="25"/>
  <c r="BR27" i="25"/>
  <c r="BR259" i="25"/>
  <c r="BR235" i="25"/>
  <c r="BR203" i="25"/>
  <c r="BR176" i="25"/>
  <c r="BR144" i="25"/>
  <c r="BR43" i="25"/>
  <c r="BR275" i="25"/>
  <c r="BR267" i="25"/>
  <c r="BR258" i="25"/>
  <c r="BR250" i="25"/>
  <c r="BR242" i="25"/>
  <c r="BR234" i="25"/>
  <c r="BR226" i="25"/>
  <c r="BR218" i="25"/>
  <c r="BR210" i="25"/>
  <c r="BR202" i="25"/>
  <c r="BR191" i="25"/>
  <c r="BR183" i="25"/>
  <c r="BR175" i="25"/>
  <c r="BR167" i="25"/>
  <c r="BR159" i="25"/>
  <c r="BR151" i="25"/>
  <c r="BR143" i="25"/>
  <c r="BR135" i="25"/>
  <c r="BR127" i="25"/>
  <c r="BR116" i="25"/>
  <c r="BR107" i="25"/>
  <c r="BR99" i="25"/>
  <c r="BR91" i="25"/>
  <c r="BR77" i="25"/>
  <c r="BR69" i="25"/>
  <c r="BR61" i="25"/>
  <c r="BR50" i="25"/>
  <c r="BR41" i="25"/>
  <c r="BR25" i="25"/>
  <c r="BR17" i="25"/>
  <c r="BR260" i="25"/>
  <c r="BR193" i="25"/>
  <c r="BR35" i="25"/>
  <c r="BR12" i="25"/>
  <c r="BR243" i="25"/>
  <c r="BR219" i="25"/>
  <c r="BR184" i="25"/>
  <c r="BR160" i="25"/>
  <c r="BR128" i="25"/>
  <c r="BR117" i="25"/>
  <c r="BR100" i="25"/>
  <c r="BR82" i="25"/>
  <c r="BR51" i="25"/>
  <c r="BR26" i="25"/>
  <c r="BR274" i="25"/>
  <c r="BR266" i="25"/>
  <c r="BR257" i="25"/>
  <c r="BR249" i="25"/>
  <c r="BR241" i="25"/>
  <c r="BR233" i="25"/>
  <c r="BR225" i="25"/>
  <c r="BR217" i="25"/>
  <c r="BR209" i="25"/>
  <c r="BR201" i="25"/>
  <c r="BR190" i="25"/>
  <c r="BR182" i="25"/>
  <c r="BR174" i="25"/>
  <c r="BR166" i="25"/>
  <c r="BR158" i="25"/>
  <c r="BR150" i="25"/>
  <c r="BR142" i="25"/>
  <c r="BR134" i="25"/>
  <c r="BR126" i="25"/>
  <c r="BR115" i="25"/>
  <c r="BR106" i="25"/>
  <c r="BR98" i="25"/>
  <c r="BR90" i="25"/>
  <c r="BR76" i="25"/>
  <c r="BR68" i="25"/>
  <c r="BR59" i="25"/>
  <c r="BR49" i="25"/>
  <c r="BR40" i="25"/>
  <c r="BR33" i="25"/>
  <c r="BR24" i="25"/>
  <c r="BR16" i="25"/>
  <c r="BR269" i="25"/>
  <c r="BR236" i="25"/>
  <c r="BR212" i="25"/>
  <c r="BR161" i="25"/>
  <c r="BR145" i="25"/>
  <c r="BR101" i="25"/>
  <c r="BR93" i="25"/>
  <c r="BR84" i="25"/>
  <c r="BR52" i="25"/>
  <c r="BR44" i="25"/>
  <c r="BR19" i="25"/>
  <c r="BR268" i="25"/>
  <c r="BR251" i="25"/>
  <c r="BR227" i="25"/>
  <c r="BR211" i="25"/>
  <c r="BR192" i="25"/>
  <c r="BR168" i="25"/>
  <c r="BR152" i="25"/>
  <c r="BR136" i="25"/>
  <c r="BR109" i="25"/>
  <c r="BR92" i="25"/>
  <c r="BR70" i="25"/>
  <c r="BR63" i="25"/>
  <c r="BR34" i="25"/>
  <c r="BR18" i="25"/>
  <c r="BR273" i="25"/>
  <c r="BR264" i="25"/>
  <c r="BR256" i="25"/>
  <c r="BR248" i="25"/>
  <c r="BR240" i="25"/>
  <c r="BR232" i="25"/>
  <c r="BR224" i="25"/>
  <c r="BR216" i="25"/>
  <c r="BR208" i="25"/>
  <c r="BR200" i="25"/>
  <c r="BR189" i="25"/>
  <c r="BR181" i="25"/>
  <c r="BR173" i="25"/>
  <c r="BR165" i="25"/>
  <c r="BR157" i="25"/>
  <c r="BR149" i="25"/>
  <c r="BR141" i="25"/>
  <c r="BR133" i="25"/>
  <c r="BR124" i="25"/>
  <c r="BR114" i="25"/>
  <c r="BR105" i="25"/>
  <c r="BR97" i="25"/>
  <c r="BR89" i="25"/>
  <c r="BR75" i="25"/>
  <c r="BR67" i="25"/>
  <c r="BR58" i="25"/>
  <c r="BR48" i="25"/>
  <c r="BR39" i="25"/>
  <c r="BR32" i="25"/>
  <c r="BR23" i="25"/>
  <c r="BR15" i="25"/>
  <c r="BR244" i="25"/>
  <c r="BR185" i="25"/>
  <c r="BR64" i="25"/>
  <c r="BR272" i="25"/>
  <c r="BR263" i="25"/>
  <c r="BR255" i="25"/>
  <c r="BR247" i="25"/>
  <c r="BR239" i="25"/>
  <c r="BR231" i="25"/>
  <c r="BR223" i="25"/>
  <c r="BR215" i="25"/>
  <c r="BR207" i="25"/>
  <c r="BR196" i="25"/>
  <c r="BR188" i="25"/>
  <c r="BR180" i="25"/>
  <c r="BR172" i="25"/>
  <c r="BR164" i="25"/>
  <c r="BR156" i="25"/>
  <c r="BR148" i="25"/>
  <c r="BR140" i="25"/>
  <c r="BR132" i="25"/>
  <c r="BR123" i="25"/>
  <c r="BR113" i="25"/>
  <c r="BR104" i="25"/>
  <c r="BR96" i="25"/>
  <c r="BR88" i="25"/>
  <c r="BR74" i="25"/>
  <c r="BR57" i="25"/>
  <c r="BR47" i="25"/>
  <c r="BR38" i="25"/>
  <c r="BR30" i="25"/>
  <c r="BR22" i="25"/>
  <c r="BR14" i="25"/>
  <c r="BR220" i="25"/>
  <c r="BR169" i="25"/>
  <c r="BR118" i="25"/>
  <c r="BR271" i="25"/>
  <c r="BR262" i="25"/>
  <c r="BR254" i="25"/>
  <c r="BR246" i="25"/>
  <c r="BR238" i="25"/>
  <c r="BR230" i="25"/>
  <c r="BR222" i="25"/>
  <c r="BR214" i="25"/>
  <c r="BR206" i="25"/>
  <c r="BR195" i="25"/>
  <c r="BR187" i="25"/>
  <c r="BR179" i="25"/>
  <c r="BR171" i="25"/>
  <c r="BR163" i="25"/>
  <c r="BR155" i="25"/>
  <c r="BR147" i="25"/>
  <c r="BR139" i="25"/>
  <c r="BR131" i="25"/>
  <c r="BR122" i="25"/>
  <c r="BR120" i="25"/>
  <c r="BR112" i="25"/>
  <c r="BR103" i="25"/>
  <c r="BR95" i="25"/>
  <c r="BR87" i="25"/>
  <c r="BR73" i="25"/>
  <c r="BR66" i="25"/>
  <c r="BR54" i="25"/>
  <c r="BR46" i="25"/>
  <c r="BR37" i="25"/>
  <c r="BR29" i="25"/>
  <c r="BR21" i="25"/>
  <c r="BR228" i="25"/>
  <c r="BR177" i="25"/>
  <c r="BR137" i="25"/>
  <c r="BR110" i="25"/>
  <c r="BR270" i="25"/>
  <c r="BR261" i="25"/>
  <c r="BR253" i="25"/>
  <c r="BR245" i="25"/>
  <c r="BR237" i="25"/>
  <c r="BR229" i="25"/>
  <c r="BR221" i="25"/>
  <c r="BR213" i="25"/>
  <c r="BR205" i="25"/>
  <c r="BR194" i="25"/>
  <c r="BR186" i="25"/>
  <c r="BR178" i="25"/>
  <c r="BR170" i="25"/>
  <c r="BR162" i="25"/>
  <c r="BR154" i="25"/>
  <c r="BR146" i="25"/>
  <c r="BR138" i="25"/>
  <c r="BR130" i="25"/>
  <c r="BR121" i="25"/>
  <c r="BR119" i="25"/>
  <c r="BR111" i="25"/>
  <c r="BR102" i="25"/>
  <c r="BR94" i="25"/>
  <c r="BR85" i="25"/>
  <c r="BR72" i="25"/>
  <c r="BR65" i="25"/>
  <c r="BR53" i="25"/>
  <c r="BR45" i="25"/>
  <c r="BR36" i="25"/>
  <c r="BR28" i="25"/>
  <c r="BR20" i="25"/>
  <c r="BQ293" i="25" l="1"/>
  <c r="BQ287" i="25"/>
  <c r="BQ290" i="25"/>
  <c r="BQ289" i="25"/>
  <c r="AA87" i="25" l="1"/>
  <c r="AB87" i="25"/>
  <c r="Z87" i="25"/>
  <c r="Z6" i="25" s="1"/>
  <c r="B50" i="30"/>
  <c r="B51" i="30" s="1"/>
  <c r="E51" i="30" s="1"/>
  <c r="J61" i="30" l="1"/>
  <c r="J62" i="30" s="1"/>
  <c r="K61" i="30"/>
  <c r="K62" i="30" s="1"/>
  <c r="L61" i="30"/>
  <c r="L62" i="30" s="1"/>
  <c r="M61" i="30"/>
  <c r="M62" i="30" s="1"/>
  <c r="I60" i="30"/>
  <c r="H60" i="30"/>
  <c r="G60" i="30"/>
  <c r="F60" i="30"/>
  <c r="E60" i="30"/>
  <c r="D60" i="30"/>
  <c r="BP6" i="25"/>
  <c r="BP5" i="25" s="1"/>
  <c r="B5" i="30" l="1"/>
  <c r="Y225" i="25" l="1"/>
  <c r="Y41" i="1" l="1"/>
  <c r="Y42" i="1"/>
  <c r="Y43" i="1"/>
  <c r="Y44" i="1"/>
  <c r="Y45" i="1"/>
  <c r="Y46" i="1"/>
  <c r="Y47" i="1"/>
  <c r="Y48" i="1"/>
  <c r="Y49" i="1"/>
  <c r="Y50" i="1"/>
  <c r="Y51" i="1"/>
  <c r="Y52" i="1"/>
  <c r="Y53" i="1"/>
  <c r="Y54" i="1"/>
  <c r="Y55" i="1"/>
  <c r="Y40" i="1"/>
  <c r="X49" i="1"/>
  <c r="X48" i="1" s="1"/>
  <c r="X47" i="1" s="1"/>
  <c r="X46" i="1" s="1"/>
  <c r="X45" i="1" s="1"/>
  <c r="X44" i="1" s="1"/>
  <c r="X43" i="1" s="1"/>
  <c r="X42" i="1" s="1"/>
  <c r="X41" i="1" s="1"/>
  <c r="X40" i="1" s="1"/>
  <c r="X39" i="1" s="1"/>
  <c r="X50" i="1"/>
  <c r="X53" i="1"/>
  <c r="X54" i="1" s="1"/>
  <c r="X55" i="1" s="1"/>
  <c r="X52" i="1"/>
  <c r="W39" i="1"/>
  <c r="W40" i="1"/>
  <c r="W41" i="1"/>
  <c r="W42" i="1"/>
  <c r="W43" i="1"/>
  <c r="W44" i="1"/>
  <c r="W45" i="1"/>
  <c r="W46" i="1"/>
  <c r="W47" i="1"/>
  <c r="V55" i="1"/>
  <c r="V54" i="1"/>
  <c r="V49" i="1"/>
  <c r="V50" i="1"/>
  <c r="V51" i="1"/>
  <c r="V52" i="1"/>
  <c r="V53" i="1"/>
  <c r="V48" i="1"/>
  <c r="W55" i="1"/>
  <c r="W50" i="1"/>
  <c r="W51" i="1"/>
  <c r="W52" i="1"/>
  <c r="W53" i="1"/>
  <c r="W54" i="1"/>
  <c r="W48" i="1"/>
  <c r="W49"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G73" i="1" l="1"/>
  <c r="F73" i="1"/>
  <c r="E73" i="1"/>
  <c r="C82" i="1"/>
  <c r="M8" i="25" l="1"/>
  <c r="X13" i="25"/>
  <c r="X15" i="25"/>
  <c r="X16" i="25"/>
  <c r="X17" i="25"/>
  <c r="X18" i="25"/>
  <c r="X19" i="25"/>
  <c r="X20" i="25"/>
  <c r="X21" i="25"/>
  <c r="X22" i="25"/>
  <c r="X23" i="25"/>
  <c r="X24" i="25"/>
  <c r="X27" i="25"/>
  <c r="X41" i="25"/>
  <c r="X43" i="25"/>
  <c r="X44" i="25"/>
  <c r="X45" i="25"/>
  <c r="X48" i="25"/>
  <c r="X49" i="25"/>
  <c r="X50" i="25"/>
  <c r="X51" i="25"/>
  <c r="X52" i="25"/>
  <c r="X53" i="25"/>
  <c r="X58" i="25"/>
  <c r="X63" i="25"/>
  <c r="X64" i="25"/>
  <c r="X84" i="25"/>
  <c r="X85" i="25"/>
  <c r="X89" i="25"/>
  <c r="X90" i="25"/>
  <c r="X101" i="25"/>
  <c r="X102" i="25"/>
  <c r="X103" i="25"/>
  <c r="X106" i="25"/>
  <c r="X111" i="25"/>
  <c r="X112" i="25"/>
  <c r="X113" i="25"/>
  <c r="X114" i="25"/>
  <c r="X115" i="25"/>
  <c r="X116" i="25"/>
  <c r="X117" i="25"/>
  <c r="X118" i="25"/>
  <c r="X121" i="25"/>
  <c r="X122" i="25"/>
  <c r="X131" i="25"/>
  <c r="X133" i="25"/>
  <c r="X136" i="25"/>
  <c r="X138" i="25"/>
  <c r="X141" i="25"/>
  <c r="X142" i="25"/>
  <c r="X143" i="25"/>
  <c r="X172" i="25"/>
  <c r="X176" i="25"/>
  <c r="X179" i="25"/>
  <c r="X181" i="25"/>
  <c r="X184" i="25"/>
  <c r="X186" i="25"/>
  <c r="X187" i="25"/>
  <c r="X188" i="25"/>
  <c r="X191" i="25"/>
  <c r="X192" i="25"/>
  <c r="X193" i="25"/>
  <c r="X201" i="25"/>
  <c r="X203" i="25"/>
  <c r="X204" i="25"/>
  <c r="X205" i="25"/>
  <c r="X207" i="25"/>
  <c r="X222" i="25"/>
  <c r="X230" i="25"/>
  <c r="X231" i="25"/>
  <c r="X233" i="25"/>
  <c r="X234" i="25"/>
  <c r="X236" i="25"/>
  <c r="X237" i="25"/>
  <c r="X238" i="25"/>
  <c r="X239" i="25"/>
  <c r="X241" i="25"/>
  <c r="X242" i="25"/>
  <c r="X247" i="25"/>
  <c r="X248" i="25"/>
  <c r="X249" i="25"/>
  <c r="X250" i="25"/>
  <c r="X252" i="25"/>
  <c r="X253" i="25"/>
  <c r="X259" i="25"/>
  <c r="X260" i="25"/>
  <c r="X263" i="25"/>
  <c r="X264" i="25"/>
  <c r="X267" i="25"/>
  <c r="X269" i="25"/>
  <c r="X270" i="25"/>
  <c r="X271" i="25"/>
  <c r="X12" i="25"/>
  <c r="AI283" i="25"/>
  <c r="AH283" i="25"/>
  <c r="AG283" i="25"/>
  <c r="AF283" i="25"/>
  <c r="AE283" i="25"/>
  <c r="AD283" i="25"/>
  <c r="AC283" i="25"/>
  <c r="AB283" i="25"/>
  <c r="AA283" i="25"/>
  <c r="Z283" i="25"/>
  <c r="AI282" i="25"/>
  <c r="AH282" i="25"/>
  <c r="AG282" i="25"/>
  <c r="AF282" i="25"/>
  <c r="AE282" i="25"/>
  <c r="AD282" i="25"/>
  <c r="AC282" i="25"/>
  <c r="AB282" i="25"/>
  <c r="AA282" i="25"/>
  <c r="Z282" i="25"/>
  <c r="AI281" i="25"/>
  <c r="AH281" i="25"/>
  <c r="AG281" i="25"/>
  <c r="AF281" i="25"/>
  <c r="AE281" i="25"/>
  <c r="AD281" i="25"/>
  <c r="AC281" i="25"/>
  <c r="AB281" i="25"/>
  <c r="AA281" i="25"/>
  <c r="Z281" i="25"/>
  <c r="AI280" i="25"/>
  <c r="AH280" i="25"/>
  <c r="AG280" i="25"/>
  <c r="AF280" i="25"/>
  <c r="AE280" i="25"/>
  <c r="AD280" i="25"/>
  <c r="AC280" i="25"/>
  <c r="AB280" i="25"/>
  <c r="AA280" i="25"/>
  <c r="Z280" i="25"/>
  <c r="AI279" i="25"/>
  <c r="AH279" i="25"/>
  <c r="AG279" i="25"/>
  <c r="AF279" i="25"/>
  <c r="AE279" i="25"/>
  <c r="AD279" i="25"/>
  <c r="AC279" i="25"/>
  <c r="AB279" i="25"/>
  <c r="AA279" i="25"/>
  <c r="Z279" i="25"/>
  <c r="AI275" i="25"/>
  <c r="AH275" i="25"/>
  <c r="AG275" i="25"/>
  <c r="AF275" i="25"/>
  <c r="AE275" i="25"/>
  <c r="AD275" i="25"/>
  <c r="AC275" i="25"/>
  <c r="AB275" i="25"/>
  <c r="AA275" i="25"/>
  <c r="Z275" i="25"/>
  <c r="AI274" i="25"/>
  <c r="AH274" i="25"/>
  <c r="AG274" i="25"/>
  <c r="AF274" i="25"/>
  <c r="AE274" i="25"/>
  <c r="AD274" i="25"/>
  <c r="AC274" i="25"/>
  <c r="AB274" i="25"/>
  <c r="AA274" i="25"/>
  <c r="Z274" i="25"/>
  <c r="AI273" i="25"/>
  <c r="AH273" i="25"/>
  <c r="AG273" i="25"/>
  <c r="AF273" i="25"/>
  <c r="AE273" i="25"/>
  <c r="AD273" i="25"/>
  <c r="AC273" i="25"/>
  <c r="AB273" i="25"/>
  <c r="AI272" i="25"/>
  <c r="AH272" i="25"/>
  <c r="AG272" i="25"/>
  <c r="AF272" i="25"/>
  <c r="AE272" i="25"/>
  <c r="AD272" i="25"/>
  <c r="AC272" i="25"/>
  <c r="AB272" i="25"/>
  <c r="AB317" i="25" s="1"/>
  <c r="P32" i="31" s="1"/>
  <c r="AA272" i="25"/>
  <c r="Z272" i="25"/>
  <c r="AI258" i="25"/>
  <c r="AH258" i="25"/>
  <c r="AG258" i="25"/>
  <c r="AF258" i="25"/>
  <c r="AE258" i="25"/>
  <c r="AD258" i="25"/>
  <c r="AC258" i="25"/>
  <c r="AB258" i="25"/>
  <c r="AA258" i="25"/>
  <c r="Z258" i="25"/>
  <c r="Z319" i="25" s="1"/>
  <c r="N34" i="31" s="1"/>
  <c r="AI257" i="25"/>
  <c r="AH257" i="25"/>
  <c r="AG257" i="25"/>
  <c r="AF257" i="25"/>
  <c r="AE257" i="25"/>
  <c r="AD257" i="25"/>
  <c r="AI256" i="25"/>
  <c r="AH256" i="25"/>
  <c r="AG256" i="25"/>
  <c r="AF256" i="25"/>
  <c r="AE256" i="25"/>
  <c r="AD256" i="25"/>
  <c r="AC256" i="25"/>
  <c r="AB256" i="25"/>
  <c r="AA256" i="25"/>
  <c r="Z256" i="25"/>
  <c r="AI255" i="25"/>
  <c r="AH255" i="25"/>
  <c r="AG255" i="25"/>
  <c r="AF255" i="25"/>
  <c r="AE255" i="25"/>
  <c r="AD255" i="25"/>
  <c r="AC255" i="25"/>
  <c r="AB255" i="25"/>
  <c r="AA255" i="25"/>
  <c r="Z255" i="25"/>
  <c r="AI254" i="25"/>
  <c r="AH254" i="25"/>
  <c r="AG254" i="25"/>
  <c r="AF254" i="25"/>
  <c r="AE254" i="25"/>
  <c r="AD254" i="25"/>
  <c r="AC254" i="25"/>
  <c r="AB254" i="25"/>
  <c r="AA254" i="25"/>
  <c r="Z254" i="25"/>
  <c r="Z318" i="25" s="1"/>
  <c r="N33" i="31" s="1"/>
  <c r="AI208" i="25"/>
  <c r="AH208" i="25"/>
  <c r="AG208" i="25"/>
  <c r="AF208" i="25"/>
  <c r="AE208" i="25"/>
  <c r="AI202" i="25"/>
  <c r="AH202" i="25"/>
  <c r="AG202" i="25"/>
  <c r="AF202" i="25"/>
  <c r="AE202" i="25"/>
  <c r="AD202" i="25"/>
  <c r="AC202" i="25"/>
  <c r="AB202" i="25"/>
  <c r="AA202" i="25"/>
  <c r="AI200" i="25"/>
  <c r="AH200" i="25"/>
  <c r="AG200" i="25"/>
  <c r="AF200" i="25"/>
  <c r="AE200" i="25"/>
  <c r="AD200" i="25"/>
  <c r="AC200" i="25"/>
  <c r="AB200" i="25"/>
  <c r="AA200" i="25"/>
  <c r="Z200" i="25"/>
  <c r="Z311" i="25" s="1"/>
  <c r="N26" i="31" s="1"/>
  <c r="AI195" i="25"/>
  <c r="AH195" i="25"/>
  <c r="AG195" i="25"/>
  <c r="AF195" i="25"/>
  <c r="AE195" i="25"/>
  <c r="AD195" i="25"/>
  <c r="AC195" i="25"/>
  <c r="AB195" i="25"/>
  <c r="AA195" i="25"/>
  <c r="Z195" i="25"/>
  <c r="AI194" i="25"/>
  <c r="AH194" i="25"/>
  <c r="AG194" i="25"/>
  <c r="AF194" i="25"/>
  <c r="AE194" i="25"/>
  <c r="AD194" i="25"/>
  <c r="AC194" i="25"/>
  <c r="AB194" i="25"/>
  <c r="AA194" i="25"/>
  <c r="Z194" i="25"/>
  <c r="AI189" i="25"/>
  <c r="AH189" i="25"/>
  <c r="AG189" i="25"/>
  <c r="AF189" i="25"/>
  <c r="AE189" i="25"/>
  <c r="AD189" i="25"/>
  <c r="AC189" i="25"/>
  <c r="AA189" i="25"/>
  <c r="AI170" i="25"/>
  <c r="AH170" i="25"/>
  <c r="AG170" i="25"/>
  <c r="AF170" i="25"/>
  <c r="AE170" i="25"/>
  <c r="AD170" i="25"/>
  <c r="AC170" i="25"/>
  <c r="AC308" i="25" s="1"/>
  <c r="Q23" i="31" s="1"/>
  <c r="AB170" i="25"/>
  <c r="AB308" i="25" s="1"/>
  <c r="P23" i="31" s="1"/>
  <c r="AA170" i="25"/>
  <c r="Z170" i="25"/>
  <c r="Z308" i="25" s="1"/>
  <c r="N23" i="31" s="1"/>
  <c r="AI165" i="25"/>
  <c r="AH165" i="25"/>
  <c r="AG165" i="25"/>
  <c r="AF165" i="25"/>
  <c r="AE165" i="25"/>
  <c r="AD165" i="25"/>
  <c r="AC165" i="25"/>
  <c r="AB165" i="25"/>
  <c r="AA165" i="25"/>
  <c r="Z165" i="25"/>
  <c r="AI164" i="25"/>
  <c r="AH164" i="25"/>
  <c r="AG164" i="25"/>
  <c r="AF164" i="25"/>
  <c r="AE164" i="25"/>
  <c r="AD164" i="25"/>
  <c r="AC164" i="25"/>
  <c r="AB164" i="25"/>
  <c r="AA164" i="25"/>
  <c r="Z164" i="25"/>
  <c r="AI159" i="25"/>
  <c r="AH159" i="25"/>
  <c r="AG159" i="25"/>
  <c r="AF159" i="25"/>
  <c r="AE159" i="25"/>
  <c r="AD159" i="25"/>
  <c r="AC159" i="25"/>
  <c r="AB159" i="25"/>
  <c r="AA159" i="25"/>
  <c r="Z159" i="25"/>
  <c r="AI156" i="25"/>
  <c r="AH156" i="25"/>
  <c r="AG156" i="25"/>
  <c r="AF156" i="25"/>
  <c r="AE156" i="25"/>
  <c r="AD156" i="25"/>
  <c r="AC156" i="25"/>
  <c r="AI155" i="25"/>
  <c r="AH155" i="25"/>
  <c r="AG155" i="25"/>
  <c r="AF155" i="25"/>
  <c r="AE155" i="25"/>
  <c r="AD155" i="25"/>
  <c r="AI151" i="25"/>
  <c r="AH151" i="25"/>
  <c r="AG151" i="25"/>
  <c r="AF151" i="25"/>
  <c r="AE151" i="25"/>
  <c r="AD151" i="25"/>
  <c r="AC151" i="25"/>
  <c r="AB151" i="25"/>
  <c r="AI149" i="25"/>
  <c r="AH149" i="25"/>
  <c r="AG149" i="25"/>
  <c r="AF149" i="25"/>
  <c r="AE149" i="25"/>
  <c r="AD149" i="25"/>
  <c r="AC149" i="25"/>
  <c r="AI148" i="25"/>
  <c r="AH148" i="25"/>
  <c r="AG148" i="25"/>
  <c r="AF148" i="25"/>
  <c r="AE148" i="25"/>
  <c r="AD148" i="25"/>
  <c r="AC148" i="25"/>
  <c r="AB148" i="25"/>
  <c r="AA148" i="25"/>
  <c r="Z148" i="25"/>
  <c r="AI147" i="25"/>
  <c r="AH147" i="25"/>
  <c r="AG147" i="25"/>
  <c r="AF147" i="25"/>
  <c r="AE147" i="25"/>
  <c r="AD147" i="25"/>
  <c r="AC147" i="25"/>
  <c r="AB147" i="25"/>
  <c r="AA147" i="25"/>
  <c r="Z147" i="25"/>
  <c r="AI144" i="25"/>
  <c r="AH144" i="25"/>
  <c r="AG144" i="25"/>
  <c r="AF144" i="25"/>
  <c r="AE144" i="25"/>
  <c r="AD144" i="25"/>
  <c r="AC144" i="25"/>
  <c r="AB144" i="25"/>
  <c r="AI128" i="25"/>
  <c r="AH128" i="25"/>
  <c r="AG128" i="25"/>
  <c r="AF128" i="25"/>
  <c r="AE128" i="25"/>
  <c r="AD128" i="25"/>
  <c r="AD306" i="25" s="1"/>
  <c r="R21" i="31" s="1"/>
  <c r="AC128" i="25"/>
  <c r="AC306" i="25" s="1"/>
  <c r="Q21" i="31" s="1"/>
  <c r="AI127" i="25"/>
  <c r="AH127" i="25"/>
  <c r="AG127" i="25"/>
  <c r="AF127" i="25"/>
  <c r="AE127" i="25"/>
  <c r="AD127" i="25"/>
  <c r="AC127" i="25"/>
  <c r="AB127" i="25"/>
  <c r="AA127" i="25"/>
  <c r="AI126" i="25"/>
  <c r="AH126" i="25"/>
  <c r="AG126" i="25"/>
  <c r="AF126" i="25"/>
  <c r="AE126" i="25"/>
  <c r="AD126" i="25"/>
  <c r="AC126" i="25"/>
  <c r="AB126" i="25"/>
  <c r="AA126" i="25"/>
  <c r="Z126" i="25"/>
  <c r="Z305" i="25" s="1"/>
  <c r="N20" i="31" s="1"/>
  <c r="AI124" i="25"/>
  <c r="AH124" i="25"/>
  <c r="AG124" i="25"/>
  <c r="AF124" i="25"/>
  <c r="AE124" i="25"/>
  <c r="AD124" i="25"/>
  <c r="AC124" i="25"/>
  <c r="AI97" i="25"/>
  <c r="AH97" i="25"/>
  <c r="AG97" i="25"/>
  <c r="AF97" i="25"/>
  <c r="AE97" i="25"/>
  <c r="I40" i="30" s="1"/>
  <c r="AD97" i="25"/>
  <c r="H40" i="30" s="1"/>
  <c r="AC97" i="25"/>
  <c r="G40" i="30" s="1"/>
  <c r="AB97" i="25"/>
  <c r="F40" i="30" s="1"/>
  <c r="AA97" i="25"/>
  <c r="E40" i="30" s="1"/>
  <c r="Z97" i="25"/>
  <c r="D40" i="30" s="1"/>
  <c r="AI77" i="25"/>
  <c r="AH77" i="25"/>
  <c r="AG77" i="25"/>
  <c r="AF77" i="25"/>
  <c r="AE77" i="25"/>
  <c r="I38" i="30" s="1"/>
  <c r="AD77" i="25"/>
  <c r="H38" i="30" s="1"/>
  <c r="AC77" i="25"/>
  <c r="G38" i="30" s="1"/>
  <c r="AB77" i="25"/>
  <c r="F38" i="30" s="1"/>
  <c r="AA77" i="25"/>
  <c r="E38" i="30" s="1"/>
  <c r="Z77" i="25"/>
  <c r="D38" i="30" s="1"/>
  <c r="AI75" i="25"/>
  <c r="AH75" i="25"/>
  <c r="AG75" i="25"/>
  <c r="AF75" i="25"/>
  <c r="AE75" i="25"/>
  <c r="I24" i="30" s="1"/>
  <c r="AD75" i="25"/>
  <c r="AC75" i="25"/>
  <c r="AB75" i="25"/>
  <c r="AA75" i="25"/>
  <c r="Z75" i="25"/>
  <c r="D24" i="30" s="1"/>
  <c r="AI74" i="25"/>
  <c r="AH74" i="25"/>
  <c r="AG74" i="25"/>
  <c r="AF74" i="25"/>
  <c r="AE74" i="25"/>
  <c r="I17" i="30" s="1"/>
  <c r="AD74" i="25"/>
  <c r="AC74" i="25"/>
  <c r="AB74" i="25"/>
  <c r="AA74" i="25"/>
  <c r="Z74" i="25"/>
  <c r="D17" i="30" s="1"/>
  <c r="AI73" i="25"/>
  <c r="AH73" i="25"/>
  <c r="AG73" i="25"/>
  <c r="AF73" i="25"/>
  <c r="AE73" i="25"/>
  <c r="I23" i="30" s="1"/>
  <c r="Z73" i="25"/>
  <c r="D23" i="30" s="1"/>
  <c r="AI72" i="25"/>
  <c r="AH72" i="25"/>
  <c r="AG72" i="25"/>
  <c r="AF72" i="25"/>
  <c r="AE72" i="25"/>
  <c r="I22" i="30" s="1"/>
  <c r="AD72" i="25"/>
  <c r="AC72" i="25"/>
  <c r="AB72" i="25"/>
  <c r="AA72" i="25"/>
  <c r="Z72" i="25"/>
  <c r="D22" i="30" s="1"/>
  <c r="AI71" i="25"/>
  <c r="AH71" i="25"/>
  <c r="AG71" i="25"/>
  <c r="AF71" i="25"/>
  <c r="AE71" i="25"/>
  <c r="I21" i="30" s="1"/>
  <c r="AD71" i="25"/>
  <c r="AC71" i="25"/>
  <c r="Z71" i="25"/>
  <c r="D21" i="30" s="1"/>
  <c r="AI70" i="25"/>
  <c r="AH70" i="25"/>
  <c r="AG70" i="25"/>
  <c r="AF70" i="25"/>
  <c r="AE70" i="25"/>
  <c r="I20" i="30" s="1"/>
  <c r="Z70" i="25"/>
  <c r="D20" i="30" s="1"/>
  <c r="AI69" i="25"/>
  <c r="AH69" i="25"/>
  <c r="AG69" i="25"/>
  <c r="AF69" i="25"/>
  <c r="AE69" i="25"/>
  <c r="I19" i="30" s="1"/>
  <c r="AD69" i="25"/>
  <c r="AC69" i="25"/>
  <c r="Z69" i="25"/>
  <c r="D19" i="30" s="1"/>
  <c r="AI68" i="25"/>
  <c r="AH68" i="25"/>
  <c r="AG68" i="25"/>
  <c r="AF68" i="25"/>
  <c r="AE68" i="25"/>
  <c r="I18" i="30" s="1"/>
  <c r="AD68" i="25"/>
  <c r="AC68" i="25"/>
  <c r="AA68" i="25"/>
  <c r="Z68" i="25"/>
  <c r="D18" i="30" s="1"/>
  <c r="AI67" i="25"/>
  <c r="AH67" i="25"/>
  <c r="AG67" i="25"/>
  <c r="AF67" i="25"/>
  <c r="AE67" i="25"/>
  <c r="I16" i="30" s="1"/>
  <c r="AD67" i="25"/>
  <c r="AC67" i="25"/>
  <c r="AI66" i="25"/>
  <c r="AH66" i="25"/>
  <c r="AG66" i="25"/>
  <c r="AF66" i="25"/>
  <c r="AE66" i="25"/>
  <c r="I15" i="30" s="1"/>
  <c r="AD66" i="25"/>
  <c r="AC66" i="25"/>
  <c r="AB66" i="25"/>
  <c r="AA66" i="25"/>
  <c r="Z66" i="25"/>
  <c r="D15" i="30" s="1"/>
  <c r="AI65" i="25"/>
  <c r="AH65" i="25"/>
  <c r="AG65" i="25"/>
  <c r="AF65" i="25"/>
  <c r="AE65" i="25"/>
  <c r="AD65" i="25"/>
  <c r="AC65" i="25"/>
  <c r="AB65" i="25"/>
  <c r="AA65" i="25"/>
  <c r="Z65" i="25"/>
  <c r="AI61" i="25"/>
  <c r="AH61" i="25"/>
  <c r="AG61" i="25"/>
  <c r="AF61" i="25"/>
  <c r="AE61" i="25"/>
  <c r="AD61" i="25"/>
  <c r="AC61" i="25"/>
  <c r="AB61" i="25"/>
  <c r="AA61" i="25"/>
  <c r="AA298" i="25" s="1"/>
  <c r="O15" i="31" s="1"/>
  <c r="AI59" i="25"/>
  <c r="AH59" i="25"/>
  <c r="AG59" i="25"/>
  <c r="AF59" i="25"/>
  <c r="AE59" i="25"/>
  <c r="AD59" i="25"/>
  <c r="AC59" i="25"/>
  <c r="AB59" i="25"/>
  <c r="AI57" i="25"/>
  <c r="AH57" i="25"/>
  <c r="AG57" i="25"/>
  <c r="AF57" i="25"/>
  <c r="AE57" i="25"/>
  <c r="AD57" i="25"/>
  <c r="AC57" i="25"/>
  <c r="AB57" i="25"/>
  <c r="AA57" i="25"/>
  <c r="AI54" i="25"/>
  <c r="AH54" i="25"/>
  <c r="AG54" i="25"/>
  <c r="AF54" i="25"/>
  <c r="AE54" i="25"/>
  <c r="AD54" i="25"/>
  <c r="AC54" i="25"/>
  <c r="AA54" i="25"/>
  <c r="Z54" i="25"/>
  <c r="Z296" i="25" s="1"/>
  <c r="N13" i="31" s="1"/>
  <c r="AI40" i="25"/>
  <c r="AH40" i="25"/>
  <c r="AG40" i="25"/>
  <c r="AF40" i="25"/>
  <c r="AE40" i="25"/>
  <c r="AD40" i="25"/>
  <c r="AC40" i="25"/>
  <c r="AB40" i="25"/>
  <c r="AA40" i="25"/>
  <c r="Z40" i="25"/>
  <c r="Z294" i="25" s="1"/>
  <c r="N11" i="31" s="1"/>
  <c r="AI39" i="25"/>
  <c r="AH39" i="25"/>
  <c r="AG39" i="25"/>
  <c r="AF39" i="25"/>
  <c r="AE39" i="25"/>
  <c r="AI38" i="25"/>
  <c r="AH38" i="25"/>
  <c r="AG38" i="25"/>
  <c r="AF38" i="25"/>
  <c r="AE38" i="25"/>
  <c r="AD38" i="25"/>
  <c r="AC38" i="25"/>
  <c r="AB38" i="25"/>
  <c r="AI37" i="25"/>
  <c r="AH37" i="25"/>
  <c r="AG37" i="25"/>
  <c r="AF37" i="25"/>
  <c r="AE37" i="25"/>
  <c r="AD37" i="25"/>
  <c r="AC37" i="25"/>
  <c r="AB37" i="25"/>
  <c r="AI36" i="25"/>
  <c r="AH36" i="25"/>
  <c r="AG36" i="25"/>
  <c r="AF36" i="25"/>
  <c r="AE36" i="25"/>
  <c r="Z36" i="25"/>
  <c r="AI14" i="25"/>
  <c r="AH14" i="25"/>
  <c r="AG14" i="25"/>
  <c r="AF14" i="25"/>
  <c r="AE14" i="25"/>
  <c r="AD14" i="25"/>
  <c r="AC14" i="25"/>
  <c r="AF298" i="25" l="1"/>
  <c r="T15" i="31" s="1"/>
  <c r="AB305" i="25"/>
  <c r="P20" i="31" s="1"/>
  <c r="Z277" i="25"/>
  <c r="AI305" i="25"/>
  <c r="W20" i="31" s="1"/>
  <c r="AA317" i="25"/>
  <c r="O32" i="31" s="1"/>
  <c r="AI317" i="25"/>
  <c r="W32" i="31" s="1"/>
  <c r="AD298" i="25"/>
  <c r="R15" i="31" s="1"/>
  <c r="Z307" i="25"/>
  <c r="N22" i="31" s="1"/>
  <c r="AF317" i="25"/>
  <c r="T32" i="31" s="1"/>
  <c r="AG317" i="25"/>
  <c r="U32" i="31" s="1"/>
  <c r="Z317" i="25"/>
  <c r="N32" i="31" s="1"/>
  <c r="AH305" i="25"/>
  <c r="V20" i="31" s="1"/>
  <c r="AH317" i="25"/>
  <c r="V32" i="31" s="1"/>
  <c r="AC298" i="25"/>
  <c r="Q15" i="31" s="1"/>
  <c r="AC305" i="25"/>
  <c r="Q20" i="31" s="1"/>
  <c r="AD305" i="25"/>
  <c r="R20" i="31" s="1"/>
  <c r="AD317" i="25"/>
  <c r="R32" i="31" s="1"/>
  <c r="AA308" i="25"/>
  <c r="O23" i="31" s="1"/>
  <c r="AH298" i="25"/>
  <c r="V15" i="31" s="1"/>
  <c r="AE296" i="25"/>
  <c r="S13" i="31" s="1"/>
  <c r="AD297" i="25"/>
  <c r="R14" i="31" s="1"/>
  <c r="E14" i="30"/>
  <c r="AA300" i="25"/>
  <c r="O35" i="31" s="1"/>
  <c r="AH311" i="25"/>
  <c r="V26" i="31" s="1"/>
  <c r="AI319" i="25"/>
  <c r="W34" i="31" s="1"/>
  <c r="AF296" i="25"/>
  <c r="T13" i="31" s="1"/>
  <c r="AE297" i="25"/>
  <c r="S14" i="31" s="1"/>
  <c r="AE298" i="25"/>
  <c r="S15" i="31" s="1"/>
  <c r="F14" i="30"/>
  <c r="AB300" i="25"/>
  <c r="P35" i="31" s="1"/>
  <c r="AA305" i="25"/>
  <c r="O20" i="31" s="1"/>
  <c r="AG306" i="25"/>
  <c r="U21" i="31" s="1"/>
  <c r="AA311" i="25"/>
  <c r="O26" i="31" s="1"/>
  <c r="AI311" i="25"/>
  <c r="W26" i="31" s="1"/>
  <c r="AH314" i="25"/>
  <c r="V29" i="31" s="1"/>
  <c r="AC292" i="25"/>
  <c r="Q9" i="31" s="1"/>
  <c r="D14" i="30"/>
  <c r="D28" i="30" s="1"/>
  <c r="Z300" i="25"/>
  <c r="N35" i="31" s="1"/>
  <c r="AG311" i="25"/>
  <c r="U26" i="31" s="1"/>
  <c r="AA319" i="25"/>
  <c r="O34" i="31" s="1"/>
  <c r="AD292" i="25"/>
  <c r="R9" i="31" s="1"/>
  <c r="AG296" i="25"/>
  <c r="U13" i="31" s="1"/>
  <c r="AF297" i="25"/>
  <c r="T14" i="31" s="1"/>
  <c r="G14" i="30"/>
  <c r="AH306" i="25"/>
  <c r="V21" i="31" s="1"/>
  <c r="AB311" i="25"/>
  <c r="P26" i="31" s="1"/>
  <c r="AA314" i="25"/>
  <c r="O29" i="31" s="1"/>
  <c r="AI314" i="25"/>
  <c r="W29" i="31" s="1"/>
  <c r="AF7" i="25"/>
  <c r="AF1" i="25" s="1"/>
  <c r="AF292" i="25"/>
  <c r="T9" i="31" s="1"/>
  <c r="AG292" i="25"/>
  <c r="U9" i="31" s="1"/>
  <c r="AH296" i="25"/>
  <c r="V13" i="31" s="1"/>
  <c r="AG297" i="25"/>
  <c r="U14" i="31" s="1"/>
  <c r="AG298" i="25"/>
  <c r="U15" i="31" s="1"/>
  <c r="H14" i="30"/>
  <c r="AE305" i="25"/>
  <c r="S20" i="31" s="1"/>
  <c r="AI306" i="25"/>
  <c r="W21" i="31" s="1"/>
  <c r="AC311" i="25"/>
  <c r="Q26" i="31" s="1"/>
  <c r="AB314" i="25"/>
  <c r="P29" i="31" s="1"/>
  <c r="AC317" i="25"/>
  <c r="Q32" i="31" s="1"/>
  <c r="AD296" i="25"/>
  <c r="R13" i="31" s="1"/>
  <c r="AE292" i="25"/>
  <c r="S9" i="31" s="1"/>
  <c r="AA7" i="25"/>
  <c r="AH292" i="25"/>
  <c r="V9" i="31" s="1"/>
  <c r="AA296" i="25"/>
  <c r="O13" i="31" s="1"/>
  <c r="AI296" i="25"/>
  <c r="W13" i="31" s="1"/>
  <c r="AH297" i="25"/>
  <c r="V14" i="31" s="1"/>
  <c r="I14" i="30"/>
  <c r="AF305" i="25"/>
  <c r="T20" i="31" s="1"/>
  <c r="AB307" i="25"/>
  <c r="P22" i="31" s="1"/>
  <c r="Z310" i="25"/>
  <c r="N25" i="31" s="1"/>
  <c r="AD311" i="25"/>
  <c r="R26" i="31" s="1"/>
  <c r="AC314" i="25"/>
  <c r="Q29" i="31" s="1"/>
  <c r="AF319" i="25"/>
  <c r="T34" i="31" s="1"/>
  <c r="AI292" i="25"/>
  <c r="W9" i="31" s="1"/>
  <c r="AA297" i="25"/>
  <c r="O14" i="31" s="1"/>
  <c r="AI297" i="25"/>
  <c r="W14" i="31" s="1"/>
  <c r="AI298" i="25"/>
  <c r="W15" i="31" s="1"/>
  <c r="AG305" i="25"/>
  <c r="U20" i="31" s="1"/>
  <c r="AC307" i="25"/>
  <c r="Q22" i="31" s="1"/>
  <c r="AA307" i="25"/>
  <c r="O22" i="31" s="1"/>
  <c r="AE311" i="25"/>
  <c r="S26" i="31" s="1"/>
  <c r="AD314" i="25"/>
  <c r="R29" i="31" s="1"/>
  <c r="AG319" i="25"/>
  <c r="U34" i="31" s="1"/>
  <c r="AE317" i="25"/>
  <c r="S32" i="31" s="1"/>
  <c r="AC297" i="25"/>
  <c r="Q14" i="31" s="1"/>
  <c r="Z293" i="25"/>
  <c r="N10" i="31" s="1"/>
  <c r="Z5" i="25"/>
  <c r="AC296" i="25"/>
  <c r="Q13" i="31" s="1"/>
  <c r="AB297" i="25"/>
  <c r="P14" i="31" s="1"/>
  <c r="AB298" i="25"/>
  <c r="P15" i="31" s="1"/>
  <c r="AF311" i="25"/>
  <c r="T26" i="31" s="1"/>
  <c r="AE314" i="25"/>
  <c r="S29" i="31" s="1"/>
  <c r="AH319" i="25"/>
  <c r="V34" i="31" s="1"/>
  <c r="AG7" i="25"/>
  <c r="AG1" i="25" s="1"/>
  <c r="AH7" i="25"/>
  <c r="AH1" i="25" s="1"/>
  <c r="AI7" i="25"/>
  <c r="AI1" i="25" s="1"/>
  <c r="Z7" i="25"/>
  <c r="AC7" i="25"/>
  <c r="AC1" i="25" s="1"/>
  <c r="AD7" i="25"/>
  <c r="AD1" i="25" s="1"/>
  <c r="AB7" i="25"/>
  <c r="AB1" i="25" s="1"/>
  <c r="AE7" i="25"/>
  <c r="AE1" i="25" s="1"/>
  <c r="J38" i="30"/>
  <c r="J40" i="30"/>
  <c r="I28" i="30"/>
  <c r="J20" i="30"/>
  <c r="G19" i="30"/>
  <c r="E17" i="30"/>
  <c r="E15" i="30"/>
  <c r="H19" i="30"/>
  <c r="F17" i="30"/>
  <c r="F15" i="30"/>
  <c r="G17" i="30"/>
  <c r="E24" i="30"/>
  <c r="G15" i="30"/>
  <c r="H17" i="30"/>
  <c r="F24" i="30"/>
  <c r="H15" i="30"/>
  <c r="G16" i="30"/>
  <c r="E18" i="30"/>
  <c r="G21" i="30"/>
  <c r="E22" i="30"/>
  <c r="G24" i="30"/>
  <c r="H18" i="30"/>
  <c r="H16" i="30"/>
  <c r="H21" i="30"/>
  <c r="F22" i="30"/>
  <c r="J23" i="30"/>
  <c r="H24" i="30"/>
  <c r="H22" i="30"/>
  <c r="G18" i="30"/>
  <c r="G22" i="30"/>
  <c r="CA54" i="25"/>
  <c r="CA65" i="25"/>
  <c r="CA68" i="25"/>
  <c r="CA72" i="25"/>
  <c r="CA76" i="25"/>
  <c r="CA124" i="25"/>
  <c r="CA144" i="25"/>
  <c r="CA151" i="25"/>
  <c r="CA164" i="25"/>
  <c r="CA194" i="25"/>
  <c r="CA202" i="25"/>
  <c r="CA256" i="25"/>
  <c r="CA273" i="25"/>
  <c r="CA37" i="25"/>
  <c r="CA38" i="25"/>
  <c r="CA57" i="25"/>
  <c r="CA66" i="25"/>
  <c r="CA69" i="25"/>
  <c r="CA73" i="25"/>
  <c r="CA77" i="25"/>
  <c r="CA126" i="25"/>
  <c r="CA147" i="25"/>
  <c r="CA155" i="25"/>
  <c r="CA165" i="25"/>
  <c r="CA195" i="25"/>
  <c r="CA208" i="25"/>
  <c r="CA257" i="25"/>
  <c r="CA274" i="25"/>
  <c r="CA14" i="25"/>
  <c r="CA39" i="25"/>
  <c r="CA59" i="25"/>
  <c r="CA70" i="25"/>
  <c r="CA74" i="25"/>
  <c r="CA97" i="25"/>
  <c r="CA127" i="25"/>
  <c r="CA148" i="25"/>
  <c r="CA156" i="25"/>
  <c r="CA170" i="25"/>
  <c r="CA196" i="25"/>
  <c r="CA254" i="25"/>
  <c r="CA258" i="25"/>
  <c r="CA275" i="25"/>
  <c r="CA36" i="25"/>
  <c r="CA40" i="25"/>
  <c r="CA61" i="25"/>
  <c r="CA67" i="25"/>
  <c r="CA71" i="25"/>
  <c r="CA75" i="25"/>
  <c r="CA123" i="25"/>
  <c r="CA128" i="25"/>
  <c r="CA149" i="25"/>
  <c r="CA159" i="25"/>
  <c r="CA189" i="25"/>
  <c r="CA200" i="25"/>
  <c r="CA255" i="25"/>
  <c r="CA272" i="25"/>
  <c r="AD225" i="25"/>
  <c r="W225" i="25" s="1"/>
  <c r="BU7" i="25"/>
  <c r="BS7" i="25"/>
  <c r="BR7" i="25"/>
  <c r="BY7" i="25"/>
  <c r="BQ7" i="25"/>
  <c r="BX7" i="25"/>
  <c r="BP7" i="25"/>
  <c r="BW7" i="25"/>
  <c r="BT7" i="25"/>
  <c r="BV7" i="25"/>
  <c r="X40" i="25"/>
  <c r="X61" i="25"/>
  <c r="X67" i="25"/>
  <c r="X75" i="25"/>
  <c r="X123" i="25"/>
  <c r="X128" i="25"/>
  <c r="X156" i="25"/>
  <c r="X208" i="25"/>
  <c r="X258" i="25"/>
  <c r="X282" i="25"/>
  <c r="X257" i="25"/>
  <c r="X274" i="25"/>
  <c r="X281" i="25"/>
  <c r="X37" i="25"/>
  <c r="X54" i="25"/>
  <c r="D13" i="31" s="1"/>
  <c r="E13" i="31" s="1"/>
  <c r="G13" i="31" s="1"/>
  <c r="X65" i="25"/>
  <c r="X170" i="25"/>
  <c r="X71" i="25"/>
  <c r="X36" i="25"/>
  <c r="X254" i="25"/>
  <c r="X38" i="25"/>
  <c r="X57" i="25"/>
  <c r="X66" i="25"/>
  <c r="X69" i="25"/>
  <c r="X77" i="25"/>
  <c r="X126" i="25"/>
  <c r="X144" i="25"/>
  <c r="X164" i="25"/>
  <c r="X189" i="25"/>
  <c r="X200" i="25"/>
  <c r="X255" i="25"/>
  <c r="X272" i="25"/>
  <c r="X279" i="25"/>
  <c r="X68" i="25"/>
  <c r="X72" i="25"/>
  <c r="X73" i="25"/>
  <c r="X124" i="25"/>
  <c r="X151" i="25"/>
  <c r="X159" i="25"/>
  <c r="X195" i="25"/>
  <c r="X275" i="25"/>
  <c r="X283" i="25"/>
  <c r="X148" i="25"/>
  <c r="X149" i="25"/>
  <c r="X14" i="25"/>
  <c r="X39" i="25"/>
  <c r="X59" i="25"/>
  <c r="X70" i="25"/>
  <c r="X74" i="25"/>
  <c r="X127" i="25"/>
  <c r="X147" i="25"/>
  <c r="X155" i="25"/>
  <c r="X165" i="25"/>
  <c r="X194" i="25"/>
  <c r="X256" i="25"/>
  <c r="X280" i="25"/>
  <c r="X97" i="25"/>
  <c r="X202" i="25"/>
  <c r="X273" i="25"/>
  <c r="J271" i="25"/>
  <c r="J270" i="25"/>
  <c r="F269" i="25"/>
  <c r="J269" i="25" s="1"/>
  <c r="J268" i="25"/>
  <c r="J267" i="25"/>
  <c r="J266" i="25"/>
  <c r="J264" i="25"/>
  <c r="F263" i="25"/>
  <c r="J263" i="25" s="1"/>
  <c r="J261" i="25"/>
  <c r="F260" i="25"/>
  <c r="J260" i="25" s="1"/>
  <c r="J259" i="25"/>
  <c r="K253" i="25"/>
  <c r="J252" i="25"/>
  <c r="K251" i="25"/>
  <c r="CI251" i="25" s="1"/>
  <c r="J250" i="25"/>
  <c r="M249" i="25"/>
  <c r="K248" i="25"/>
  <c r="J247" i="25"/>
  <c r="M246" i="25"/>
  <c r="CJ246" i="25" s="1"/>
  <c r="K245" i="25"/>
  <c r="CI245" i="25" s="1"/>
  <c r="J244" i="25"/>
  <c r="CH244" i="25" s="1"/>
  <c r="J243" i="25"/>
  <c r="J240" i="25"/>
  <c r="K239" i="25"/>
  <c r="J238" i="25"/>
  <c r="M237" i="25"/>
  <c r="K236" i="25"/>
  <c r="J235" i="25"/>
  <c r="K234" i="25"/>
  <c r="J233" i="25"/>
  <c r="J232" i="25"/>
  <c r="J231" i="25"/>
  <c r="M230" i="25"/>
  <c r="K229" i="25"/>
  <c r="CI229" i="25" s="1"/>
  <c r="J228" i="25"/>
  <c r="CH228" i="25" s="1"/>
  <c r="K227" i="25"/>
  <c r="CI227" i="25" s="1"/>
  <c r="J226" i="25"/>
  <c r="CH226" i="25" s="1"/>
  <c r="F224" i="25"/>
  <c r="J224" i="25" s="1"/>
  <c r="F223" i="25"/>
  <c r="J223" i="25" s="1"/>
  <c r="J221" i="25"/>
  <c r="J220" i="25"/>
  <c r="J219" i="25"/>
  <c r="J218" i="25"/>
  <c r="CH218" i="25" s="1"/>
  <c r="J217" i="25"/>
  <c r="CH217" i="25" s="1"/>
  <c r="F216" i="25"/>
  <c r="J216" i="25" s="1"/>
  <c r="CH216" i="25" s="1"/>
  <c r="K215" i="25"/>
  <c r="J213" i="25"/>
  <c r="J211" i="25"/>
  <c r="J210" i="25"/>
  <c r="J209" i="25"/>
  <c r="J206" i="25"/>
  <c r="J205" i="25"/>
  <c r="K204" i="25"/>
  <c r="J203" i="25"/>
  <c r="J201" i="25"/>
  <c r="F175" i="25"/>
  <c r="J175" i="25" s="1"/>
  <c r="M120" i="25"/>
  <c r="J118" i="25"/>
  <c r="K117" i="25"/>
  <c r="J116" i="25"/>
  <c r="K115" i="25"/>
  <c r="J114" i="25"/>
  <c r="J113" i="25"/>
  <c r="J112" i="25"/>
  <c r="CH112" i="25" s="1"/>
  <c r="M111" i="25"/>
  <c r="CJ111" i="25" s="1"/>
  <c r="K110" i="25"/>
  <c r="CI110" i="25" s="1"/>
  <c r="J109" i="25"/>
  <c r="CH109" i="25" s="1"/>
  <c r="F107" i="25"/>
  <c r="J107" i="25" s="1"/>
  <c r="CH107" i="25" s="1"/>
  <c r="G106" i="25"/>
  <c r="J105" i="25"/>
  <c r="K104" i="25"/>
  <c r="L90" i="25"/>
  <c r="L89" i="25"/>
  <c r="L68" i="25"/>
  <c r="K64" i="25"/>
  <c r="F63" i="25"/>
  <c r="J63" i="25" s="1"/>
  <c r="J58" i="25"/>
  <c r="J52" i="25"/>
  <c r="K51" i="25"/>
  <c r="J50" i="25"/>
  <c r="K49" i="25"/>
  <c r="J48" i="25"/>
  <c r="K47" i="25"/>
  <c r="J46" i="25"/>
  <c r="K45" i="25"/>
  <c r="J44" i="25"/>
  <c r="J43" i="25"/>
  <c r="J30" i="25"/>
  <c r="F29" i="25"/>
  <c r="J29" i="25" s="1"/>
  <c r="J28" i="25"/>
  <c r="K24" i="25"/>
  <c r="J23" i="25"/>
  <c r="J22" i="25"/>
  <c r="K21" i="25"/>
  <c r="J20" i="25"/>
  <c r="J19" i="25"/>
  <c r="J18" i="25"/>
  <c r="J17" i="25"/>
  <c r="J16" i="25"/>
  <c r="J13" i="25"/>
  <c r="J12" i="25"/>
  <c r="D32" i="31" l="1"/>
  <c r="E32" i="31" s="1"/>
  <c r="G32" i="31" s="1"/>
  <c r="D15" i="31"/>
  <c r="E15" i="31" s="1"/>
  <c r="G15" i="31" s="1"/>
  <c r="N36" i="31"/>
  <c r="M15" i="31"/>
  <c r="H15" i="31"/>
  <c r="M26" i="31"/>
  <c r="H26" i="31"/>
  <c r="I15" i="31"/>
  <c r="M20" i="31"/>
  <c r="I20" i="31"/>
  <c r="H20" i="31"/>
  <c r="I13" i="31"/>
  <c r="I26" i="31"/>
  <c r="I32" i="31"/>
  <c r="AD182" i="25"/>
  <c r="I9" i="31"/>
  <c r="I14" i="31"/>
  <c r="J14" i="30"/>
  <c r="Q14" i="30" s="1"/>
  <c r="N23" i="30"/>
  <c r="Q23" i="30"/>
  <c r="N20" i="30"/>
  <c r="Q20" i="30"/>
  <c r="L5" i="25"/>
  <c r="M5" i="25"/>
  <c r="J5" i="25"/>
  <c r="J10" i="25"/>
  <c r="E28" i="30"/>
  <c r="G28" i="30"/>
  <c r="H28" i="30"/>
  <c r="F28" i="30"/>
  <c r="J19" i="30"/>
  <c r="J22" i="30"/>
  <c r="J24" i="30"/>
  <c r="J17" i="30"/>
  <c r="J21" i="30"/>
  <c r="J18" i="30"/>
  <c r="K18" i="30" s="1"/>
  <c r="J15" i="30"/>
  <c r="J16" i="30"/>
  <c r="BQ298" i="25"/>
  <c r="BQ288" i="25"/>
  <c r="BQ297" i="25"/>
  <c r="BQ286" i="25"/>
  <c r="BQ291" i="25"/>
  <c r="G298" i="25"/>
  <c r="G317" i="25"/>
  <c r="Z320" i="25"/>
  <c r="Z321" i="25" s="1"/>
  <c r="BS8" i="25"/>
  <c r="BQ300" i="25"/>
  <c r="BW8" i="25"/>
  <c r="BV8" i="25"/>
  <c r="X297" i="25"/>
  <c r="X311" i="25"/>
  <c r="W311" i="25"/>
  <c r="X292" i="25"/>
  <c r="X317" i="25"/>
  <c r="X305" i="25"/>
  <c r="W305" i="25"/>
  <c r="BQ295" i="25"/>
  <c r="X298" i="25"/>
  <c r="W298" i="25"/>
  <c r="X313" i="25"/>
  <c r="X296" i="25"/>
  <c r="BY8" i="25"/>
  <c r="BR8" i="25"/>
  <c r="Z1" i="25"/>
  <c r="X7" i="25"/>
  <c r="Z8" i="25"/>
  <c r="AA1" i="25"/>
  <c r="AD161" i="25"/>
  <c r="X225" i="25"/>
  <c r="CA225" i="25"/>
  <c r="CB225" i="25" s="1"/>
  <c r="BU8" i="25"/>
  <c r="BQ8" i="25"/>
  <c r="BQ299" i="25"/>
  <c r="BT8" i="25"/>
  <c r="BQ296" i="25"/>
  <c r="BQ292" i="25"/>
  <c r="BQ285" i="25"/>
  <c r="BQ294" i="25"/>
  <c r="BP8" i="25"/>
  <c r="BX8" i="25"/>
  <c r="K101" i="25"/>
  <c r="N37" i="31" l="1"/>
  <c r="N14" i="30"/>
  <c r="AD177" i="25"/>
  <c r="AD145" i="25"/>
  <c r="AD185" i="25"/>
  <c r="AD183" i="25"/>
  <c r="X183" i="25" s="1"/>
  <c r="N24" i="30"/>
  <c r="Q24" i="30"/>
  <c r="N22" i="30"/>
  <c r="Q22" i="30"/>
  <c r="N19" i="30"/>
  <c r="Q19" i="30"/>
  <c r="N21" i="30"/>
  <c r="Q21" i="30"/>
  <c r="K5" i="25"/>
  <c r="J28" i="30"/>
  <c r="G29" i="30" s="1"/>
  <c r="K17" i="30"/>
  <c r="CA129" i="25"/>
  <c r="CB129" i="25" s="1"/>
  <c r="X129" i="25"/>
  <c r="CA182" i="25"/>
  <c r="CB182" i="25" s="1"/>
  <c r="X182" i="25"/>
  <c r="AE135" i="25"/>
  <c r="CA137" i="25"/>
  <c r="CB137" i="25" s="1"/>
  <c r="AE146" i="25"/>
  <c r="AE169" i="25"/>
  <c r="AE177" i="25"/>
  <c r="AE98" i="25"/>
  <c r="I41" i="30" s="1"/>
  <c r="J41" i="30" s="1"/>
  <c r="AE134" i="25"/>
  <c r="AE132" i="25"/>
  <c r="AE130" i="25"/>
  <c r="AE145" i="25"/>
  <c r="CA161" i="25"/>
  <c r="CB161" i="25" s="1"/>
  <c r="X161" i="25"/>
  <c r="AB3" i="25"/>
  <c r="AD3" i="25"/>
  <c r="X1" i="25"/>
  <c r="AF3" i="25"/>
  <c r="AG3" i="25"/>
  <c r="AI3" i="25"/>
  <c r="AA3" i="25"/>
  <c r="AE3" i="25"/>
  <c r="AH3" i="25"/>
  <c r="AC3" i="25"/>
  <c r="CA183" i="25" l="1"/>
  <c r="CB183" i="25" s="1"/>
  <c r="CA177" i="25"/>
  <c r="CB177" i="25" s="1"/>
  <c r="AD308" i="25"/>
  <c r="R23" i="31" s="1"/>
  <c r="X185" i="25"/>
  <c r="CA185" i="25"/>
  <c r="CB185" i="25" s="1"/>
  <c r="AE96" i="25"/>
  <c r="I39" i="30" s="1"/>
  <c r="J39" i="30" s="1"/>
  <c r="AF139" i="25"/>
  <c r="CA139" i="25" s="1"/>
  <c r="CB139" i="25" s="1"/>
  <c r="AF180" i="25"/>
  <c r="AF178" i="25"/>
  <c r="N28" i="30"/>
  <c r="B52" i="30" s="1"/>
  <c r="B53" i="30" s="1"/>
  <c r="J29" i="30"/>
  <c r="I29" i="30"/>
  <c r="E29" i="30"/>
  <c r="D29" i="30"/>
  <c r="H29" i="30"/>
  <c r="F29" i="30"/>
  <c r="CA145" i="25"/>
  <c r="CB145" i="25" s="1"/>
  <c r="X177" i="25"/>
  <c r="X2" i="25"/>
  <c r="Z4" i="25"/>
  <c r="X137" i="25"/>
  <c r="CA134" i="25"/>
  <c r="CB134" i="25" s="1"/>
  <c r="X134" i="25"/>
  <c r="CA96" i="25"/>
  <c r="CB96" i="25" s="1"/>
  <c r="J65" i="30"/>
  <c r="AF87" i="25" s="1"/>
  <c r="AF300" i="25" s="1"/>
  <c r="T35" i="31" s="1"/>
  <c r="AF190" i="25"/>
  <c r="AF154" i="25"/>
  <c r="AF166" i="25"/>
  <c r="AF173" i="25"/>
  <c r="AF152" i="25"/>
  <c r="AF171" i="25"/>
  <c r="AF174" i="25"/>
  <c r="AF168" i="25"/>
  <c r="AF150" i="25"/>
  <c r="AF153" i="25"/>
  <c r="CA169" i="25"/>
  <c r="CB169" i="25" s="1"/>
  <c r="X169" i="25"/>
  <c r="CA98" i="25"/>
  <c r="CB98" i="25" s="1"/>
  <c r="X98" i="25"/>
  <c r="CA130" i="25"/>
  <c r="CB130" i="25" s="1"/>
  <c r="X130" i="25"/>
  <c r="CA146" i="25"/>
  <c r="CB146" i="25" s="1"/>
  <c r="X146" i="25"/>
  <c r="CA135" i="25"/>
  <c r="CB135" i="25" s="1"/>
  <c r="X135" i="25"/>
  <c r="X145" i="25"/>
  <c r="CA132" i="25"/>
  <c r="CB132" i="25" s="1"/>
  <c r="X132" i="25"/>
  <c r="Z3" i="25"/>
  <c r="C21" i="1"/>
  <c r="D21" i="1"/>
  <c r="E21" i="1"/>
  <c r="F21" i="1"/>
  <c r="B21" i="1"/>
  <c r="X96" i="25" l="1"/>
  <c r="E58" i="30"/>
  <c r="E62" i="30" s="1"/>
  <c r="I58" i="30"/>
  <c r="F58" i="30"/>
  <c r="F62" i="30" s="1"/>
  <c r="X139" i="25"/>
  <c r="CA178" i="25"/>
  <c r="CB178" i="25" s="1"/>
  <c r="X178" i="25"/>
  <c r="X180" i="25"/>
  <c r="CA180" i="25"/>
  <c r="CB180" i="25" s="1"/>
  <c r="H58" i="30"/>
  <c r="H61" i="30" s="1"/>
  <c r="G58" i="30"/>
  <c r="D58" i="30"/>
  <c r="D59" i="30" s="1"/>
  <c r="E59" i="30" s="1"/>
  <c r="F59" i="30" s="1"/>
  <c r="AF309" i="25"/>
  <c r="T24" i="31" s="1"/>
  <c r="I61" i="30"/>
  <c r="D62" i="30"/>
  <c r="CA26" i="25"/>
  <c r="CA168" i="25"/>
  <c r="CB168" i="25" s="1"/>
  <c r="X168" i="25"/>
  <c r="CA171" i="25"/>
  <c r="CB171" i="25" s="1"/>
  <c r="X171" i="25"/>
  <c r="CA152" i="25"/>
  <c r="CB152" i="25" s="1"/>
  <c r="X152" i="25"/>
  <c r="K65" i="30"/>
  <c r="AG87" i="25" s="1"/>
  <c r="AG190" i="25"/>
  <c r="AG160" i="25"/>
  <c r="AG166" i="25"/>
  <c r="AG154" i="25"/>
  <c r="CA154" i="25" s="1"/>
  <c r="CB154" i="25" s="1"/>
  <c r="AG153" i="25"/>
  <c r="AG167" i="25"/>
  <c r="AG173" i="25"/>
  <c r="AG158" i="25"/>
  <c r="CA150" i="25"/>
  <c r="CB150" i="25" s="1"/>
  <c r="X150" i="25"/>
  <c r="CA174" i="25"/>
  <c r="CB174" i="25" s="1"/>
  <c r="X174" i="25"/>
  <c r="X26" i="25"/>
  <c r="X3" i="25"/>
  <c r="F23" i="1"/>
  <c r="E23" i="1"/>
  <c r="D23" i="1"/>
  <c r="C23" i="1"/>
  <c r="A20" i="21"/>
  <c r="A21" i="21" s="1"/>
  <c r="A76" i="21" s="1"/>
  <c r="H8" i="25"/>
  <c r="L8" i="25" s="1"/>
  <c r="G8" i="25"/>
  <c r="K8" i="25" s="1"/>
  <c r="F8" i="25"/>
  <c r="J8" i="25" s="1"/>
  <c r="V31" i="25" l="1"/>
  <c r="Y31" i="25" s="1"/>
  <c r="AH31" i="25" s="1"/>
  <c r="V199" i="25"/>
  <c r="Y199" i="25" s="1"/>
  <c r="AH199" i="25" s="1"/>
  <c r="G59" i="30"/>
  <c r="G61" i="30" s="1"/>
  <c r="N58" i="30"/>
  <c r="B58" i="30"/>
  <c r="AG309" i="25"/>
  <c r="U24" i="31" s="1"/>
  <c r="AG300" i="25"/>
  <c r="U35" i="31" s="1"/>
  <c r="AG308" i="25"/>
  <c r="U23" i="31" s="1"/>
  <c r="I64" i="30"/>
  <c r="I65" i="30" s="1"/>
  <c r="AE87" i="25" s="1"/>
  <c r="H64" i="30"/>
  <c r="H65" i="30" s="1"/>
  <c r="AD87" i="25" s="1"/>
  <c r="H59" i="30"/>
  <c r="I59" i="30" s="1"/>
  <c r="I62" i="30"/>
  <c r="H62" i="30"/>
  <c r="CA153" i="25"/>
  <c r="CB153" i="25" s="1"/>
  <c r="X154" i="25"/>
  <c r="CA160" i="25"/>
  <c r="CB160" i="25" s="1"/>
  <c r="X160" i="25"/>
  <c r="X153" i="25"/>
  <c r="CA158" i="25"/>
  <c r="CB158" i="25" s="1"/>
  <c r="X158" i="25"/>
  <c r="L65" i="30"/>
  <c r="AH87" i="25" s="1"/>
  <c r="AH300" i="25" s="1"/>
  <c r="V35" i="31" s="1"/>
  <c r="AH190" i="25"/>
  <c r="AH157" i="25"/>
  <c r="AH166" i="25"/>
  <c r="AH163" i="25"/>
  <c r="AH173" i="25"/>
  <c r="AH162" i="25"/>
  <c r="CA167" i="25"/>
  <c r="CB167" i="25" s="1"/>
  <c r="X167" i="25"/>
  <c r="V94" i="25"/>
  <c r="Y94" i="25" s="1"/>
  <c r="V93" i="25"/>
  <c r="Y93" i="25" s="1"/>
  <c r="V92" i="25"/>
  <c r="Y92" i="25" s="1"/>
  <c r="A75" i="21"/>
  <c r="V263" i="25"/>
  <c r="Y263" i="25" s="1"/>
  <c r="V250" i="25"/>
  <c r="Y250" i="25" s="1"/>
  <c r="V240" i="25"/>
  <c r="Y240" i="25" s="1"/>
  <c r="V232" i="25"/>
  <c r="Y232" i="25" s="1"/>
  <c r="V223" i="25"/>
  <c r="Y223" i="25" s="1"/>
  <c r="V214" i="25"/>
  <c r="Y214" i="25" s="1"/>
  <c r="V205" i="25"/>
  <c r="Y205" i="25" s="1"/>
  <c r="V116" i="25"/>
  <c r="Y116" i="25" s="1"/>
  <c r="V107" i="25"/>
  <c r="Y107" i="25" s="1"/>
  <c r="V50" i="25"/>
  <c r="Y50" i="25" s="1"/>
  <c r="V35" i="25"/>
  <c r="V24" i="25"/>
  <c r="Y24" i="25" s="1"/>
  <c r="V16" i="25"/>
  <c r="Y16" i="25" s="1"/>
  <c r="V271" i="25"/>
  <c r="Y271" i="25" s="1"/>
  <c r="V262" i="25"/>
  <c r="Y262" i="25" s="1"/>
  <c r="V249" i="25"/>
  <c r="Y249" i="25" s="1"/>
  <c r="V239" i="25"/>
  <c r="Y239" i="25" s="1"/>
  <c r="V231" i="25"/>
  <c r="Y231" i="25" s="1"/>
  <c r="V221" i="25"/>
  <c r="Y221" i="25" s="1"/>
  <c r="V213" i="25"/>
  <c r="Y213" i="25" s="1"/>
  <c r="V204" i="25"/>
  <c r="Y204" i="25" s="1"/>
  <c r="V115" i="25"/>
  <c r="Y115" i="25" s="1"/>
  <c r="V90" i="25"/>
  <c r="Y90" i="25" s="1"/>
  <c r="V49" i="25"/>
  <c r="Y49" i="25" s="1"/>
  <c r="V34" i="25"/>
  <c r="Y34" i="25" s="1"/>
  <c r="V23" i="25"/>
  <c r="Y23" i="25" s="1"/>
  <c r="V13" i="25"/>
  <c r="Y13" i="25" s="1"/>
  <c r="V270" i="25"/>
  <c r="Y270" i="25" s="1"/>
  <c r="V261" i="25"/>
  <c r="Y261" i="25" s="1"/>
  <c r="V248" i="25"/>
  <c r="Y248" i="25" s="1"/>
  <c r="V238" i="25"/>
  <c r="Y238" i="25" s="1"/>
  <c r="V230" i="25"/>
  <c r="Y230" i="25" s="1"/>
  <c r="V220" i="25"/>
  <c r="Y220" i="25" s="1"/>
  <c r="V212" i="25"/>
  <c r="Y212" i="25" s="1"/>
  <c r="V203" i="25"/>
  <c r="Y203" i="25" s="1"/>
  <c r="V114" i="25"/>
  <c r="Y114" i="25" s="1"/>
  <c r="V105" i="25"/>
  <c r="Y105" i="25" s="1"/>
  <c r="V48" i="25"/>
  <c r="Y48" i="25" s="1"/>
  <c r="V22" i="25"/>
  <c r="Y22" i="25" s="1"/>
  <c r="V269" i="25"/>
  <c r="Y269" i="25" s="1"/>
  <c r="V260" i="25"/>
  <c r="Y260" i="25" s="1"/>
  <c r="V247" i="25"/>
  <c r="Y247" i="25" s="1"/>
  <c r="V237" i="25"/>
  <c r="Y237" i="25" s="1"/>
  <c r="V229" i="25"/>
  <c r="Y229" i="25" s="1"/>
  <c r="AH229" i="25" s="1"/>
  <c r="V219" i="25"/>
  <c r="V211" i="25"/>
  <c r="Y211" i="25" s="1"/>
  <c r="V201" i="25"/>
  <c r="Y201" i="25" s="1"/>
  <c r="V113" i="25"/>
  <c r="Y113" i="25" s="1"/>
  <c r="V104" i="25"/>
  <c r="Y104" i="25" s="1"/>
  <c r="V64" i="25"/>
  <c r="Y64" i="25" s="1"/>
  <c r="V47" i="25"/>
  <c r="Y47" i="25" s="1"/>
  <c r="V33" i="25"/>
  <c r="Y33" i="25" s="1"/>
  <c r="V21" i="25"/>
  <c r="Y21" i="25" s="1"/>
  <c r="V268" i="25"/>
  <c r="Y268" i="25" s="1"/>
  <c r="V259" i="25"/>
  <c r="Y259" i="25" s="1"/>
  <c r="V246" i="25"/>
  <c r="Y246" i="25" s="1"/>
  <c r="V236" i="25"/>
  <c r="Y236" i="25" s="1"/>
  <c r="V228" i="25"/>
  <c r="Y228" i="25" s="1"/>
  <c r="V218" i="25"/>
  <c r="Y218" i="25" s="1"/>
  <c r="AH218" i="25" s="1"/>
  <c r="V210" i="25"/>
  <c r="Y210" i="25" s="1"/>
  <c r="V175" i="25"/>
  <c r="Y175" i="25" s="1"/>
  <c r="V120" i="25"/>
  <c r="Y120" i="25" s="1"/>
  <c r="V112" i="25"/>
  <c r="Y112" i="25" s="1"/>
  <c r="V102" i="25"/>
  <c r="Y102" i="25" s="1"/>
  <c r="V63" i="25"/>
  <c r="Y63" i="25" s="1"/>
  <c r="V46" i="25"/>
  <c r="Y46" i="25" s="1"/>
  <c r="V32" i="25"/>
  <c r="Y32" i="25" s="1"/>
  <c r="V20" i="25"/>
  <c r="Y20" i="25" s="1"/>
  <c r="V267" i="25"/>
  <c r="Y267" i="25" s="1"/>
  <c r="V253" i="25"/>
  <c r="Y253" i="25" s="1"/>
  <c r="V245" i="25"/>
  <c r="Y245" i="25" s="1"/>
  <c r="V235" i="25"/>
  <c r="Y235" i="25" s="1"/>
  <c r="V227" i="25"/>
  <c r="Y227" i="25" s="1"/>
  <c r="V217" i="25"/>
  <c r="Y217" i="25" s="1"/>
  <c r="V209" i="25"/>
  <c r="Y209" i="25" s="1"/>
  <c r="V140" i="25"/>
  <c r="Y140" i="25" s="1"/>
  <c r="V111" i="25"/>
  <c r="Y111" i="25" s="1"/>
  <c r="V58" i="25"/>
  <c r="Y58" i="25" s="1"/>
  <c r="V45" i="25"/>
  <c r="Y45" i="25" s="1"/>
  <c r="V30" i="25"/>
  <c r="Y30" i="25" s="1"/>
  <c r="V19" i="25"/>
  <c r="Y19" i="25" s="1"/>
  <c r="V266" i="25"/>
  <c r="Y266" i="25" s="1"/>
  <c r="V252" i="25"/>
  <c r="Y252" i="25" s="1"/>
  <c r="V244" i="25"/>
  <c r="Y244" i="25" s="1"/>
  <c r="AH244" i="25" s="1"/>
  <c r="V234" i="25"/>
  <c r="Y234" i="25" s="1"/>
  <c r="V208" i="25"/>
  <c r="V216" i="25"/>
  <c r="Y216" i="25" s="1"/>
  <c r="V117" i="25"/>
  <c r="Y117" i="25" s="1"/>
  <c r="V28" i="25"/>
  <c r="Y28" i="25" s="1"/>
  <c r="V243" i="25"/>
  <c r="Y243" i="25" s="1"/>
  <c r="V226" i="25"/>
  <c r="Y226" i="25" s="1"/>
  <c r="AH226" i="25" s="1"/>
  <c r="V18" i="25"/>
  <c r="Y18" i="25" s="1"/>
  <c r="V251" i="25"/>
  <c r="Y251" i="25" s="1"/>
  <c r="V12" i="25"/>
  <c r="Y12" i="25" s="1"/>
  <c r="V17" i="25"/>
  <c r="Y17" i="25" s="1"/>
  <c r="V264" i="25"/>
  <c r="Y264" i="25" s="1"/>
  <c r="V110" i="25"/>
  <c r="Y110" i="25" s="1"/>
  <c r="AH110" i="25" s="1"/>
  <c r="V43" i="25"/>
  <c r="Y43" i="25" s="1"/>
  <c r="V118" i="25"/>
  <c r="Y118" i="25" s="1"/>
  <c r="V51" i="25"/>
  <c r="Y51" i="25" s="1"/>
  <c r="V44" i="25"/>
  <c r="Y44" i="25" s="1"/>
  <c r="V215" i="25"/>
  <c r="V206" i="25"/>
  <c r="Y206" i="25" s="1"/>
  <c r="AF206" i="25" s="1"/>
  <c r="V52" i="25"/>
  <c r="Y52" i="25" s="1"/>
  <c r="V224" i="25"/>
  <c r="Y224" i="25" s="1"/>
  <c r="V109" i="25"/>
  <c r="Y109" i="25" s="1"/>
  <c r="V29" i="25"/>
  <c r="Y29" i="25" s="1"/>
  <c r="V233" i="25"/>
  <c r="Y233" i="25" s="1"/>
  <c r="AA109" i="25" l="1"/>
  <c r="AB109" i="25"/>
  <c r="AC109" i="25"/>
  <c r="AE109" i="25"/>
  <c r="AD109" i="25"/>
  <c r="AF109" i="25"/>
  <c r="AG109" i="25"/>
  <c r="AA228" i="25"/>
  <c r="AB228" i="25"/>
  <c r="AC228" i="25"/>
  <c r="AE228" i="25"/>
  <c r="AD228" i="25"/>
  <c r="AF228" i="25"/>
  <c r="AG228" i="25"/>
  <c r="AB224" i="25"/>
  <c r="AC224" i="25"/>
  <c r="AA110" i="25"/>
  <c r="AB110" i="25"/>
  <c r="AC110" i="25"/>
  <c r="AD110" i="25"/>
  <c r="AE110" i="25"/>
  <c r="AF110" i="25"/>
  <c r="AG110" i="25"/>
  <c r="AA227" i="25"/>
  <c r="AB227" i="25"/>
  <c r="AC227" i="25"/>
  <c r="AD227" i="25"/>
  <c r="AF227" i="25"/>
  <c r="AE227" i="25"/>
  <c r="AG227" i="25"/>
  <c r="AA104" i="25"/>
  <c r="AA302" i="25" s="1"/>
  <c r="O18" i="31" s="1"/>
  <c r="AC104" i="25"/>
  <c r="AC302" i="25" s="1"/>
  <c r="Q18" i="31" s="1"/>
  <c r="AB104" i="25"/>
  <c r="AB302" i="25" s="1"/>
  <c r="P18" i="31" s="1"/>
  <c r="AD104" i="25"/>
  <c r="AD302" i="25" s="1"/>
  <c r="R18" i="31" s="1"/>
  <c r="AE104" i="25"/>
  <c r="AE302" i="25" s="1"/>
  <c r="S18" i="31" s="1"/>
  <c r="AF104" i="25"/>
  <c r="AG104" i="25"/>
  <c r="AF220" i="25"/>
  <c r="AG220" i="25"/>
  <c r="AH109" i="25"/>
  <c r="AH303" i="25" s="1"/>
  <c r="V19" i="31" s="1"/>
  <c r="AA46" i="25"/>
  <c r="AC46" i="25"/>
  <c r="AB46" i="25"/>
  <c r="AD46" i="25"/>
  <c r="AE46" i="25"/>
  <c r="AF46" i="25"/>
  <c r="AG46" i="25"/>
  <c r="AA246" i="25"/>
  <c r="AB246" i="25"/>
  <c r="AC246" i="25"/>
  <c r="AD246" i="25"/>
  <c r="AE246" i="25"/>
  <c r="AF246" i="25"/>
  <c r="AG246" i="25"/>
  <c r="AH246" i="25"/>
  <c r="AH318" i="25" s="1"/>
  <c r="V33" i="31" s="1"/>
  <c r="AC217" i="25"/>
  <c r="AB217" i="25"/>
  <c r="AH46" i="25"/>
  <c r="AA216" i="25"/>
  <c r="AC216" i="25"/>
  <c r="AB216" i="25"/>
  <c r="AD216" i="25"/>
  <c r="AE216" i="25"/>
  <c r="AF216" i="25"/>
  <c r="AG216" i="25"/>
  <c r="AA245" i="25"/>
  <c r="AB245" i="25"/>
  <c r="AC245" i="25"/>
  <c r="AE245" i="25"/>
  <c r="AD245" i="25"/>
  <c r="AF245" i="25"/>
  <c r="AG245" i="25"/>
  <c r="AB262" i="25"/>
  <c r="AC262" i="25"/>
  <c r="AE262" i="25"/>
  <c r="AD262" i="25"/>
  <c r="AH245" i="25"/>
  <c r="AC266" i="25"/>
  <c r="AD266" i="25"/>
  <c r="AB268" i="25"/>
  <c r="AC268" i="25"/>
  <c r="AH227" i="25"/>
  <c r="AC243" i="25"/>
  <c r="AB243" i="25"/>
  <c r="Y215" i="25"/>
  <c r="AA251" i="25"/>
  <c r="AB251" i="25"/>
  <c r="AC251" i="25"/>
  <c r="AE251" i="25"/>
  <c r="AD251" i="25"/>
  <c r="AF251" i="25"/>
  <c r="AG251" i="25"/>
  <c r="AB261" i="25"/>
  <c r="AC261" i="25"/>
  <c r="AC223" i="25"/>
  <c r="AD223" i="25"/>
  <c r="AD316" i="25" s="1"/>
  <c r="R31" i="31" s="1"/>
  <c r="AH216" i="25"/>
  <c r="AH251" i="25"/>
  <c r="AA244" i="25"/>
  <c r="AB244" i="25"/>
  <c r="AC244" i="25"/>
  <c r="AE244" i="25"/>
  <c r="AD244" i="25"/>
  <c r="AF244" i="25"/>
  <c r="AG244" i="25"/>
  <c r="AA229" i="25"/>
  <c r="AC229" i="25"/>
  <c r="AB229" i="25"/>
  <c r="AE229" i="25"/>
  <c r="AD229" i="25"/>
  <c r="AF229" i="25"/>
  <c r="AG229" i="25"/>
  <c r="AF232" i="25"/>
  <c r="AG232" i="25"/>
  <c r="AH104" i="25"/>
  <c r="AH302" i="25" s="1"/>
  <c r="V18" i="31" s="1"/>
  <c r="AA199" i="25"/>
  <c r="AA310" i="25" s="1"/>
  <c r="O25" i="31" s="1"/>
  <c r="AC199" i="25"/>
  <c r="AC310" i="25" s="1"/>
  <c r="Q25" i="31" s="1"/>
  <c r="AB199" i="25"/>
  <c r="AB310" i="25" s="1"/>
  <c r="P25" i="31" s="1"/>
  <c r="AD199" i="25"/>
  <c r="AD310" i="25" s="1"/>
  <c r="R25" i="31" s="1"/>
  <c r="AE199" i="25"/>
  <c r="AE310" i="25" s="1"/>
  <c r="S25" i="31" s="1"/>
  <c r="AF199" i="25"/>
  <c r="AF310" i="25" s="1"/>
  <c r="T25" i="31" s="1"/>
  <c r="AG199" i="25"/>
  <c r="AG310" i="25" s="1"/>
  <c r="U25" i="31" s="1"/>
  <c r="AA226" i="25"/>
  <c r="AC226" i="25"/>
  <c r="AB226" i="25"/>
  <c r="AD226" i="25"/>
  <c r="AE226" i="25"/>
  <c r="AF226" i="25"/>
  <c r="AG226" i="25"/>
  <c r="AA218" i="25"/>
  <c r="AB218" i="25"/>
  <c r="AC218" i="25"/>
  <c r="AD218" i="25"/>
  <c r="AE218" i="25"/>
  <c r="AF218" i="25"/>
  <c r="AG218" i="25"/>
  <c r="AA47" i="25"/>
  <c r="AB47" i="25"/>
  <c r="AC47" i="25"/>
  <c r="AD47" i="25"/>
  <c r="AE47" i="25"/>
  <c r="AF47" i="25"/>
  <c r="AG47" i="25"/>
  <c r="AF221" i="25"/>
  <c r="AG221" i="25"/>
  <c r="AH228" i="25"/>
  <c r="AH47" i="25"/>
  <c r="AH294" i="25" s="1"/>
  <c r="V11" i="31" s="1"/>
  <c r="AA31" i="25"/>
  <c r="AC31" i="25"/>
  <c r="AB31" i="25"/>
  <c r="AE31" i="25"/>
  <c r="AD31" i="25"/>
  <c r="AF31" i="25"/>
  <c r="AG31" i="25"/>
  <c r="AH316" i="25"/>
  <c r="V31" i="31" s="1"/>
  <c r="AH310" i="25"/>
  <c r="AI228" i="25"/>
  <c r="AI104" i="25"/>
  <c r="AI31" i="25"/>
  <c r="AI244" i="25"/>
  <c r="AI246" i="25"/>
  <c r="AI226" i="25"/>
  <c r="AI110" i="25"/>
  <c r="X110" i="25" s="1"/>
  <c r="AI47" i="25"/>
  <c r="AI218" i="25"/>
  <c r="AI227" i="25"/>
  <c r="AI251" i="25"/>
  <c r="AI245" i="25"/>
  <c r="AI216" i="25"/>
  <c r="AI109" i="25"/>
  <c r="AI46" i="25"/>
  <c r="AI229" i="25"/>
  <c r="AI199" i="25"/>
  <c r="AI310" i="25" s="1"/>
  <c r="W25" i="31" s="1"/>
  <c r="AH307" i="25"/>
  <c r="V22" i="31" s="1"/>
  <c r="AH309" i="25"/>
  <c r="V24" i="31" s="1"/>
  <c r="AD300" i="25"/>
  <c r="R35" i="31" s="1"/>
  <c r="AE300" i="25"/>
  <c r="S35" i="31" s="1"/>
  <c r="AH308" i="25"/>
  <c r="V23" i="31" s="1"/>
  <c r="AB318" i="25"/>
  <c r="P33" i="31" s="1"/>
  <c r="AD307" i="25"/>
  <c r="R22" i="31" s="1"/>
  <c r="AG210" i="25"/>
  <c r="AG323" i="25" s="1"/>
  <c r="AF210" i="25"/>
  <c r="AF323" i="25" s="1"/>
  <c r="AG209" i="25"/>
  <c r="AF209" i="25"/>
  <c r="G62" i="30"/>
  <c r="N62" i="30" s="1"/>
  <c r="G64" i="30"/>
  <c r="Y219" i="25"/>
  <c r="AJ94" i="25"/>
  <c r="M65" i="30"/>
  <c r="AI87" i="25" s="1"/>
  <c r="AI190" i="25"/>
  <c r="AI309" i="25" s="1"/>
  <c r="W24" i="31" s="1"/>
  <c r="AI163" i="25"/>
  <c r="X163" i="25" s="1"/>
  <c r="AI166" i="25"/>
  <c r="X166" i="25" s="1"/>
  <c r="AI162" i="25"/>
  <c r="CA162" i="25" s="1"/>
  <c r="CB162" i="25" s="1"/>
  <c r="AI157" i="25"/>
  <c r="AI173" i="25"/>
  <c r="X206" i="25"/>
  <c r="CA206" i="25"/>
  <c r="CB206" i="25" s="1"/>
  <c r="AJ92" i="25"/>
  <c r="X92" i="25"/>
  <c r="AG307" i="25"/>
  <c r="U22" i="31" s="1"/>
  <c r="AF307" i="25"/>
  <c r="T22" i="31" s="1"/>
  <c r="AG213" i="25"/>
  <c r="AF213" i="25"/>
  <c r="AG214" i="25"/>
  <c r="AF214" i="25"/>
  <c r="AF212" i="25"/>
  <c r="AG212" i="25"/>
  <c r="AF211" i="25"/>
  <c r="AG211" i="25"/>
  <c r="AE33" i="25"/>
  <c r="AD33" i="25"/>
  <c r="AC33" i="25"/>
  <c r="AF33" i="25"/>
  <c r="AF215" i="25"/>
  <c r="AG215" i="25"/>
  <c r="AG120" i="25"/>
  <c r="AF120" i="25"/>
  <c r="AF301" i="25" s="1"/>
  <c r="T17" i="31" s="1"/>
  <c r="AE140" i="25"/>
  <c r="AF140" i="25"/>
  <c r="AE175" i="25"/>
  <c r="AF175" i="25"/>
  <c r="AD107" i="25"/>
  <c r="AC107" i="25"/>
  <c r="AJ102" i="25"/>
  <c r="AJ301" i="25" s="1"/>
  <c r="X17" i="31" s="1"/>
  <c r="AF105" i="25"/>
  <c r="AG105" i="25"/>
  <c r="AH28" i="25"/>
  <c r="AG28" i="25"/>
  <c r="AD34" i="25"/>
  <c r="AC34" i="25"/>
  <c r="X35" i="25"/>
  <c r="AD30" i="25"/>
  <c r="AE30" i="25"/>
  <c r="AC32" i="25"/>
  <c r="AD32" i="25"/>
  <c r="AE29" i="25"/>
  <c r="AD29" i="25"/>
  <c r="D15" i="26"/>
  <c r="D16" i="26" s="1"/>
  <c r="C15" i="26"/>
  <c r="C16" i="26" s="1"/>
  <c r="F14" i="26"/>
  <c r="E14" i="26"/>
  <c r="D14" i="26"/>
  <c r="C14" i="26"/>
  <c r="AE316" i="25" l="1"/>
  <c r="S31" i="31" s="1"/>
  <c r="AC318" i="25"/>
  <c r="Q33" i="31" s="1"/>
  <c r="AF294" i="25"/>
  <c r="T11" i="31" s="1"/>
  <c r="AA316" i="25"/>
  <c r="O31" i="31" s="1"/>
  <c r="AE303" i="25"/>
  <c r="S19" i="31" s="1"/>
  <c r="AA318" i="25"/>
  <c r="O33" i="31" s="1"/>
  <c r="AD315" i="25"/>
  <c r="R30" i="31" s="1"/>
  <c r="X244" i="25"/>
  <c r="AM41" i="37" s="1"/>
  <c r="AE318" i="25"/>
  <c r="S33" i="31" s="1"/>
  <c r="AH215" i="25"/>
  <c r="AH5" i="25" s="1"/>
  <c r="AE215" i="25"/>
  <c r="AE277" i="25" s="1"/>
  <c r="X246" i="25"/>
  <c r="AA6" i="25"/>
  <c r="BQ6" i="25"/>
  <c r="BQ5" i="25" s="1"/>
  <c r="AA5" i="25"/>
  <c r="AA277" i="25"/>
  <c r="AA293" i="25"/>
  <c r="AG294" i="25"/>
  <c r="U11" i="31" s="1"/>
  <c r="AG303" i="25"/>
  <c r="U19" i="31" s="1"/>
  <c r="AF303" i="25"/>
  <c r="T19" i="31" s="1"/>
  <c r="X251" i="25"/>
  <c r="AE294" i="25"/>
  <c r="S11" i="31" s="1"/>
  <c r="X227" i="25"/>
  <c r="AG318" i="25"/>
  <c r="U33" i="31" s="1"/>
  <c r="AB219" i="25"/>
  <c r="AB316" i="25" s="1"/>
  <c r="P31" i="31" s="1"/>
  <c r="AC219" i="25"/>
  <c r="AC316" i="25" s="1"/>
  <c r="Q31" i="31" s="1"/>
  <c r="X228" i="25"/>
  <c r="AM39" i="37" s="1"/>
  <c r="AF318" i="25"/>
  <c r="T33" i="31" s="1"/>
  <c r="AA315" i="25"/>
  <c r="O30" i="31" s="1"/>
  <c r="AB294" i="25"/>
  <c r="P11" i="31" s="1"/>
  <c r="X229" i="25"/>
  <c r="X47" i="25"/>
  <c r="AD318" i="25"/>
  <c r="R33" i="31" s="1"/>
  <c r="AB303" i="25"/>
  <c r="P19" i="31" s="1"/>
  <c r="AB293" i="25"/>
  <c r="P10" i="31" s="1"/>
  <c r="AA294" i="25"/>
  <c r="O11" i="31" s="1"/>
  <c r="AA303" i="25"/>
  <c r="O19" i="31" s="1"/>
  <c r="AI294" i="25"/>
  <c r="W11" i="31" s="1"/>
  <c r="AI315" i="25"/>
  <c r="W30" i="31" s="1"/>
  <c r="H24" i="31"/>
  <c r="AI277" i="25"/>
  <c r="AI293" i="25"/>
  <c r="W10" i="31" s="1"/>
  <c r="X31" i="25"/>
  <c r="AJ216" i="25"/>
  <c r="AJ228" i="25"/>
  <c r="AJ104" i="25"/>
  <c r="AJ302" i="25" s="1"/>
  <c r="X18" i="31" s="1"/>
  <c r="AJ31" i="25"/>
  <c r="AJ244" i="25"/>
  <c r="AJ246" i="25"/>
  <c r="AJ226" i="25"/>
  <c r="AJ110" i="25"/>
  <c r="AJ47" i="25"/>
  <c r="AJ218" i="25"/>
  <c r="AJ227" i="25"/>
  <c r="AJ251" i="25"/>
  <c r="AJ229" i="25"/>
  <c r="AJ46" i="25"/>
  <c r="AJ245" i="25"/>
  <c r="AJ109" i="25"/>
  <c r="AJ303" i="25" s="1"/>
  <c r="X19" i="31" s="1"/>
  <c r="AJ199" i="25"/>
  <c r="AJ310" i="25" s="1"/>
  <c r="X25" i="31" s="1"/>
  <c r="AD277" i="25"/>
  <c r="AI302" i="25"/>
  <c r="W18" i="31" s="1"/>
  <c r="X104" i="25"/>
  <c r="X46" i="25"/>
  <c r="AM29" i="37" s="1"/>
  <c r="AG277" i="25"/>
  <c r="X199" i="25"/>
  <c r="M24" i="31"/>
  <c r="AF277" i="25"/>
  <c r="V25" i="31"/>
  <c r="I25" i="31" s="1"/>
  <c r="X310" i="25"/>
  <c r="I24" i="31"/>
  <c r="AJ93" i="25"/>
  <c r="AI303" i="25"/>
  <c r="W19" i="31" s="1"/>
  <c r="X109" i="25"/>
  <c r="AM32" i="37" s="1"/>
  <c r="AI316" i="25"/>
  <c r="W31" i="31" s="1"/>
  <c r="X226" i="25"/>
  <c r="U218" i="25" a="1"/>
  <c r="U218" i="25" s="1"/>
  <c r="U244" i="25" a="1"/>
  <c r="U244" i="25" s="1"/>
  <c r="AG315" i="25"/>
  <c r="U30" i="31" s="1"/>
  <c r="AB319" i="25"/>
  <c r="P34" i="31" s="1"/>
  <c r="AC319" i="25"/>
  <c r="Q34" i="31" s="1"/>
  <c r="AF316" i="25"/>
  <c r="T31" i="31" s="1"/>
  <c r="AG316" i="25"/>
  <c r="U31" i="31" s="1"/>
  <c r="AG314" i="25"/>
  <c r="U29" i="31" s="1"/>
  <c r="AF306" i="25"/>
  <c r="T21" i="31" s="1"/>
  <c r="AI300" i="25"/>
  <c r="W35" i="31" s="1"/>
  <c r="AI5" i="25"/>
  <c r="AF302" i="25"/>
  <c r="T18" i="31" s="1"/>
  <c r="AC293" i="25"/>
  <c r="Q10" i="31" s="1"/>
  <c r="AG302" i="25"/>
  <c r="U18" i="31" s="1"/>
  <c r="AG301" i="25"/>
  <c r="AC315" i="25"/>
  <c r="Q30" i="31" s="1"/>
  <c r="AH293" i="25"/>
  <c r="V10" i="31" s="1"/>
  <c r="AF315" i="25"/>
  <c r="T30" i="31" s="1"/>
  <c r="CA173" i="25"/>
  <c r="CB173" i="25" s="1"/>
  <c r="AI308" i="25"/>
  <c r="W23" i="31" s="1"/>
  <c r="AF6" i="25"/>
  <c r="AF4" i="25" s="1"/>
  <c r="AX45" i="37" s="1"/>
  <c r="AF293" i="25"/>
  <c r="T10" i="31" s="1"/>
  <c r="AF5" i="25"/>
  <c r="AI307" i="25"/>
  <c r="W22" i="31" s="1"/>
  <c r="AD319" i="25"/>
  <c r="R34" i="31" s="1"/>
  <c r="AB315" i="25"/>
  <c r="P30" i="31" s="1"/>
  <c r="AC303" i="25"/>
  <c r="Q19" i="31" s="1"/>
  <c r="AC294" i="25"/>
  <c r="Q11" i="31" s="1"/>
  <c r="AD303" i="25"/>
  <c r="R19" i="31" s="1"/>
  <c r="AE307" i="25"/>
  <c r="S22" i="31" s="1"/>
  <c r="M22" i="31" s="1"/>
  <c r="AE319" i="25"/>
  <c r="S34" i="31" s="1"/>
  <c r="AE306" i="25"/>
  <c r="S21" i="31" s="1"/>
  <c r="AI318" i="25"/>
  <c r="W33" i="31" s="1"/>
  <c r="AD293" i="25"/>
  <c r="R10" i="31" s="1"/>
  <c r="AD5" i="25"/>
  <c r="AD294" i="25"/>
  <c r="R11" i="31" s="1"/>
  <c r="AF308" i="25"/>
  <c r="T23" i="31" s="1"/>
  <c r="AE293" i="25"/>
  <c r="S10" i="31" s="1"/>
  <c r="AG293" i="25"/>
  <c r="U10" i="31" s="1"/>
  <c r="AG5" i="25"/>
  <c r="AE308" i="25"/>
  <c r="S23" i="31" s="1"/>
  <c r="AF314" i="25"/>
  <c r="T29" i="31" s="1"/>
  <c r="X245" i="25"/>
  <c r="AD6" i="25"/>
  <c r="AD4" i="25" s="1"/>
  <c r="AV45" i="37" s="1"/>
  <c r="AG6" i="25"/>
  <c r="AG8" i="25" s="1"/>
  <c r="AI6" i="25"/>
  <c r="AI4" i="25" s="1"/>
  <c r="BA45" i="37" s="1"/>
  <c r="W224" i="25"/>
  <c r="W221" i="25"/>
  <c r="W220" i="25"/>
  <c r="W232" i="25"/>
  <c r="W223" i="25"/>
  <c r="CA157" i="25"/>
  <c r="CB157" i="25" s="1"/>
  <c r="X190" i="25"/>
  <c r="X82" i="25"/>
  <c r="X173" i="25"/>
  <c r="CA221" i="25"/>
  <c r="CB221" i="25" s="1"/>
  <c r="CA243" i="25"/>
  <c r="CB243" i="25" s="1"/>
  <c r="CA120" i="25"/>
  <c r="CB120" i="25" s="1"/>
  <c r="CA223" i="25"/>
  <c r="CB223" i="25" s="1"/>
  <c r="CA32" i="25"/>
  <c r="CB32" i="25" s="1"/>
  <c r="CA163" i="25"/>
  <c r="CB163" i="25" s="1"/>
  <c r="CA175" i="25"/>
  <c r="CB175" i="25" s="1"/>
  <c r="CA82" i="25"/>
  <c r="CB82" i="25" s="1"/>
  <c r="CA166" i="25"/>
  <c r="CB166" i="25" s="1"/>
  <c r="CA140" i="25"/>
  <c r="CB140" i="25" s="1"/>
  <c r="CA210" i="25"/>
  <c r="CB210" i="25" s="1"/>
  <c r="CA232" i="25"/>
  <c r="CB232" i="25" s="1"/>
  <c r="CA34" i="25"/>
  <c r="CB34" i="25" s="1"/>
  <c r="CA209" i="25"/>
  <c r="CB209" i="25" s="1"/>
  <c r="X157" i="25"/>
  <c r="CA29" i="25"/>
  <c r="CB29" i="25" s="1"/>
  <c r="CA28" i="25"/>
  <c r="CB28" i="25" s="1"/>
  <c r="CA33" i="25"/>
  <c r="CB33" i="25" s="1"/>
  <c r="CA211" i="25"/>
  <c r="CB211" i="25" s="1"/>
  <c r="CA224" i="25"/>
  <c r="CB224" i="25" s="1"/>
  <c r="CA214" i="25"/>
  <c r="CB214" i="25" s="1"/>
  <c r="X261" i="25"/>
  <c r="CA261" i="25"/>
  <c r="CB261" i="25" s="1"/>
  <c r="CA266" i="25"/>
  <c r="CB266" i="25" s="1"/>
  <c r="X220" i="25"/>
  <c r="CA220" i="25"/>
  <c r="CB220" i="25" s="1"/>
  <c r="X268" i="25"/>
  <c r="CA268" i="25"/>
  <c r="CB268" i="25" s="1"/>
  <c r="X162" i="25"/>
  <c r="U107" i="25" a="1"/>
  <c r="U107" i="25" s="1"/>
  <c r="CA107" i="25"/>
  <c r="CB107" i="25" s="1"/>
  <c r="CA105" i="25"/>
  <c r="CB105" i="25" s="1"/>
  <c r="U102" i="25" a="1"/>
  <c r="U102" i="25" s="1"/>
  <c r="CA217" i="25"/>
  <c r="CB217" i="25" s="1"/>
  <c r="X213" i="25"/>
  <c r="CA213" i="25"/>
  <c r="CB213" i="25" s="1"/>
  <c r="AJ89" i="25"/>
  <c r="AJ300" i="25" s="1"/>
  <c r="X35" i="31" s="1"/>
  <c r="CA190" i="25"/>
  <c r="CB190" i="25" s="1"/>
  <c r="U30" i="25" a="1"/>
  <c r="U30" i="25" s="1"/>
  <c r="CA30" i="25"/>
  <c r="CB30" i="25" s="1"/>
  <c r="CA212" i="25"/>
  <c r="CB212" i="25" s="1"/>
  <c r="CA262" i="25"/>
  <c r="CB262" i="25" s="1"/>
  <c r="BW6" i="25"/>
  <c r="BY6" i="25"/>
  <c r="BR6" i="25"/>
  <c r="BV6" i="25"/>
  <c r="BT6" i="25"/>
  <c r="X93" i="25"/>
  <c r="X94" i="25"/>
  <c r="U224" i="25" a="1"/>
  <c r="U224" i="25" s="1"/>
  <c r="X224" i="25"/>
  <c r="U223" i="25" a="1"/>
  <c r="U223" i="25" s="1"/>
  <c r="X223" i="25"/>
  <c r="U217" i="25" a="1"/>
  <c r="U217" i="25" s="1"/>
  <c r="X221" i="25"/>
  <c r="U232" i="25" a="1"/>
  <c r="U232" i="25" s="1"/>
  <c r="X232" i="25"/>
  <c r="X240" i="25"/>
  <c r="U266" i="25" a="1"/>
  <c r="U266" i="25" s="1"/>
  <c r="X266" i="25"/>
  <c r="U32" i="25" a="1"/>
  <c r="U32" i="25" s="1"/>
  <c r="X212" i="25"/>
  <c r="X262" i="25"/>
  <c r="X211" i="25"/>
  <c r="X218" i="25"/>
  <c r="AM36" i="37" s="1"/>
  <c r="X214" i="25"/>
  <c r="U29" i="25" a="1"/>
  <c r="U29" i="25" s="1"/>
  <c r="X217" i="25"/>
  <c r="X216" i="25"/>
  <c r="X210" i="25"/>
  <c r="X209" i="25"/>
  <c r="U28" i="25" a="1"/>
  <c r="U28" i="25" s="1"/>
  <c r="X28" i="25"/>
  <c r="U175" i="25" a="1"/>
  <c r="U175" i="25" s="1"/>
  <c r="X175" i="25"/>
  <c r="U120" i="25" a="1"/>
  <c r="U120" i="25" s="1"/>
  <c r="X120" i="25"/>
  <c r="U140" i="25" a="1"/>
  <c r="U140" i="25" s="1"/>
  <c r="X140" i="25"/>
  <c r="X33" i="25"/>
  <c r="U33" i="25" a="1"/>
  <c r="U33" i="25" s="1"/>
  <c r="U105" i="25" a="1"/>
  <c r="U105" i="25" s="1"/>
  <c r="X105" i="25"/>
  <c r="X107" i="25"/>
  <c r="X34" i="25"/>
  <c r="D11" i="31" s="1"/>
  <c r="E11" i="31" s="1"/>
  <c r="G11" i="31" s="1"/>
  <c r="U34" i="25" a="1"/>
  <c r="U34" i="25" s="1"/>
  <c r="X30" i="25"/>
  <c r="X32" i="25"/>
  <c r="X29" i="25"/>
  <c r="X243" i="25"/>
  <c r="AH315" i="25" l="1"/>
  <c r="V30" i="31" s="1"/>
  <c r="AH6" i="25"/>
  <c r="BX6" i="25"/>
  <c r="D33" i="31"/>
  <c r="E33" i="31" s="1"/>
  <c r="G33" i="31" s="1"/>
  <c r="BU6" i="25"/>
  <c r="CA215" i="25"/>
  <c r="CB215" i="25" s="1"/>
  <c r="AB324" i="25"/>
  <c r="AB5" i="25"/>
  <c r="AH277" i="25"/>
  <c r="X215" i="25"/>
  <c r="AE6" i="25"/>
  <c r="AE4" i="25" s="1"/>
  <c r="AW45" i="37" s="1"/>
  <c r="AE5" i="25"/>
  <c r="AE315" i="25"/>
  <c r="S30" i="31" s="1"/>
  <c r="S36" i="31" s="1"/>
  <c r="O10" i="31"/>
  <c r="O36" i="31" s="1"/>
  <c r="AA320" i="25"/>
  <c r="AB6" i="25"/>
  <c r="BR5" i="25" s="1"/>
  <c r="AB277" i="25"/>
  <c r="AA8" i="25"/>
  <c r="AA4" i="25"/>
  <c r="AS45" i="37" s="1"/>
  <c r="T36" i="31"/>
  <c r="AJ318" i="25"/>
  <c r="X33" i="31" s="1"/>
  <c r="R36" i="31"/>
  <c r="H21" i="31"/>
  <c r="I21" i="31"/>
  <c r="M21" i="31"/>
  <c r="H23" i="31"/>
  <c r="I23" i="31"/>
  <c r="M23" i="31"/>
  <c r="I34" i="31"/>
  <c r="H22" i="31"/>
  <c r="P36" i="31"/>
  <c r="I33" i="31"/>
  <c r="AJ277" i="25"/>
  <c r="AJ293" i="25"/>
  <c r="X10" i="31" s="1"/>
  <c r="X301" i="25"/>
  <c r="U17" i="31"/>
  <c r="I22" i="31"/>
  <c r="AJ315" i="25"/>
  <c r="X30" i="31" s="1"/>
  <c r="D34" i="31"/>
  <c r="E34" i="31" s="1"/>
  <c r="G34" i="31" s="1"/>
  <c r="I31" i="31"/>
  <c r="I18" i="31"/>
  <c r="D10" i="31"/>
  <c r="E10" i="31" s="1"/>
  <c r="G10" i="31" s="1"/>
  <c r="I29" i="31"/>
  <c r="H29" i="31"/>
  <c r="I11" i="31"/>
  <c r="AJ316" i="25"/>
  <c r="X31" i="31" s="1"/>
  <c r="W36" i="31"/>
  <c r="AK244" i="25"/>
  <c r="AK47" i="25"/>
  <c r="AK216" i="25"/>
  <c r="AK226" i="25"/>
  <c r="AK110" i="25"/>
  <c r="AK228" i="25"/>
  <c r="AK104" i="25"/>
  <c r="AK302" i="25" s="1"/>
  <c r="Y18" i="31" s="1"/>
  <c r="AK31" i="25"/>
  <c r="AK246" i="25"/>
  <c r="AK218" i="25"/>
  <c r="AK227" i="25"/>
  <c r="AK229" i="25"/>
  <c r="AK46" i="25"/>
  <c r="AK251" i="25"/>
  <c r="AK109" i="25"/>
  <c r="AK245" i="25"/>
  <c r="AK199" i="25"/>
  <c r="AK310" i="25" s="1"/>
  <c r="I19" i="31"/>
  <c r="V36" i="31"/>
  <c r="AJ294" i="25"/>
  <c r="X11" i="31" s="1"/>
  <c r="X318" i="25"/>
  <c r="X302" i="25"/>
  <c r="X306" i="25"/>
  <c r="W306" i="25"/>
  <c r="X303" i="25"/>
  <c r="X219" i="25"/>
  <c r="X294" i="25"/>
  <c r="AC324" i="25"/>
  <c r="G318" i="25"/>
  <c r="N61" i="30"/>
  <c r="G65" i="30"/>
  <c r="CA219" i="25"/>
  <c r="CB219" i="25" s="1"/>
  <c r="W219" i="25"/>
  <c r="AG320" i="25"/>
  <c r="AG321" i="25" s="1"/>
  <c r="G293" i="25"/>
  <c r="AI320" i="25"/>
  <c r="AI321" i="25" s="1"/>
  <c r="AF320" i="25"/>
  <c r="AF321" i="25" s="1"/>
  <c r="G319" i="25"/>
  <c r="AH320" i="25"/>
  <c r="G294" i="25"/>
  <c r="AB320" i="25"/>
  <c r="AD320" i="25"/>
  <c r="AD321" i="25" s="1"/>
  <c r="W308" i="25"/>
  <c r="X315" i="25"/>
  <c r="BT5" i="25"/>
  <c r="X308" i="25"/>
  <c r="X293" i="25"/>
  <c r="W309" i="25"/>
  <c r="X309" i="25"/>
  <c r="X319" i="25"/>
  <c r="X314" i="25"/>
  <c r="W307" i="25"/>
  <c r="X307" i="25"/>
  <c r="BV5" i="25"/>
  <c r="AG4" i="25"/>
  <c r="AY45" i="37" s="1"/>
  <c r="AF8" i="25"/>
  <c r="BW5" i="25"/>
  <c r="AI8" i="25"/>
  <c r="BY5" i="25"/>
  <c r="AE8" i="25"/>
  <c r="AD8" i="25"/>
  <c r="AK89" i="25"/>
  <c r="AK92" i="25"/>
  <c r="AK94" i="25"/>
  <c r="AK102" i="25"/>
  <c r="AK93" i="25"/>
  <c r="U89" i="25" a="1"/>
  <c r="U89" i="25" s="1"/>
  <c r="BX5" i="25"/>
  <c r="AH4" i="25"/>
  <c r="AZ45" i="37" s="1"/>
  <c r="AH8" i="25"/>
  <c r="F109" i="28"/>
  <c r="G109" i="28"/>
  <c r="H109" i="28"/>
  <c r="I109" i="28"/>
  <c r="J109" i="28"/>
  <c r="K109" i="28"/>
  <c r="L109" i="28"/>
  <c r="M109" i="28"/>
  <c r="N109" i="28"/>
  <c r="E109" i="28"/>
  <c r="AB4" i="25" l="1"/>
  <c r="AT45" i="37" s="1"/>
  <c r="I30" i="31"/>
  <c r="I10" i="31"/>
  <c r="AB8" i="25"/>
  <c r="BU5" i="25"/>
  <c r="AB321" i="25"/>
  <c r="AE320" i="25"/>
  <c r="AE321" i="25" s="1"/>
  <c r="AA321" i="25"/>
  <c r="O37" i="31"/>
  <c r="V37" i="31"/>
  <c r="Y25" i="31"/>
  <c r="AK318" i="25"/>
  <c r="Y33" i="31" s="1"/>
  <c r="I17" i="31"/>
  <c r="AL245" i="25"/>
  <c r="AL229" i="25"/>
  <c r="AL109" i="25"/>
  <c r="AL46" i="25"/>
  <c r="AL104" i="25"/>
  <c r="AL302" i="25" s="1"/>
  <c r="Z18" i="31" s="1"/>
  <c r="AL216" i="25"/>
  <c r="AL228" i="25"/>
  <c r="AL244" i="25"/>
  <c r="AL246" i="25"/>
  <c r="AL226" i="25"/>
  <c r="AL110" i="25"/>
  <c r="AL47" i="25"/>
  <c r="AL218" i="25"/>
  <c r="AL251" i="25"/>
  <c r="AL227" i="25"/>
  <c r="AL31" i="25"/>
  <c r="AL199" i="25"/>
  <c r="AL310" i="25" s="1"/>
  <c r="Z25" i="31" s="1"/>
  <c r="AL260" i="25"/>
  <c r="AK303" i="25"/>
  <c r="Y19" i="31" s="1"/>
  <c r="U36" i="31"/>
  <c r="U37" i="31" s="1"/>
  <c r="T37" i="31"/>
  <c r="AK277" i="25"/>
  <c r="AK293" i="25"/>
  <c r="W37" i="31"/>
  <c r="X36" i="31"/>
  <c r="AK294" i="25"/>
  <c r="Y11" i="31" s="1"/>
  <c r="AJ320" i="25"/>
  <c r="AJ321" i="25" s="1"/>
  <c r="AK316" i="25"/>
  <c r="Y31" i="31" s="1"/>
  <c r="R37" i="31"/>
  <c r="AK315" i="25"/>
  <c r="Y30" i="31" s="1"/>
  <c r="P37" i="31"/>
  <c r="AK300" i="25"/>
  <c r="Y35" i="31" s="1"/>
  <c r="AK301" i="25"/>
  <c r="Y17" i="31" s="1"/>
  <c r="AC87" i="25"/>
  <c r="N65" i="30"/>
  <c r="AH321" i="25"/>
  <c r="CA102" i="25"/>
  <c r="CB102" i="25" s="1"/>
  <c r="AL89" i="25"/>
  <c r="AL94" i="25"/>
  <c r="AL92" i="25"/>
  <c r="AL93" i="25"/>
  <c r="N110" i="28"/>
  <c r="M110" i="28"/>
  <c r="L110" i="28"/>
  <c r="K110" i="28"/>
  <c r="J110" i="28"/>
  <c r="I110" i="28"/>
  <c r="H110" i="28"/>
  <c r="G110" i="28"/>
  <c r="F110" i="28"/>
  <c r="E110" i="28"/>
  <c r="N108" i="28"/>
  <c r="M108" i="28"/>
  <c r="L108" i="28"/>
  <c r="K108" i="28"/>
  <c r="J108" i="28"/>
  <c r="I108" i="28"/>
  <c r="H108" i="28"/>
  <c r="G108" i="28"/>
  <c r="F108" i="28"/>
  <c r="E108" i="28"/>
  <c r="N107" i="28"/>
  <c r="M107" i="28"/>
  <c r="L107" i="28"/>
  <c r="K107" i="28"/>
  <c r="J107" i="28"/>
  <c r="I107" i="28"/>
  <c r="H107" i="28"/>
  <c r="G107" i="28"/>
  <c r="F107" i="28"/>
  <c r="E107" i="28"/>
  <c r="N106" i="28"/>
  <c r="M106" i="28"/>
  <c r="L106" i="28"/>
  <c r="K106" i="28"/>
  <c r="J106" i="28"/>
  <c r="I106" i="28"/>
  <c r="H106" i="28"/>
  <c r="G106" i="28"/>
  <c r="F106" i="28"/>
  <c r="E106" i="28"/>
  <c r="N105" i="28"/>
  <c r="M105" i="28"/>
  <c r="L105" i="28"/>
  <c r="K105" i="28"/>
  <c r="J105" i="28"/>
  <c r="I105" i="28"/>
  <c r="H105" i="28"/>
  <c r="G105" i="28"/>
  <c r="F105" i="28"/>
  <c r="E105" i="28"/>
  <c r="N104" i="28"/>
  <c r="M104" i="28"/>
  <c r="L104" i="28"/>
  <c r="K104" i="28"/>
  <c r="J104" i="28"/>
  <c r="I104" i="28"/>
  <c r="H104" i="28"/>
  <c r="G104" i="28"/>
  <c r="F104" i="28"/>
  <c r="E104" i="28"/>
  <c r="N103" i="28"/>
  <c r="M103" i="28"/>
  <c r="L103" i="28"/>
  <c r="K103" i="28"/>
  <c r="J103" i="28"/>
  <c r="I103" i="28"/>
  <c r="H103" i="28"/>
  <c r="G103" i="28"/>
  <c r="F103" i="28"/>
  <c r="E103" i="28"/>
  <c r="N102" i="28"/>
  <c r="M102" i="28"/>
  <c r="L102" i="28"/>
  <c r="K102" i="28"/>
  <c r="J102" i="28"/>
  <c r="I102" i="28"/>
  <c r="H102" i="28"/>
  <c r="G102" i="28"/>
  <c r="F102" i="28"/>
  <c r="E102" i="28"/>
  <c r="N101" i="28"/>
  <c r="M101" i="28"/>
  <c r="L101" i="28"/>
  <c r="K101" i="28"/>
  <c r="J101" i="28"/>
  <c r="I101" i="28"/>
  <c r="H101" i="28"/>
  <c r="G101" i="28"/>
  <c r="F101" i="28"/>
  <c r="E101" i="28"/>
  <c r="N100" i="28"/>
  <c r="M100" i="28"/>
  <c r="L100" i="28"/>
  <c r="K100" i="28"/>
  <c r="J100" i="28"/>
  <c r="I100" i="28"/>
  <c r="H100" i="28"/>
  <c r="G100" i="28"/>
  <c r="F100" i="28"/>
  <c r="E100" i="28"/>
  <c r="N99" i="28"/>
  <c r="M99" i="28"/>
  <c r="L99" i="28"/>
  <c r="K99" i="28"/>
  <c r="J99" i="28"/>
  <c r="I99" i="28"/>
  <c r="H99" i="28"/>
  <c r="G99" i="28"/>
  <c r="F99" i="28"/>
  <c r="E99" i="28"/>
  <c r="N98" i="28"/>
  <c r="M98" i="28"/>
  <c r="L98" i="28"/>
  <c r="K98" i="28"/>
  <c r="J98" i="28"/>
  <c r="I98" i="28"/>
  <c r="H98" i="28"/>
  <c r="G98" i="28"/>
  <c r="F98" i="28"/>
  <c r="E98" i="28"/>
  <c r="N97" i="28"/>
  <c r="M97" i="28"/>
  <c r="L97" i="28"/>
  <c r="K97" i="28"/>
  <c r="J97" i="28"/>
  <c r="I97" i="28"/>
  <c r="H97" i="28"/>
  <c r="G97" i="28"/>
  <c r="F97" i="28"/>
  <c r="E97" i="28"/>
  <c r="N96" i="28"/>
  <c r="M96" i="28"/>
  <c r="L96" i="28"/>
  <c r="K96" i="28"/>
  <c r="J96" i="28"/>
  <c r="I96" i="28"/>
  <c r="H96" i="28"/>
  <c r="G96" i="28"/>
  <c r="F96" i="28"/>
  <c r="E96" i="28"/>
  <c r="N95" i="28"/>
  <c r="M95" i="28"/>
  <c r="L95" i="28"/>
  <c r="K95" i="28"/>
  <c r="J95" i="28"/>
  <c r="I95" i="28"/>
  <c r="H95" i="28"/>
  <c r="G95" i="28"/>
  <c r="F95" i="28"/>
  <c r="E95" i="28"/>
  <c r="N94" i="28"/>
  <c r="M94" i="28"/>
  <c r="L94" i="28"/>
  <c r="K94" i="28"/>
  <c r="J94" i="28"/>
  <c r="I94" i="28"/>
  <c r="H94" i="28"/>
  <c r="G94" i="28"/>
  <c r="F94" i="28"/>
  <c r="E94" i="28"/>
  <c r="N93" i="28"/>
  <c r="M93" i="28"/>
  <c r="L93" i="28"/>
  <c r="K93" i="28"/>
  <c r="J93" i="28"/>
  <c r="I93" i="28"/>
  <c r="H93" i="28"/>
  <c r="G93" i="28"/>
  <c r="F93" i="28"/>
  <c r="E93" i="28"/>
  <c r="N92" i="28"/>
  <c r="M92" i="28"/>
  <c r="L92" i="28"/>
  <c r="K92" i="28"/>
  <c r="J92" i="28"/>
  <c r="I92" i="28"/>
  <c r="H92" i="28"/>
  <c r="G92" i="28"/>
  <c r="F92" i="28"/>
  <c r="E92" i="28"/>
  <c r="N91" i="28"/>
  <c r="M91" i="28"/>
  <c r="L91" i="28"/>
  <c r="K91" i="28"/>
  <c r="J91" i="28"/>
  <c r="I91" i="28"/>
  <c r="H91" i="28"/>
  <c r="G91" i="28"/>
  <c r="F91" i="28"/>
  <c r="E91" i="28"/>
  <c r="N90" i="28"/>
  <c r="M90" i="28"/>
  <c r="L90" i="28"/>
  <c r="K90" i="28"/>
  <c r="J90" i="28"/>
  <c r="I90" i="28"/>
  <c r="H90" i="28"/>
  <c r="G90" i="28"/>
  <c r="F90" i="28"/>
  <c r="E90" i="28"/>
  <c r="N89" i="28"/>
  <c r="M89" i="28"/>
  <c r="L89" i="28"/>
  <c r="K89" i="28"/>
  <c r="J89" i="28"/>
  <c r="I89" i="28"/>
  <c r="H89" i="28"/>
  <c r="G89" i="28"/>
  <c r="F89" i="28"/>
  <c r="E89" i="28"/>
  <c r="D89" i="28"/>
  <c r="C89" i="28"/>
  <c r="A89" i="28"/>
  <c r="N87" i="28"/>
  <c r="M87" i="28"/>
  <c r="L87" i="28"/>
  <c r="K87" i="28"/>
  <c r="J87" i="28"/>
  <c r="I87" i="28"/>
  <c r="H87" i="28"/>
  <c r="G87" i="28"/>
  <c r="F87" i="28"/>
  <c r="E87" i="28"/>
  <c r="A86" i="28"/>
  <c r="A85" i="28"/>
  <c r="A84" i="28"/>
  <c r="A83" i="28"/>
  <c r="A82" i="28"/>
  <c r="A81" i="28"/>
  <c r="A80" i="28"/>
  <c r="A79" i="28"/>
  <c r="A78" i="28"/>
  <c r="A77" i="28"/>
  <c r="A76" i="28"/>
  <c r="A75" i="28"/>
  <c r="A74" i="28"/>
  <c r="A73" i="28"/>
  <c r="A72" i="28"/>
  <c r="A71" i="28"/>
  <c r="A70" i="28"/>
  <c r="A69" i="28"/>
  <c r="A68" i="28"/>
  <c r="A67" i="28"/>
  <c r="A66" i="28"/>
  <c r="A65" i="28"/>
  <c r="A64" i="28"/>
  <c r="A63" i="28"/>
  <c r="A62" i="28"/>
  <c r="A61" i="28"/>
  <c r="A60" i="28"/>
  <c r="A59" i="28"/>
  <c r="A58" i="28"/>
  <c r="A57" i="28"/>
  <c r="A56" i="28"/>
  <c r="A55" i="28"/>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A23" i="28"/>
  <c r="A22" i="28"/>
  <c r="A21" i="28"/>
  <c r="A20" i="28"/>
  <c r="A19" i="28"/>
  <c r="A18" i="28"/>
  <c r="A17" i="28"/>
  <c r="A16" i="28"/>
  <c r="A15" i="28"/>
  <c r="A14" i="28"/>
  <c r="A13" i="28"/>
  <c r="A12" i="28"/>
  <c r="A11" i="28"/>
  <c r="A10" i="28"/>
  <c r="A9" i="28"/>
  <c r="A8" i="28"/>
  <c r="A7" i="28"/>
  <c r="A6" i="28"/>
  <c r="A5" i="28"/>
  <c r="A4" i="28"/>
  <c r="X37" i="31" l="1"/>
  <c r="S37" i="31"/>
  <c r="AL316" i="25"/>
  <c r="Z31" i="31" s="1"/>
  <c r="AL318" i="25"/>
  <c r="Z33" i="31" s="1"/>
  <c r="AL294" i="25"/>
  <c r="Z11" i="31" s="1"/>
  <c r="AL303" i="25"/>
  <c r="Z19" i="31" s="1"/>
  <c r="AM251" i="25"/>
  <c r="AM245" i="25"/>
  <c r="AM229" i="25"/>
  <c r="AM109" i="25"/>
  <c r="AM46" i="25"/>
  <c r="AM216" i="25"/>
  <c r="U216" i="25" s="1" a="1"/>
  <c r="U216" i="25" s="1"/>
  <c r="AM240" i="25"/>
  <c r="AM228" i="25"/>
  <c r="AM104" i="25"/>
  <c r="AM302" i="25" s="1"/>
  <c r="AA18" i="31" s="1"/>
  <c r="AM31" i="25"/>
  <c r="AM293" i="25" s="1"/>
  <c r="AA10" i="31" s="1"/>
  <c r="AM244" i="25"/>
  <c r="AM246" i="25"/>
  <c r="AM226" i="25"/>
  <c r="AM227" i="25"/>
  <c r="AM110" i="25"/>
  <c r="AM47" i="25"/>
  <c r="AM218" i="25"/>
  <c r="AM199" i="25"/>
  <c r="AM310" i="25" s="1"/>
  <c r="AA25" i="31" s="1"/>
  <c r="AM115" i="25"/>
  <c r="AM260" i="25"/>
  <c r="CA87" i="25"/>
  <c r="AC277" i="25"/>
  <c r="AL319" i="25"/>
  <c r="Z34" i="31" s="1"/>
  <c r="U260" i="25" a="1"/>
  <c r="U260" i="25" s="1"/>
  <c r="Y10" i="31"/>
  <c r="AL277" i="25"/>
  <c r="AL293" i="25"/>
  <c r="Z10" i="31" s="1"/>
  <c r="AL315" i="25"/>
  <c r="Z30" i="31" s="1"/>
  <c r="AL300" i="25"/>
  <c r="AC6" i="25"/>
  <c r="AC8" i="25" s="1"/>
  <c r="AC300" i="25"/>
  <c r="Q35" i="31" s="1"/>
  <c r="AC5" i="25"/>
  <c r="X87" i="25"/>
  <c r="X316" i="25"/>
  <c r="BS6" i="25"/>
  <c r="X312" i="25"/>
  <c r="AK320" i="25"/>
  <c r="AK321" i="25" s="1"/>
  <c r="AN201" i="25"/>
  <c r="AN312" i="25" s="1"/>
  <c r="AB27" i="31" s="1"/>
  <c r="AN16" i="25"/>
  <c r="AN111" i="25"/>
  <c r="AM89" i="25"/>
  <c r="AM93" i="25"/>
  <c r="CA93" i="25" s="1"/>
  <c r="CB93" i="25" s="1"/>
  <c r="AM92" i="25"/>
  <c r="CA92" i="25" s="1"/>
  <c r="CB92" i="25" s="1"/>
  <c r="AM94" i="25"/>
  <c r="CA94" i="25" s="1"/>
  <c r="CB94" i="25" s="1"/>
  <c r="AM16" i="25"/>
  <c r="A107" i="28"/>
  <c r="BP297" i="25" s="1"/>
  <c r="BO297" i="25" s="1"/>
  <c r="A109" i="28"/>
  <c r="BP299" i="25" s="1"/>
  <c r="BO299" i="25" s="1"/>
  <c r="A105" i="28"/>
  <c r="BP295" i="25" s="1"/>
  <c r="BO295" i="25" s="1"/>
  <c r="A92" i="28"/>
  <c r="A96" i="28"/>
  <c r="BP287" i="25" s="1"/>
  <c r="BO287" i="25" s="1"/>
  <c r="A98" i="28"/>
  <c r="BP289" i="25" s="1"/>
  <c r="BO289" i="25" s="1"/>
  <c r="A103" i="28"/>
  <c r="BP294" i="25" s="1"/>
  <c r="BO294" i="25" s="1"/>
  <c r="A106" i="28"/>
  <c r="BP296" i="25" s="1"/>
  <c r="BO296" i="25" s="1"/>
  <c r="A99" i="28"/>
  <c r="BP290" i="25" s="1"/>
  <c r="BO290" i="25" s="1"/>
  <c r="J111" i="28"/>
  <c r="A104" i="28"/>
  <c r="A97" i="28"/>
  <c r="BP288" i="25" s="1"/>
  <c r="BO288" i="25" s="1"/>
  <c r="A108" i="28"/>
  <c r="BP298" i="25" s="1"/>
  <c r="BO298" i="25" s="1"/>
  <c r="H111" i="28"/>
  <c r="F111" i="28"/>
  <c r="N111" i="28"/>
  <c r="A87" i="28"/>
  <c r="A91" i="28"/>
  <c r="A102" i="28"/>
  <c r="BP293" i="25" s="1"/>
  <c r="BO293" i="25" s="1"/>
  <c r="G111" i="28"/>
  <c r="A94" i="28"/>
  <c r="BP285" i="25" s="1"/>
  <c r="BO285" i="25" s="1"/>
  <c r="A95" i="28"/>
  <c r="BP286" i="25" s="1"/>
  <c r="BO286" i="25" s="1"/>
  <c r="A100" i="28"/>
  <c r="BP291" i="25" s="1"/>
  <c r="BO291" i="25" s="1"/>
  <c r="A110" i="28"/>
  <c r="BP300" i="25" s="1"/>
  <c r="BO300" i="25" s="1"/>
  <c r="I111" i="28"/>
  <c r="K111" i="28"/>
  <c r="A90" i="28"/>
  <c r="A101" i="28"/>
  <c r="BP292" i="25" s="1"/>
  <c r="BO292" i="25" s="1"/>
  <c r="L111" i="28"/>
  <c r="E111" i="28"/>
  <c r="M111" i="28"/>
  <c r="A93" i="28"/>
  <c r="AM318" i="25" l="1"/>
  <c r="AA33" i="31" s="1"/>
  <c r="AM294" i="25"/>
  <c r="AA11" i="31" s="1"/>
  <c r="AM303" i="25"/>
  <c r="AA19" i="31" s="1"/>
  <c r="Y36" i="31"/>
  <c r="Y37" i="31" s="1"/>
  <c r="AL320" i="25"/>
  <c r="AL321" i="25" s="1"/>
  <c r="Z35" i="31"/>
  <c r="Z36" i="31" s="1"/>
  <c r="AM292" i="25"/>
  <c r="AA9" i="31" s="1"/>
  <c r="AM277" i="25"/>
  <c r="AM304" i="25"/>
  <c r="AA17" i="31" s="1"/>
  <c r="AN227" i="25"/>
  <c r="AN240" i="25"/>
  <c r="AN251" i="25"/>
  <c r="AN245" i="25"/>
  <c r="U245" i="25" s="1" a="1"/>
  <c r="U245" i="25" s="1"/>
  <c r="AN229" i="25"/>
  <c r="U229" i="25" s="1" a="1"/>
  <c r="U229" i="25" s="1"/>
  <c r="AN109" i="25"/>
  <c r="AN46" i="25"/>
  <c r="AN216" i="25"/>
  <c r="AN244" i="25"/>
  <c r="AN226" i="25"/>
  <c r="AN228" i="25"/>
  <c r="AN47" i="25"/>
  <c r="AN110" i="25"/>
  <c r="AN246" i="25"/>
  <c r="U246" i="25" s="1" a="1"/>
  <c r="U246" i="25" s="1"/>
  <c r="AN218" i="25"/>
  <c r="AN31" i="25"/>
  <c r="AN293" i="25" s="1"/>
  <c r="AB10" i="31" s="1"/>
  <c r="AN104" i="25"/>
  <c r="AN302" i="25" s="1"/>
  <c r="AB18" i="31" s="1"/>
  <c r="AN199" i="25"/>
  <c r="AN310" i="25" s="1"/>
  <c r="AB25" i="31" s="1"/>
  <c r="AN115" i="25"/>
  <c r="AN304" i="25" s="1"/>
  <c r="AB17" i="31" s="1"/>
  <c r="AM317" i="25"/>
  <c r="AA32" i="31" s="1"/>
  <c r="U240" i="25" a="1"/>
  <c r="U240" i="25" s="1"/>
  <c r="AM315" i="25"/>
  <c r="AA30" i="31" s="1"/>
  <c r="I35" i="31"/>
  <c r="Q36" i="31"/>
  <c r="AO218" i="25"/>
  <c r="AO227" i="25"/>
  <c r="AO245" i="25"/>
  <c r="AO46" i="25"/>
  <c r="AO251" i="25"/>
  <c r="AO229" i="25"/>
  <c r="AO109" i="25"/>
  <c r="AO31" i="25"/>
  <c r="AO244" i="25"/>
  <c r="AO228" i="25"/>
  <c r="AO226" i="25"/>
  <c r="AO246" i="25"/>
  <c r="AO110" i="25"/>
  <c r="AO104" i="25"/>
  <c r="AO302" i="25" s="1"/>
  <c r="AC18" i="31" s="1"/>
  <c r="AO47" i="25"/>
  <c r="AO216" i="25"/>
  <c r="AO315" i="25" s="1"/>
  <c r="AC30" i="31" s="1"/>
  <c r="AO199" i="25"/>
  <c r="AO310" i="25" s="1"/>
  <c r="AC25" i="31" s="1"/>
  <c r="AO259" i="25"/>
  <c r="AO319" i="25" s="1"/>
  <c r="AC34" i="31" s="1"/>
  <c r="AO115" i="25"/>
  <c r="AO304" i="25" s="1"/>
  <c r="AC17" i="31" s="1"/>
  <c r="AN292" i="25"/>
  <c r="AB9" i="31" s="1"/>
  <c r="AM316" i="25"/>
  <c r="AA31" i="31" s="1"/>
  <c r="AM319" i="25"/>
  <c r="AA34" i="31" s="1"/>
  <c r="CA260" i="25"/>
  <c r="CB260" i="25" s="1"/>
  <c r="BS5" i="25"/>
  <c r="X6" i="25"/>
  <c r="X8" i="25" s="1"/>
  <c r="W4" i="25" s="1"/>
  <c r="AC4" i="25"/>
  <c r="AM300" i="25"/>
  <c r="AA35" i="31" s="1"/>
  <c r="AC320" i="25"/>
  <c r="AC321" i="25" s="1"/>
  <c r="X300" i="25"/>
  <c r="X320" i="25" s="1"/>
  <c r="U201" i="25" a="1"/>
  <c r="U201" i="25" s="1"/>
  <c r="AO111" i="25"/>
  <c r="AO201" i="25"/>
  <c r="AO312" i="25" s="1"/>
  <c r="AC27" i="31" s="1"/>
  <c r="H27" i="31" s="1"/>
  <c r="U111" i="25" a="1"/>
  <c r="U111" i="25" s="1"/>
  <c r="CA89" i="25"/>
  <c r="CB89" i="25" s="1"/>
  <c r="U228" i="25" a="1"/>
  <c r="U228" i="25" s="1"/>
  <c r="U16" i="25" a="1"/>
  <c r="U16" i="25" s="1"/>
  <c r="CA16" i="25"/>
  <c r="CB16" i="25" s="1"/>
  <c r="BQ301" i="25"/>
  <c r="A111" i="28"/>
  <c r="U259" i="25" l="1" a="1"/>
  <c r="U259" i="25" s="1"/>
  <c r="X4" i="25"/>
  <c r="AU45" i="37"/>
  <c r="AN303" i="25"/>
  <c r="AB19" i="31" s="1"/>
  <c r="Z37" i="31"/>
  <c r="AO294" i="25"/>
  <c r="AC11" i="31" s="1"/>
  <c r="AO303" i="25"/>
  <c r="AC19" i="31" s="1"/>
  <c r="AO316" i="25"/>
  <c r="AC31" i="31" s="1"/>
  <c r="AN294" i="25"/>
  <c r="AB11" i="31" s="1"/>
  <c r="J27" i="31"/>
  <c r="AO318" i="25"/>
  <c r="AC33" i="31" s="1"/>
  <c r="AO277" i="25"/>
  <c r="AO293" i="25"/>
  <c r="Q37" i="31"/>
  <c r="AA36" i="31"/>
  <c r="AP244" i="25"/>
  <c r="AP246" i="25"/>
  <c r="AP226" i="25"/>
  <c r="AP110" i="25"/>
  <c r="AP47" i="25"/>
  <c r="AP251" i="25"/>
  <c r="AP218" i="25"/>
  <c r="AP230" i="25"/>
  <c r="AP227" i="25"/>
  <c r="AP245" i="25"/>
  <c r="AP229" i="25"/>
  <c r="AP109" i="25"/>
  <c r="AP303" i="25" s="1"/>
  <c r="AD19" i="31" s="1"/>
  <c r="AP46" i="25"/>
  <c r="AP294" i="25" s="1"/>
  <c r="AD11" i="31" s="1"/>
  <c r="AP31" i="25"/>
  <c r="AP293" i="25" s="1"/>
  <c r="AD10" i="31" s="1"/>
  <c r="AP263" i="25"/>
  <c r="U263" i="25" s="1" a="1"/>
  <c r="U263" i="25" s="1"/>
  <c r="AP228" i="25"/>
  <c r="AP216" i="25"/>
  <c r="AP104" i="25"/>
  <c r="AP302" i="25" s="1"/>
  <c r="AD18" i="31" s="1"/>
  <c r="AP199" i="25"/>
  <c r="AP310" i="25" s="1"/>
  <c r="AD25" i="31" s="1"/>
  <c r="AP115" i="25"/>
  <c r="AP304" i="25" s="1"/>
  <c r="AD17" i="31" s="1"/>
  <c r="AP259" i="25"/>
  <c r="M27" i="31"/>
  <c r="AN316" i="25"/>
  <c r="AB31" i="31" s="1"/>
  <c r="AN317" i="25"/>
  <c r="AB32" i="31" s="1"/>
  <c r="CA240" i="25"/>
  <c r="CB240" i="25" s="1"/>
  <c r="I36" i="31"/>
  <c r="AN318" i="25"/>
  <c r="AB33" i="31" s="1"/>
  <c r="J35" i="31"/>
  <c r="AN277" i="25"/>
  <c r="AN315" i="25"/>
  <c r="AB30" i="31" s="1"/>
  <c r="AM320" i="25"/>
  <c r="AM321" i="25" s="1"/>
  <c r="AP17" i="25"/>
  <c r="CA111" i="25"/>
  <c r="CB111" i="25" s="1"/>
  <c r="CA201" i="25"/>
  <c r="CB201" i="25" s="1"/>
  <c r="U115" i="25" a="1"/>
  <c r="U115" i="25" s="1"/>
  <c r="I37" i="31" l="1"/>
  <c r="AP316" i="25"/>
  <c r="AD31" i="31" s="1"/>
  <c r="AB36" i="31"/>
  <c r="AP315" i="25"/>
  <c r="AD30" i="31" s="1"/>
  <c r="AP318" i="25"/>
  <c r="AD33" i="31" s="1"/>
  <c r="AN320" i="25"/>
  <c r="AN321" i="25" s="1"/>
  <c r="AP292" i="25"/>
  <c r="AD9" i="31" s="1"/>
  <c r="AP277" i="25"/>
  <c r="U230" i="25" a="1"/>
  <c r="U230" i="25" s="1"/>
  <c r="AQ264" i="25"/>
  <c r="U264" i="25" s="1" a="1"/>
  <c r="U264" i="25" s="1"/>
  <c r="AQ228" i="25"/>
  <c r="AQ104" i="25"/>
  <c r="AQ31" i="25"/>
  <c r="AQ293" i="25" s="1"/>
  <c r="AE10" i="31" s="1"/>
  <c r="AQ227" i="25"/>
  <c r="AQ244" i="25"/>
  <c r="AQ246" i="25"/>
  <c r="AQ230" i="25"/>
  <c r="W230" i="25" s="1"/>
  <c r="AQ226" i="25"/>
  <c r="AQ110" i="25"/>
  <c r="AQ47" i="25"/>
  <c r="AQ267" i="25"/>
  <c r="AQ218" i="25"/>
  <c r="AQ271" i="25"/>
  <c r="AQ251" i="25"/>
  <c r="AQ263" i="25"/>
  <c r="AQ245" i="25"/>
  <c r="AQ229" i="25"/>
  <c r="AQ109" i="25"/>
  <c r="AQ46" i="25"/>
  <c r="AQ216" i="25"/>
  <c r="AQ315" i="25" s="1"/>
  <c r="AE30" i="31" s="1"/>
  <c r="AQ199" i="25"/>
  <c r="AQ310" i="25" s="1"/>
  <c r="AE25" i="31" s="1"/>
  <c r="AQ106" i="25"/>
  <c r="AC10" i="31"/>
  <c r="AP319" i="25"/>
  <c r="AD34" i="31" s="1"/>
  <c r="CA259" i="25"/>
  <c r="CB259" i="25" s="1"/>
  <c r="AA37" i="31"/>
  <c r="AO320" i="25"/>
  <c r="AO321" i="25" s="1"/>
  <c r="W312" i="25"/>
  <c r="U17" i="25" a="1"/>
  <c r="U17" i="25" s="1"/>
  <c r="AQ303" i="25"/>
  <c r="AE19" i="31" s="1"/>
  <c r="AQ17" i="25"/>
  <c r="AQ13" i="25"/>
  <c r="U110" i="25" a="1"/>
  <c r="U110" i="25" s="1"/>
  <c r="U251" i="25" a="1"/>
  <c r="U251" i="25" s="1"/>
  <c r="AB37" i="31" l="1"/>
  <c r="AQ316" i="25"/>
  <c r="AE31" i="31" s="1"/>
  <c r="AD36" i="31"/>
  <c r="AQ291" i="25"/>
  <c r="AE8" i="31" s="1"/>
  <c r="AQ277" i="25"/>
  <c r="AQ301" i="25"/>
  <c r="AE17" i="31" s="1"/>
  <c r="CA230" i="25"/>
  <c r="CB230" i="25" s="1"/>
  <c r="AQ319" i="25"/>
  <c r="AE34" i="31" s="1"/>
  <c r="CA263" i="25"/>
  <c r="CB263" i="25" s="1"/>
  <c r="AQ317" i="25"/>
  <c r="AE32" i="31" s="1"/>
  <c r="U271" i="25" a="1"/>
  <c r="U271" i="25" s="1"/>
  <c r="AQ318" i="25"/>
  <c r="AE33" i="31" s="1"/>
  <c r="AC36" i="31"/>
  <c r="AC37" i="31" s="1"/>
  <c r="AR231" i="25"/>
  <c r="U231" i="25" s="1" a="1"/>
  <c r="U231" i="25" s="1"/>
  <c r="AR216" i="25"/>
  <c r="AR271" i="25"/>
  <c r="AR317" i="25" s="1"/>
  <c r="AF32" i="31" s="1"/>
  <c r="J32" i="31" s="1"/>
  <c r="AR218" i="25"/>
  <c r="AR267" i="25"/>
  <c r="CA267" i="25" s="1"/>
  <c r="CB267" i="25" s="1"/>
  <c r="AR228" i="25"/>
  <c r="AR104" i="25"/>
  <c r="U104" i="25" s="1" a="1"/>
  <c r="U104" i="25" s="1"/>
  <c r="AR31" i="25"/>
  <c r="AR293" i="25" s="1"/>
  <c r="AR244" i="25"/>
  <c r="AR246" i="25"/>
  <c r="AR226" i="25"/>
  <c r="AR110" i="25"/>
  <c r="AR47" i="25"/>
  <c r="AR227" i="25"/>
  <c r="AR251" i="25"/>
  <c r="AR250" i="25"/>
  <c r="AR264" i="25"/>
  <c r="CA264" i="25" s="1"/>
  <c r="CB264" i="25" s="1"/>
  <c r="AR229" i="25"/>
  <c r="AR245" i="25"/>
  <c r="AR109" i="25"/>
  <c r="AR46" i="25"/>
  <c r="AR199" i="25"/>
  <c r="AR310" i="25" s="1"/>
  <c r="AF25" i="31" s="1"/>
  <c r="AR106" i="25"/>
  <c r="U267" i="25" a="1"/>
  <c r="U267" i="25" s="1"/>
  <c r="AQ292" i="25"/>
  <c r="AE9" i="31" s="1"/>
  <c r="J9" i="31" s="1"/>
  <c r="AQ302" i="25"/>
  <c r="AE18" i="31" s="1"/>
  <c r="AQ294" i="25"/>
  <c r="AE11" i="31" s="1"/>
  <c r="AP320" i="25"/>
  <c r="AP321" i="25" s="1"/>
  <c r="U13" i="25" a="1"/>
  <c r="U13" i="25" s="1"/>
  <c r="U109" i="25" a="1"/>
  <c r="U109" i="25" s="1"/>
  <c r="CA17" i="25"/>
  <c r="CB17" i="25" s="1"/>
  <c r="AR113" i="25"/>
  <c r="CA115" i="25"/>
  <c r="CB115" i="25" s="1"/>
  <c r="AR118" i="25"/>
  <c r="AR13" i="25"/>
  <c r="AR112" i="25"/>
  <c r="AR52" i="25"/>
  <c r="AR296" i="25" s="1"/>
  <c r="AF13" i="31" s="1"/>
  <c r="AR114" i="25"/>
  <c r="M10" i="25"/>
  <c r="I10" i="25"/>
  <c r="AR316" i="25" l="1"/>
  <c r="AF31" i="31" s="1"/>
  <c r="AR304" i="25"/>
  <c r="AR291" i="25"/>
  <c r="AF8" i="31" s="1"/>
  <c r="J8" i="31" s="1"/>
  <c r="AR277" i="25"/>
  <c r="AD37" i="31"/>
  <c r="AE36" i="31"/>
  <c r="AR315" i="25"/>
  <c r="AS216" i="25"/>
  <c r="AS252" i="25"/>
  <c r="U252" i="25" s="1" a="1"/>
  <c r="U252" i="25" s="1"/>
  <c r="AS244" i="25"/>
  <c r="AS246" i="25"/>
  <c r="AS47" i="25"/>
  <c r="AS228" i="25"/>
  <c r="AS104" i="25"/>
  <c r="AS302" i="25" s="1"/>
  <c r="AG18" i="31" s="1"/>
  <c r="AS31" i="25"/>
  <c r="AS226" i="25"/>
  <c r="AS110" i="25"/>
  <c r="AS250" i="25"/>
  <c r="CA250" i="25" s="1"/>
  <c r="CB250" i="25" s="1"/>
  <c r="AS218" i="25"/>
  <c r="AS227" i="25"/>
  <c r="AS245" i="25"/>
  <c r="AS231" i="25"/>
  <c r="AS109" i="25"/>
  <c r="AS46" i="25"/>
  <c r="AS294" i="25" s="1"/>
  <c r="AG11" i="31" s="1"/>
  <c r="AS229" i="25"/>
  <c r="AS251" i="25"/>
  <c r="AS199" i="25"/>
  <c r="AS310" i="25" s="1"/>
  <c r="AG25" i="31" s="1"/>
  <c r="J25" i="31" s="1"/>
  <c r="AS106" i="25"/>
  <c r="AR319" i="25"/>
  <c r="AF34" i="31" s="1"/>
  <c r="J34" i="31" s="1"/>
  <c r="AR318" i="25"/>
  <c r="AF33" i="31" s="1"/>
  <c r="AR301" i="25"/>
  <c r="U250" i="25" a="1"/>
  <c r="U250" i="25" s="1"/>
  <c r="AF10" i="31"/>
  <c r="CA271" i="25"/>
  <c r="CB271" i="25" s="1"/>
  <c r="AR303" i="25"/>
  <c r="AF19" i="31" s="1"/>
  <c r="AR294" i="25"/>
  <c r="AF11" i="31" s="1"/>
  <c r="AR302" i="25"/>
  <c r="AF18" i="31" s="1"/>
  <c r="U113" i="25" a="1"/>
  <c r="U113" i="25" s="1"/>
  <c r="U118" i="25" a="1"/>
  <c r="U118" i="25" s="1"/>
  <c r="AQ320" i="25"/>
  <c r="AQ321" i="25" s="1"/>
  <c r="CA13" i="25"/>
  <c r="CB13" i="25" s="1"/>
  <c r="U114" i="25" a="1"/>
  <c r="U114" i="25" s="1"/>
  <c r="U52" i="25" a="1"/>
  <c r="U52" i="25" s="1"/>
  <c r="AS113" i="25"/>
  <c r="CA113" i="25" s="1"/>
  <c r="CB113" i="25" s="1"/>
  <c r="AS112" i="25"/>
  <c r="AS114" i="25"/>
  <c r="AS118" i="25"/>
  <c r="CA118" i="25" s="1"/>
  <c r="CB118" i="25" s="1"/>
  <c r="AS52" i="25"/>
  <c r="AS296" i="25" s="1"/>
  <c r="AG13" i="31" s="1"/>
  <c r="J13" i="31" s="1"/>
  <c r="U112" i="25" a="1"/>
  <c r="U112" i="25" s="1"/>
  <c r="F10" i="25"/>
  <c r="J11" i="31" l="1"/>
  <c r="J18" i="31"/>
  <c r="AF17" i="31"/>
  <c r="AS318" i="25"/>
  <c r="AG33" i="31" s="1"/>
  <c r="J33" i="31" s="1"/>
  <c r="AE37" i="31"/>
  <c r="AT270" i="25"/>
  <c r="AT245" i="25"/>
  <c r="AT229" i="25"/>
  <c r="AT109" i="25"/>
  <c r="AT46" i="25"/>
  <c r="AT228" i="25"/>
  <c r="AT269" i="25"/>
  <c r="AT252" i="25"/>
  <c r="CA252" i="25" s="1"/>
  <c r="CB252" i="25" s="1"/>
  <c r="AT216" i="25"/>
  <c r="AT104" i="25"/>
  <c r="AT302" i="25" s="1"/>
  <c r="AH18" i="31" s="1"/>
  <c r="AT244" i="25"/>
  <c r="AT246" i="25"/>
  <c r="AT226" i="25"/>
  <c r="AT110" i="25"/>
  <c r="AT47" i="25"/>
  <c r="AT31" i="25"/>
  <c r="AT293" i="25" s="1"/>
  <c r="AH10" i="31" s="1"/>
  <c r="AT227" i="25"/>
  <c r="AT251" i="25"/>
  <c r="AT218" i="25"/>
  <c r="AT199" i="25"/>
  <c r="AT310" i="25" s="1"/>
  <c r="AH25" i="31" s="1"/>
  <c r="AT106" i="25"/>
  <c r="AT301" i="25" s="1"/>
  <c r="M13" i="31"/>
  <c r="H13" i="31"/>
  <c r="AS316" i="25"/>
  <c r="AG31" i="31" s="1"/>
  <c r="J31" i="31" s="1"/>
  <c r="AS315" i="25"/>
  <c r="AG30" i="31" s="1"/>
  <c r="J30" i="31" s="1"/>
  <c r="AS277" i="25"/>
  <c r="AS293" i="25"/>
  <c r="W231" i="25"/>
  <c r="CA231" i="25"/>
  <c r="CB231" i="25" s="1"/>
  <c r="AF30" i="31"/>
  <c r="AF36" i="31" s="1"/>
  <c r="AS303" i="25"/>
  <c r="AG19" i="31" s="1"/>
  <c r="J19" i="31" s="1"/>
  <c r="AS304" i="25"/>
  <c r="AS301" i="25"/>
  <c r="AR320" i="25"/>
  <c r="AR321" i="25" s="1"/>
  <c r="CA52" i="25"/>
  <c r="CB52" i="25" s="1"/>
  <c r="CA112" i="25"/>
  <c r="CB112" i="25" s="1"/>
  <c r="CA114" i="25"/>
  <c r="CB114" i="25" s="1"/>
  <c r="AT18" i="25"/>
  <c r="AT304" i="25"/>
  <c r="H10" i="25"/>
  <c r="G10" i="25"/>
  <c r="K10" i="25"/>
  <c r="AT315" i="25" l="1"/>
  <c r="AH30" i="31" s="1"/>
  <c r="AT303" i="25"/>
  <c r="AH19" i="31" s="1"/>
  <c r="AF37" i="31"/>
  <c r="AT317" i="25"/>
  <c r="U270" i="25" a="1"/>
  <c r="U270" i="25" s="1"/>
  <c r="AT319" i="25"/>
  <c r="AH34" i="31" s="1"/>
  <c r="U269" i="25" a="1"/>
  <c r="U269" i="25" s="1"/>
  <c r="AU251" i="25"/>
  <c r="CA251" i="25" s="1"/>
  <c r="CB251" i="25" s="1"/>
  <c r="AU104" i="25"/>
  <c r="AU302" i="25" s="1"/>
  <c r="AI18" i="31" s="1"/>
  <c r="AU216" i="25"/>
  <c r="CA216" i="25" s="1"/>
  <c r="CB216" i="25" s="1"/>
  <c r="AU269" i="25"/>
  <c r="AU245" i="25"/>
  <c r="CA245" i="25" s="1"/>
  <c r="CB245" i="25" s="1"/>
  <c r="AU229" i="25"/>
  <c r="W229" i="25" s="1"/>
  <c r="AU109" i="25"/>
  <c r="AU46" i="25"/>
  <c r="AU228" i="25"/>
  <c r="W228" i="25" s="1"/>
  <c r="AU31" i="25"/>
  <c r="AU293" i="25" s="1"/>
  <c r="AI10" i="31" s="1"/>
  <c r="K10" i="31" s="1"/>
  <c r="AU244" i="25"/>
  <c r="AU246" i="25"/>
  <c r="CA246" i="25" s="1"/>
  <c r="CB246" i="25" s="1"/>
  <c r="AU218" i="25"/>
  <c r="CA218" i="25" s="1"/>
  <c r="CB218" i="25" s="1"/>
  <c r="AU270" i="25"/>
  <c r="AU317" i="25" s="1"/>
  <c r="AI32" i="31" s="1"/>
  <c r="AU226" i="25"/>
  <c r="AU227" i="25"/>
  <c r="W227" i="25" s="1"/>
  <c r="AU110" i="25"/>
  <c r="CA110" i="25" s="1"/>
  <c r="CB110" i="25" s="1"/>
  <c r="AU47" i="25"/>
  <c r="CA47" i="25" s="1"/>
  <c r="CB47" i="25" s="1"/>
  <c r="AU199" i="25"/>
  <c r="AU310" i="25" s="1"/>
  <c r="AU253" i="25"/>
  <c r="U253" i="25" s="1" a="1"/>
  <c r="U253" i="25" s="1"/>
  <c r="AG10" i="31"/>
  <c r="AT292" i="25"/>
  <c r="AH9" i="31" s="1"/>
  <c r="AT277" i="25"/>
  <c r="AH17" i="31"/>
  <c r="AT316" i="25"/>
  <c r="AH31" i="31" s="1"/>
  <c r="AT294" i="25"/>
  <c r="AH11" i="31" s="1"/>
  <c r="AG17" i="31"/>
  <c r="J17" i="31" s="1"/>
  <c r="AT318" i="25"/>
  <c r="AH33" i="31" s="1"/>
  <c r="CA229" i="25"/>
  <c r="CB229" i="25" s="1"/>
  <c r="AS320" i="25"/>
  <c r="AS321" i="25" s="1"/>
  <c r="W296" i="25"/>
  <c r="U106" i="25" a="1"/>
  <c r="U106" i="25" s="1"/>
  <c r="AU48" i="25"/>
  <c r="AU295" i="25" s="1"/>
  <c r="AI12" i="31" s="1"/>
  <c r="AU58" i="25"/>
  <c r="AU297" i="25" s="1"/>
  <c r="AI14" i="31" s="1"/>
  <c r="AU304" i="25"/>
  <c r="AI17" i="31" s="1"/>
  <c r="AU18" i="25"/>
  <c r="U18" i="25" a="1"/>
  <c r="U18" i="25" s="1"/>
  <c r="L10" i="25"/>
  <c r="AU303" i="25" l="1"/>
  <c r="AI19" i="31" s="1"/>
  <c r="K19" i="31" s="1"/>
  <c r="CA228" i="25"/>
  <c r="CB228" i="25" s="1"/>
  <c r="H17" i="31"/>
  <c r="CA104" i="25"/>
  <c r="CB104" i="25" s="1"/>
  <c r="W302" i="25"/>
  <c r="AU315" i="25"/>
  <c r="AI30" i="31" s="1"/>
  <c r="M30" i="31" s="1"/>
  <c r="CA270" i="25"/>
  <c r="CB270" i="25" s="1"/>
  <c r="AU319" i="25"/>
  <c r="AI34" i="31" s="1"/>
  <c r="CA269" i="25"/>
  <c r="CB269" i="25" s="1"/>
  <c r="AI25" i="31"/>
  <c r="W310" i="25"/>
  <c r="AU318" i="25"/>
  <c r="AI33" i="31" s="1"/>
  <c r="CA244" i="25"/>
  <c r="CB244" i="25" s="1"/>
  <c r="M18" i="31"/>
  <c r="H18" i="31"/>
  <c r="AV234" i="25"/>
  <c r="U234" i="25" s="1" a="1"/>
  <c r="U234" i="25" s="1"/>
  <c r="AV236" i="25"/>
  <c r="U236" i="25" s="1" a="1"/>
  <c r="U236" i="25" s="1"/>
  <c r="AV233" i="25"/>
  <c r="AV239" i="25"/>
  <c r="U239" i="25" s="1" a="1"/>
  <c r="U239" i="25" s="1"/>
  <c r="AV237" i="25"/>
  <c r="AV235" i="25"/>
  <c r="AV238" i="25"/>
  <c r="AV253" i="25"/>
  <c r="AG36" i="31"/>
  <c r="AG37" i="31" s="1"/>
  <c r="J10" i="31"/>
  <c r="J36" i="31" s="1"/>
  <c r="K17" i="31"/>
  <c r="H10" i="31"/>
  <c r="M10" i="31"/>
  <c r="K18" i="31"/>
  <c r="CA109" i="25"/>
  <c r="CB109" i="25" s="1"/>
  <c r="AH32" i="31"/>
  <c r="H32" i="31" s="1"/>
  <c r="W317" i="25"/>
  <c r="AU294" i="25"/>
  <c r="AI11" i="31" s="1"/>
  <c r="K11" i="31" s="1"/>
  <c r="CA46" i="25"/>
  <c r="CB46" i="25" s="1"/>
  <c r="AU292" i="25"/>
  <c r="AI9" i="31" s="1"/>
  <c r="AU277" i="25"/>
  <c r="W293" i="25"/>
  <c r="AU316" i="25"/>
  <c r="AI31" i="31" s="1"/>
  <c r="W226" i="25"/>
  <c r="AT320" i="25"/>
  <c r="AT321" i="25" s="1"/>
  <c r="CA119" i="25"/>
  <c r="CB119" i="25" s="1"/>
  <c r="U48" i="25" a="1"/>
  <c r="U48" i="25" s="1"/>
  <c r="AV58" i="25"/>
  <c r="AV48" i="25"/>
  <c r="AV295" i="25" s="1"/>
  <c r="AJ12" i="31" s="1"/>
  <c r="AV12" i="25"/>
  <c r="U58" i="25" a="1"/>
  <c r="U58" i="25" s="1"/>
  <c r="CA18" i="25"/>
  <c r="CB18" i="25" s="1"/>
  <c r="M19" i="31" l="1"/>
  <c r="H19" i="31"/>
  <c r="W303" i="25"/>
  <c r="W315" i="25"/>
  <c r="AH36" i="31"/>
  <c r="AH37" i="31" s="1"/>
  <c r="K30" i="31"/>
  <c r="W319" i="25"/>
  <c r="H30" i="31"/>
  <c r="K25" i="31"/>
  <c r="H25" i="31"/>
  <c r="M25" i="31"/>
  <c r="K32" i="31"/>
  <c r="M32" i="31"/>
  <c r="AV316" i="25"/>
  <c r="AJ31" i="31" s="1"/>
  <c r="U233" i="25" a="1"/>
  <c r="U233" i="25" s="1"/>
  <c r="H34" i="31"/>
  <c r="M34" i="31"/>
  <c r="W294" i="25"/>
  <c r="K34" i="31"/>
  <c r="AI36" i="31"/>
  <c r="M11" i="31"/>
  <c r="H11" i="31"/>
  <c r="AV318" i="25"/>
  <c r="AJ33" i="31" s="1"/>
  <c r="U237" i="25" a="1"/>
  <c r="U237" i="25" s="1"/>
  <c r="AV291" i="25"/>
  <c r="AJ8" i="31" s="1"/>
  <c r="AV277" i="25"/>
  <c r="U238" i="25" a="1"/>
  <c r="U238" i="25" s="1"/>
  <c r="AW247" i="25"/>
  <c r="AW249" i="25"/>
  <c r="AW239" i="25"/>
  <c r="AW237" i="25"/>
  <c r="CA237" i="25" s="1"/>
  <c r="CB237" i="25" s="1"/>
  <c r="AW235" i="25"/>
  <c r="W235" i="25" s="1"/>
  <c r="AW234" i="25"/>
  <c r="AW233" i="25"/>
  <c r="AW248" i="25"/>
  <c r="U248" i="25" s="1" a="1"/>
  <c r="U248" i="25" s="1"/>
  <c r="AW236" i="25"/>
  <c r="AW253" i="25"/>
  <c r="AW238" i="25"/>
  <c r="W238" i="25" s="1"/>
  <c r="AV297" i="25"/>
  <c r="AJ14" i="31" s="1"/>
  <c r="AU320" i="25"/>
  <c r="AU321" i="25" s="1"/>
  <c r="U12" i="25" a="1"/>
  <c r="U12" i="25" s="1"/>
  <c r="AW12" i="25"/>
  <c r="AW19" i="25"/>
  <c r="AW22" i="25"/>
  <c r="U22" i="25" s="1" a="1"/>
  <c r="U22" i="25" s="1"/>
  <c r="AW49" i="25"/>
  <c r="AW295" i="25" s="1"/>
  <c r="AK12" i="31" s="1"/>
  <c r="CA58" i="25"/>
  <c r="CB58" i="25" s="1"/>
  <c r="CA48" i="25"/>
  <c r="CB48" i="25" s="1"/>
  <c r="F13" i="1"/>
  <c r="G13" i="1"/>
  <c r="H13" i="1"/>
  <c r="I13" i="1"/>
  <c r="J13" i="1" s="1"/>
  <c r="K13" i="1" s="1"/>
  <c r="L13" i="1" s="1"/>
  <c r="M13" i="1" s="1"/>
  <c r="N13" i="1" s="1"/>
  <c r="O13" i="1" s="1"/>
  <c r="P13" i="1" s="1"/>
  <c r="Q13" i="1" s="1"/>
  <c r="R13" i="1" s="1"/>
  <c r="S13" i="1" s="1"/>
  <c r="T13" i="1" s="1"/>
  <c r="U13" i="1" s="1"/>
  <c r="V13" i="1" s="1"/>
  <c r="W13" i="1" s="1"/>
  <c r="X13" i="1" s="1"/>
  <c r="Y13" i="1" s="1"/>
  <c r="Z13" i="1" s="1"/>
  <c r="AA13" i="1" s="1"/>
  <c r="AB13" i="1" s="1"/>
  <c r="AC13" i="1" s="1"/>
  <c r="AD13" i="1" s="1"/>
  <c r="AE13" i="1" s="1"/>
  <c r="AF13" i="1" s="1"/>
  <c r="AG13" i="1" s="1"/>
  <c r="AH13" i="1" s="1"/>
  <c r="AI13" i="1" s="1"/>
  <c r="AJ13" i="1" s="1"/>
  <c r="AK13" i="1" s="1"/>
  <c r="AL13" i="1" s="1"/>
  <c r="AM13" i="1" s="1"/>
  <c r="AN13" i="1" s="1"/>
  <c r="AO13" i="1" s="1"/>
  <c r="AP13" i="1" s="1"/>
  <c r="AQ13" i="1" s="1"/>
  <c r="E13" i="1"/>
  <c r="D13" i="1"/>
  <c r="D14" i="1" s="1"/>
  <c r="C25" i="1"/>
  <c r="C36" i="1"/>
  <c r="B36" i="1" s="1"/>
  <c r="CA235" i="25" l="1"/>
  <c r="CB235" i="25" s="1"/>
  <c r="W237" i="25"/>
  <c r="AW291" i="25"/>
  <c r="AK8" i="31" s="1"/>
  <c r="AW277" i="25"/>
  <c r="AW318" i="25"/>
  <c r="AK33" i="31" s="1"/>
  <c r="U247" i="25" a="1"/>
  <c r="U247" i="25" s="1"/>
  <c r="AW316" i="25"/>
  <c r="AK31" i="31" s="1"/>
  <c r="CA233" i="25"/>
  <c r="CB233" i="25" s="1"/>
  <c r="CA238" i="25"/>
  <c r="CB238" i="25" s="1"/>
  <c r="M14" i="31"/>
  <c r="H14" i="31"/>
  <c r="K14" i="31"/>
  <c r="AI37" i="31"/>
  <c r="AJ36" i="31"/>
  <c r="W233" i="25"/>
  <c r="AX247" i="25"/>
  <c r="AX249" i="25"/>
  <c r="CA249" i="25" s="1"/>
  <c r="CB249" i="25" s="1"/>
  <c r="AX234" i="25"/>
  <c r="AX239" i="25"/>
  <c r="AX248" i="25"/>
  <c r="AX236" i="25"/>
  <c r="AX253" i="25"/>
  <c r="CA253" i="25" s="1"/>
  <c r="CB253" i="25" s="1"/>
  <c r="U249" i="25" a="1"/>
  <c r="U249" i="25" s="1"/>
  <c r="W297" i="25"/>
  <c r="AW292" i="25"/>
  <c r="AK9" i="31" s="1"/>
  <c r="AV320" i="25"/>
  <c r="AV321" i="25" s="1"/>
  <c r="CA12" i="25"/>
  <c r="CB12" i="25" s="1"/>
  <c r="AX49" i="25"/>
  <c r="AX22" i="25"/>
  <c r="CA22" i="25" s="1"/>
  <c r="CB22" i="25" s="1"/>
  <c r="AX19" i="25"/>
  <c r="U49" i="25" a="1"/>
  <c r="U49" i="25" s="1"/>
  <c r="U19" i="25" a="1"/>
  <c r="U19" i="25" s="1"/>
  <c r="CA106" i="25"/>
  <c r="CB106" i="25" s="1"/>
  <c r="E14" i="1"/>
  <c r="F14" i="1" s="1"/>
  <c r="G14" i="1" s="1"/>
  <c r="H14" i="1" s="1"/>
  <c r="I14" i="1" s="1"/>
  <c r="J14" i="1" s="1"/>
  <c r="K14" i="1" s="1"/>
  <c r="L14" i="1" s="1"/>
  <c r="M14" i="1" s="1"/>
  <c r="N14" i="1" s="1"/>
  <c r="O14" i="1" s="1"/>
  <c r="P14" i="1" s="1"/>
  <c r="Q14" i="1" s="1"/>
  <c r="R14" i="1" s="1"/>
  <c r="S14" i="1" s="1"/>
  <c r="T14" i="1" s="1"/>
  <c r="U14" i="1" s="1"/>
  <c r="V14" i="1" s="1"/>
  <c r="W14" i="1" s="1"/>
  <c r="X14" i="1" s="1"/>
  <c r="Y14" i="1" s="1"/>
  <c r="Z14" i="1" s="1"/>
  <c r="AA14" i="1" s="1"/>
  <c r="AB14" i="1" s="1"/>
  <c r="AC14" i="1" s="1"/>
  <c r="AD14" i="1" s="1"/>
  <c r="AE14" i="1" s="1"/>
  <c r="AF14" i="1" s="1"/>
  <c r="AG14" i="1" s="1"/>
  <c r="AH14" i="1" s="1"/>
  <c r="AI14" i="1" s="1"/>
  <c r="AJ14" i="1" s="1"/>
  <c r="AK14" i="1" s="1"/>
  <c r="AL14" i="1" s="1"/>
  <c r="AM14" i="1" s="1"/>
  <c r="AN14" i="1" s="1"/>
  <c r="AO14" i="1" s="1"/>
  <c r="AP14" i="1" s="1"/>
  <c r="AQ14" i="1" s="1"/>
  <c r="AJ37" i="31" l="1"/>
  <c r="AK36" i="31"/>
  <c r="H8" i="31"/>
  <c r="AX318" i="25"/>
  <c r="AL33" i="31" s="1"/>
  <c r="CA247" i="25"/>
  <c r="CB247" i="25" s="1"/>
  <c r="M8" i="31"/>
  <c r="K8" i="31"/>
  <c r="AY234" i="25"/>
  <c r="AY239" i="25"/>
  <c r="W239" i="25" s="1"/>
  <c r="AY248" i="25"/>
  <c r="AY318" i="25" s="1"/>
  <c r="AM33" i="31" s="1"/>
  <c r="AY236" i="25"/>
  <c r="W236" i="25" s="1"/>
  <c r="AX316" i="25"/>
  <c r="AL31" i="31" s="1"/>
  <c r="AX292" i="25"/>
  <c r="AL9" i="31" s="1"/>
  <c r="AX277" i="25"/>
  <c r="AX295" i="25"/>
  <c r="AL12" i="31" s="1"/>
  <c r="AW320" i="25"/>
  <c r="AW321" i="25" s="1"/>
  <c r="W291" i="25"/>
  <c r="W301" i="25"/>
  <c r="AY90" i="25"/>
  <c r="AY300" i="25" s="1"/>
  <c r="AM35" i="31" s="1"/>
  <c r="AY49" i="25"/>
  <c r="AZ248" i="25"/>
  <c r="AZ318" i="25" s="1"/>
  <c r="AN33" i="31" s="1"/>
  <c r="CA19" i="25"/>
  <c r="CB19" i="25" s="1"/>
  <c r="A105" i="21"/>
  <c r="A107" i="21"/>
  <c r="A99" i="21"/>
  <c r="A100" i="21"/>
  <c r="A101" i="21"/>
  <c r="A102" i="21"/>
  <c r="A103" i="21"/>
  <c r="A104" i="21"/>
  <c r="A91" i="21"/>
  <c r="A92" i="21"/>
  <c r="A93" i="21"/>
  <c r="A94" i="21"/>
  <c r="A95" i="21"/>
  <c r="A96" i="21"/>
  <c r="A97" i="21"/>
  <c r="A98" i="21"/>
  <c r="A60" i="21"/>
  <c r="A61" i="21"/>
  <c r="A63" i="21"/>
  <c r="A64" i="21"/>
  <c r="A65" i="21"/>
  <c r="A66" i="21"/>
  <c r="A67" i="21"/>
  <c r="A68" i="21"/>
  <c r="A69" i="21"/>
  <c r="A70" i="21"/>
  <c r="A71" i="21"/>
  <c r="A72" i="21"/>
  <c r="A73" i="21"/>
  <c r="A74" i="21"/>
  <c r="A77" i="21"/>
  <c r="A78" i="21"/>
  <c r="A79" i="21"/>
  <c r="A80" i="21"/>
  <c r="A81" i="21"/>
  <c r="A82" i="21"/>
  <c r="A83" i="21"/>
  <c r="A84" i="21"/>
  <c r="A85" i="21"/>
  <c r="A86" i="21"/>
  <c r="A87" i="21"/>
  <c r="A88" i="21"/>
  <c r="A89" i="21"/>
  <c r="A90" i="21"/>
  <c r="A59" i="21"/>
  <c r="A110" i="21"/>
  <c r="A7" i="21"/>
  <c r="A62" i="21" s="1"/>
  <c r="A108" i="21"/>
  <c r="A109" i="21"/>
  <c r="H40" i="1"/>
  <c r="H41" i="1"/>
  <c r="B39" i="1"/>
  <c r="B34" i="1"/>
  <c r="C34" i="1"/>
  <c r="K34" i="1"/>
  <c r="J34" i="1"/>
  <c r="C30" i="1"/>
  <c r="D30" i="1"/>
  <c r="E30" i="1"/>
  <c r="F30" i="1"/>
  <c r="B30" i="1"/>
  <c r="B24" i="1"/>
  <c r="AY316" i="25" l="1"/>
  <c r="AM31" i="31" s="1"/>
  <c r="H31" i="31" s="1"/>
  <c r="W234" i="25"/>
  <c r="G316" i="25" s="1"/>
  <c r="D31" i="31" s="1"/>
  <c r="E31" i="31" s="1"/>
  <c r="G31" i="31" s="1"/>
  <c r="CA248" i="25"/>
  <c r="CB248" i="25" s="1"/>
  <c r="CA239" i="25"/>
  <c r="CB239" i="25" s="1"/>
  <c r="H33" i="31"/>
  <c r="M33" i="31"/>
  <c r="K33" i="31"/>
  <c r="CA236" i="25"/>
  <c r="CB236" i="25" s="1"/>
  <c r="AK37" i="31"/>
  <c r="AY295" i="25"/>
  <c r="AM12" i="31" s="1"/>
  <c r="AY277" i="25"/>
  <c r="AL36" i="31"/>
  <c r="CA234" i="25"/>
  <c r="CB234" i="25" s="1"/>
  <c r="AX320" i="25"/>
  <c r="AX321" i="25" s="1"/>
  <c r="W318" i="25"/>
  <c r="AZ49" i="25"/>
  <c r="AZ90" i="25"/>
  <c r="U90" i="25" a="1"/>
  <c r="U90" i="25" s="1"/>
  <c r="L34" i="1"/>
  <c r="E34" i="1" s="1"/>
  <c r="B41" i="1"/>
  <c r="D41" i="1"/>
  <c r="C41" i="1"/>
  <c r="AM36" i="31" l="1"/>
  <c r="K31" i="31"/>
  <c r="AL37" i="31"/>
  <c r="AZ295" i="25"/>
  <c r="AN12" i="31" s="1"/>
  <c r="K12" i="31" s="1"/>
  <c r="AZ277" i="25"/>
  <c r="AZ300" i="25"/>
  <c r="AN35" i="31" s="1"/>
  <c r="AY320" i="25"/>
  <c r="AY321" i="25" s="1"/>
  <c r="BA90" i="25"/>
  <c r="BA277" i="25" s="1"/>
  <c r="CA49" i="25"/>
  <c r="CB49" i="25" s="1"/>
  <c r="AM37" i="31" l="1"/>
  <c r="AN36" i="31"/>
  <c r="H12" i="31"/>
  <c r="AZ320" i="25"/>
  <c r="AZ321" i="25" s="1"/>
  <c r="BA300" i="25"/>
  <c r="BB24" i="25"/>
  <c r="BB21" i="25"/>
  <c r="BB90" i="25"/>
  <c r="BB300" i="25" s="1"/>
  <c r="AP35" i="31" s="1"/>
  <c r="BB23" i="25"/>
  <c r="BB20" i="25"/>
  <c r="BA320" i="25" l="1"/>
  <c r="BA321" i="25" s="1"/>
  <c r="AO35" i="31"/>
  <c r="H35" i="31" s="1"/>
  <c r="BB277" i="25"/>
  <c r="AN37" i="31"/>
  <c r="BB292" i="25"/>
  <c r="W300" i="25"/>
  <c r="U23" i="25" a="1"/>
  <c r="U23" i="25" s="1"/>
  <c r="BC20" i="25"/>
  <c r="BC24" i="25"/>
  <c r="BC21" i="25"/>
  <c r="BC23" i="25"/>
  <c r="CA23" i="25" s="1"/>
  <c r="CB23" i="25" s="1"/>
  <c r="U20" i="25" a="1"/>
  <c r="U20" i="25" s="1"/>
  <c r="U21" i="25" a="1"/>
  <c r="U21" i="25" s="1"/>
  <c r="U24" i="25" a="1"/>
  <c r="U24" i="25" s="1"/>
  <c r="CA90" i="25"/>
  <c r="CB90" i="25" s="1"/>
  <c r="X235" i="25"/>
  <c r="U235" i="25" a="1"/>
  <c r="U235" i="25" s="1"/>
  <c r="BB320" i="25" l="1"/>
  <c r="BB321" i="25" s="1"/>
  <c r="AP9" i="31"/>
  <c r="BC277" i="25"/>
  <c r="AO36" i="31"/>
  <c r="AO37" i="31" s="1"/>
  <c r="K35" i="31"/>
  <c r="M35" i="31"/>
  <c r="CA20" i="25"/>
  <c r="CB20" i="25" s="1"/>
  <c r="BC292" i="25"/>
  <c r="BD24" i="25"/>
  <c r="BD21" i="25"/>
  <c r="X5" i="25"/>
  <c r="BD292" i="25" l="1"/>
  <c r="AR9" i="31" s="1"/>
  <c r="BD277" i="25"/>
  <c r="AP36" i="31"/>
  <c r="AP37" i="31" s="1"/>
  <c r="BC320" i="25"/>
  <c r="BC321" i="25" s="1"/>
  <c r="AQ9" i="31"/>
  <c r="BE21" i="25"/>
  <c r="BE24" i="25"/>
  <c r="CA24" i="25" s="1"/>
  <c r="CB24" i="25" s="1"/>
  <c r="BE277" i="25" l="1"/>
  <c r="AQ36" i="31"/>
  <c r="AQ37" i="31" s="1"/>
  <c r="H9" i="31"/>
  <c r="BD320" i="25"/>
  <c r="BD321" i="25" s="1"/>
  <c r="K9" i="31"/>
  <c r="K36" i="31" s="1"/>
  <c r="AR36" i="31"/>
  <c r="BE292" i="25"/>
  <c r="CA21" i="25"/>
  <c r="CB21" i="25" s="1"/>
  <c r="BE320" i="25" l="1"/>
  <c r="BE321" i="25" s="1"/>
  <c r="AS9" i="31"/>
  <c r="AR37" i="31"/>
  <c r="BG226" i="25"/>
  <c r="BG227" i="25"/>
  <c r="H36" i="31"/>
  <c r="W292" i="25"/>
  <c r="BG117" i="25"/>
  <c r="BG45" i="25"/>
  <c r="U45" i="25" s="1" a="1"/>
  <c r="U45" i="25" s="1"/>
  <c r="BG204" i="25"/>
  <c r="BG205" i="25"/>
  <c r="BG314" i="25" s="1"/>
  <c r="AU29" i="31" s="1"/>
  <c r="BG116" i="25"/>
  <c r="BG64" i="25"/>
  <c r="U64" i="25" s="1" a="1"/>
  <c r="U64" i="25" s="1"/>
  <c r="BG43" i="25"/>
  <c r="BG203" i="25"/>
  <c r="BG44" i="25"/>
  <c r="U44" i="25" s="1" a="1"/>
  <c r="U44" i="25" s="1"/>
  <c r="BG50" i="25"/>
  <c r="U50" i="25" s="1" a="1"/>
  <c r="U50" i="25" s="1"/>
  <c r="BG51" i="25"/>
  <c r="U51" i="25" s="1" a="1"/>
  <c r="U51" i="25" s="1"/>
  <c r="BG63" i="25"/>
  <c r="BG316" i="25" l="1"/>
  <c r="AU31" i="31" s="1"/>
  <c r="BG313" i="25"/>
  <c r="AU28" i="31" s="1"/>
  <c r="BH227" i="25"/>
  <c r="BH226" i="25"/>
  <c r="BG277" i="25"/>
  <c r="AS36" i="31"/>
  <c r="AS37" i="31" s="1"/>
  <c r="M9" i="31"/>
  <c r="L9" i="31"/>
  <c r="BG304" i="25"/>
  <c r="AU17" i="31" s="1"/>
  <c r="BG295" i="25"/>
  <c r="AU12" i="31" s="1"/>
  <c r="BG299" i="25"/>
  <c r="AU16" i="31" s="1"/>
  <c r="U117" i="25" a="1"/>
  <c r="U117" i="25" s="1"/>
  <c r="U63" i="25" a="1"/>
  <c r="U63" i="25" s="1"/>
  <c r="BH116" i="25"/>
  <c r="BH43" i="25"/>
  <c r="BH44" i="25"/>
  <c r="CA44" i="25" s="1"/>
  <c r="CB44" i="25" s="1"/>
  <c r="BH204" i="25"/>
  <c r="BH205" i="25"/>
  <c r="BH314" i="25" s="1"/>
  <c r="AV29" i="31" s="1"/>
  <c r="L29" i="31" s="1"/>
  <c r="BH117" i="25"/>
  <c r="BH203" i="25"/>
  <c r="BH51" i="25"/>
  <c r="BI227" i="25"/>
  <c r="BI316" i="25" s="1"/>
  <c r="AW31" i="31" s="1"/>
  <c r="BH45" i="25"/>
  <c r="BH50" i="25"/>
  <c r="CA50" i="25" s="1"/>
  <c r="CB50" i="25" s="1"/>
  <c r="BH64" i="25"/>
  <c r="BH63" i="25"/>
  <c r="BH299" i="25" s="1"/>
  <c r="AV16" i="31" s="1"/>
  <c r="U205" i="25" a="1"/>
  <c r="U205" i="25" s="1"/>
  <c r="U204" i="25" a="1"/>
  <c r="U204" i="25" s="1"/>
  <c r="U116" i="25" a="1"/>
  <c r="U116" i="25" s="1"/>
  <c r="U203" i="25" a="1"/>
  <c r="U203" i="25" s="1"/>
  <c r="U43" i="25" a="1"/>
  <c r="U43" i="25" s="1"/>
  <c r="BH316" i="25" l="1"/>
  <c r="AV31" i="31" s="1"/>
  <c r="BH313" i="25"/>
  <c r="AV28" i="31" s="1"/>
  <c r="CA226" i="25"/>
  <c r="CB226" i="25" s="1"/>
  <c r="BH277" i="25"/>
  <c r="M29" i="31"/>
  <c r="AU36" i="31"/>
  <c r="BH295" i="25"/>
  <c r="AV12" i="31" s="1"/>
  <c r="BH304" i="25"/>
  <c r="AV17" i="31" s="1"/>
  <c r="BG320" i="25"/>
  <c r="BG321" i="25" s="1"/>
  <c r="CA43" i="25"/>
  <c r="CB43" i="25" s="1"/>
  <c r="CA63" i="25"/>
  <c r="CB63" i="25" s="1"/>
  <c r="CA205" i="25"/>
  <c r="CB205" i="25" s="1"/>
  <c r="BI51" i="25"/>
  <c r="BJ227" i="25"/>
  <c r="BJ316" i="25" s="1"/>
  <c r="AX31" i="31" s="1"/>
  <c r="BI45" i="25"/>
  <c r="BI64" i="25"/>
  <c r="BI204" i="25"/>
  <c r="BI313" i="25" s="1"/>
  <c r="AW28" i="31" s="1"/>
  <c r="BI117" i="25"/>
  <c r="CA116" i="25"/>
  <c r="CB116" i="25" s="1"/>
  <c r="CA203" i="25"/>
  <c r="CB203" i="25" s="1"/>
  <c r="M31" i="31" l="1"/>
  <c r="AU37" i="31"/>
  <c r="AV36" i="31"/>
  <c r="BI277" i="25"/>
  <c r="CA227" i="25"/>
  <c r="CB227" i="25" s="1"/>
  <c r="L31" i="31"/>
  <c r="BI295" i="25"/>
  <c r="AW12" i="31" s="1"/>
  <c r="BI304" i="25"/>
  <c r="AW17" i="31" s="1"/>
  <c r="BI299" i="25"/>
  <c r="AW16" i="31" s="1"/>
  <c r="BH320" i="25"/>
  <c r="BH321" i="25" s="1"/>
  <c r="W314" i="25"/>
  <c r="W316" i="25"/>
  <c r="BJ64" i="25"/>
  <c r="BJ299" i="25" s="1"/>
  <c r="AX16" i="31" s="1"/>
  <c r="BJ45" i="25"/>
  <c r="BJ117" i="25"/>
  <c r="BJ204" i="25"/>
  <c r="BJ51" i="25"/>
  <c r="CA51" i="25" s="1"/>
  <c r="CB51" i="25" s="1"/>
  <c r="AV37" i="31" l="1"/>
  <c r="M16" i="31"/>
  <c r="L16" i="31"/>
  <c r="AW36" i="31"/>
  <c r="BJ277" i="25"/>
  <c r="W277" i="25" s="1"/>
  <c r="BJ295" i="25"/>
  <c r="AX12" i="31" s="1"/>
  <c r="BJ304" i="25"/>
  <c r="AX17" i="31" s="1"/>
  <c r="BJ313" i="25"/>
  <c r="BI320" i="25"/>
  <c r="BI321" i="25" s="1"/>
  <c r="CA204" i="25"/>
  <c r="CB204" i="25" s="1"/>
  <c r="CA64" i="25"/>
  <c r="CB64" i="25" s="1"/>
  <c r="CA45" i="25"/>
  <c r="CB45" i="25" s="1"/>
  <c r="CA117" i="25"/>
  <c r="CB117" i="25" s="1"/>
  <c r="AW37" i="31" l="1"/>
  <c r="M12" i="31"/>
  <c r="M17" i="31"/>
  <c r="L17" i="31"/>
  <c r="W313" i="25"/>
  <c r="AX28" i="31"/>
  <c r="L12" i="31"/>
  <c r="BJ320" i="25"/>
  <c r="BJ321" i="25" s="1"/>
  <c r="W299" i="25"/>
  <c r="W304" i="25"/>
  <c r="W295" i="25"/>
  <c r="W320" i="25" l="1"/>
  <c r="M28" i="31"/>
  <c r="L28" i="31"/>
  <c r="L36" i="31" s="1"/>
  <c r="AX36" i="31"/>
  <c r="AX37" i="31" s="1"/>
  <c r="M36" i="31" l="1"/>
  <c r="M37" i="31" l="1"/>
  <c r="T12"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tc={C7D7A35E-289A-42FC-A5AF-FF6CBC438197}</author>
    <author>tc={84535203-9262-4EFF-8658-179B875C6864}</author>
    <author>tc={9E34D009-669D-4587-893F-EC1EF8CD9CB6}</author>
  </authors>
  <commentList>
    <comment ref="I11" authorId="0" shapeId="0" xr:uid="{C7D7A35E-289A-42FC-A5AF-FF6CBC438197}">
      <text>
        <t>[Threaded comment]
Your version of Excel allows you to read this threaded comment; however, any edits to it will get removed if the file is opened in a newer version of Excel. Learn more: https://go.microsoft.com/fwlink/?linkid=870924
Comment:
    As Town centre 2000m2</t>
      </text>
    </comment>
    <comment ref="M11" authorId="1" shapeId="0" xr:uid="{84535203-9262-4EFF-8658-179B875C6864}">
      <text>
        <t>[Threaded comment]
Your version of Excel allows you to read this threaded comment; however, any edits to it will get removed if the file is opened in a newer version of Excel. Learn more: https://go.microsoft.com/fwlink/?linkid=870924
Comment:
    As Town centre 2000m2</t>
      </text>
    </comment>
    <comment ref="Q11" authorId="2" shapeId="0" xr:uid="{9E34D009-669D-4587-893F-EC1EF8CD9CB6}">
      <text>
        <t>[Threaded comment]
Your version of Excel allows you to read this threaded comment; however, any edits to it will get removed if the file is opened in a newer version of Excel. Learn more: https://go.microsoft.com/fwlink/?linkid=870924
Comment:
    If 2023, can signal has been SULs for some time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<sst xmlns="http://schemas.openxmlformats.org/spreadsheetml/2006/main" count="2587" uniqueCount="945">
  <si>
    <t>Measures (percent)</t>
  </si>
  <si>
    <t>2023/24</t>
  </si>
  <si>
    <t>2024/25</t>
  </si>
  <si>
    <t>2025/26</t>
  </si>
  <si>
    <t>2026/27</t>
  </si>
  <si>
    <t>2027/28 +</t>
  </si>
  <si>
    <t>source: Chief Economist Unit May 2024</t>
  </si>
  <si>
    <t>at Jun23</t>
  </si>
  <si>
    <t>Labour cost escalation</t>
  </si>
  <si>
    <t>reported private sector, StatsNZ</t>
  </si>
  <si>
    <t>2020/2021</t>
  </si>
  <si>
    <t>2021/2022</t>
  </si>
  <si>
    <t>2022/23</t>
  </si>
  <si>
    <t>Long-run projection</t>
  </si>
  <si>
    <t xml:space="preserve">Land cost escalation </t>
  </si>
  <si>
    <t>Construction cost escalation</t>
  </si>
  <si>
    <t>more history in array cell P19</t>
  </si>
  <si>
    <t>Construction cost index</t>
  </si>
  <si>
    <t>Transaction and other costs</t>
  </si>
  <si>
    <t>in 2022</t>
  </si>
  <si>
    <t>FY23</t>
  </si>
  <si>
    <t>FY24</t>
  </si>
  <si>
    <t>FY25</t>
  </si>
  <si>
    <t>FY26</t>
  </si>
  <si>
    <t>FY27</t>
  </si>
  <si>
    <t>FY28</t>
  </si>
  <si>
    <t>FY29</t>
  </si>
  <si>
    <t>FY30</t>
  </si>
  <si>
    <t>FY31</t>
  </si>
  <si>
    <t>FY32</t>
  </si>
  <si>
    <t>FY33</t>
  </si>
  <si>
    <t>FY34</t>
  </si>
  <si>
    <t>FY35</t>
  </si>
  <si>
    <t>FY36</t>
  </si>
  <si>
    <t>FY37</t>
  </si>
  <si>
    <t>FY38</t>
  </si>
  <si>
    <t>FY39</t>
  </si>
  <si>
    <t>FY40</t>
  </si>
  <si>
    <t>FY41</t>
  </si>
  <si>
    <t>FY42</t>
  </si>
  <si>
    <t>FY43</t>
  </si>
  <si>
    <t>FY44</t>
  </si>
  <si>
    <t>FY45</t>
  </si>
  <si>
    <t>FY46</t>
  </si>
  <si>
    <t>FY47</t>
  </si>
  <si>
    <t>FY48</t>
  </si>
  <si>
    <t>FY49</t>
  </si>
  <si>
    <t>FY50</t>
  </si>
  <si>
    <t>FY51</t>
  </si>
  <si>
    <t>FY52</t>
  </si>
  <si>
    <t>FY53</t>
  </si>
  <si>
    <t>FY54</t>
  </si>
  <si>
    <t>FY55</t>
  </si>
  <si>
    <t>FY56</t>
  </si>
  <si>
    <t>FY57</t>
  </si>
  <si>
    <t>FY58</t>
  </si>
  <si>
    <t>FY59</t>
  </si>
  <si>
    <t>FY60</t>
  </si>
  <si>
    <t>FY61</t>
  </si>
  <si>
    <t>FY62</t>
  </si>
  <si>
    <t>index LCI</t>
  </si>
  <si>
    <t>Land transaction costs</t>
  </si>
  <si>
    <t>1. Future Urban</t>
  </si>
  <si>
    <t>2. Urban Zoning</t>
  </si>
  <si>
    <t>3. Infrastructure Installed</t>
  </si>
  <si>
    <t>4a. Superlots</t>
  </si>
  <si>
    <t>4b. Compact Lots</t>
  </si>
  <si>
    <t>interpolation</t>
  </si>
  <si>
    <t>Stage</t>
  </si>
  <si>
    <t>FUZ</t>
  </si>
  <si>
    <t>UZ</t>
  </si>
  <si>
    <t>II</t>
  </si>
  <si>
    <t>SUL</t>
  </si>
  <si>
    <t>CL</t>
  </si>
  <si>
    <t>construction costs: chief economist recommends using the PPI Output index for construction cost inflation</t>
  </si>
  <si>
    <t>NORTH (MID POINT)</t>
  </si>
  <si>
    <t>Quarter</t>
  </si>
  <si>
    <t>Industry</t>
  </si>
  <si>
    <t>Industry Code</t>
  </si>
  <si>
    <t>Measure</t>
  </si>
  <si>
    <t>Value</t>
  </si>
  <si>
    <t>Chief adviser unit series</t>
  </si>
  <si>
    <t>Wellsford</t>
  </si>
  <si>
    <t>based on warkworth</t>
  </si>
  <si>
    <t>1994 Q2</t>
  </si>
  <si>
    <t>Construction services</t>
  </si>
  <si>
    <t>E32</t>
  </si>
  <si>
    <t>Producers Price Index (Outputs)</t>
  </si>
  <si>
    <t>Warkworth</t>
  </si>
  <si>
    <t>1995 Q2</t>
  </si>
  <si>
    <t>Dairy Flat</t>
  </si>
  <si>
    <t>apply Orewa, won’t use SULc</t>
  </si>
  <si>
    <t>1996 Q2</t>
  </si>
  <si>
    <t>Orewa-Hibiscus</t>
  </si>
  <si>
    <t>apply midpoint</t>
  </si>
  <si>
    <t>1997 Q2</t>
  </si>
  <si>
    <t>North Shore</t>
  </si>
  <si>
    <t>NA</t>
  </si>
  <si>
    <t>extrapolate whenuapai</t>
  </si>
  <si>
    <t>1998 Q2</t>
  </si>
  <si>
    <t>NORTH WEST (MID POINT)</t>
  </si>
  <si>
    <t>1999 Q2</t>
  </si>
  <si>
    <t>Redhills</t>
  </si>
  <si>
    <t>2000 Q2</t>
  </si>
  <si>
    <t>Whenuapai</t>
  </si>
  <si>
    <t>2001 Q2</t>
  </si>
  <si>
    <t>Riverhead-Huapai-Kumeu</t>
  </si>
  <si>
    <t>2002 Q2</t>
  </si>
  <si>
    <t>North of Huapai</t>
  </si>
  <si>
    <t>apply Puke/Paerata</t>
  </si>
  <si>
    <t>2003 Q2</t>
  </si>
  <si>
    <t>EAST (MID POINT)</t>
  </si>
  <si>
    <t>2004 Q2</t>
  </si>
  <si>
    <t>Flatbush</t>
  </si>
  <si>
    <t>FUZ and UZ not needed</t>
  </si>
  <si>
    <t>2005 Q2</t>
  </si>
  <si>
    <t>Tamaki</t>
  </si>
  <si>
    <t>off II</t>
  </si>
  <si>
    <t>off SULc</t>
  </si>
  <si>
    <t>2006 Q2</t>
  </si>
  <si>
    <t>Maraetai/Clevedon</t>
  </si>
  <si>
    <t>apply Puke/Paerata interpolation</t>
  </si>
  <si>
    <t>2007 Q2</t>
  </si>
  <si>
    <t>SOUTH (MID POINT)</t>
  </si>
  <si>
    <t>2008 Q2</t>
  </si>
  <si>
    <t>Takanini</t>
  </si>
  <si>
    <t>matches Drury, extrapolate</t>
  </si>
  <si>
    <t>2009 Q2</t>
  </si>
  <si>
    <t>Opaheke / Drury</t>
  </si>
  <si>
    <t>2010 Q2</t>
  </si>
  <si>
    <t>Puhinui</t>
  </si>
  <si>
    <t>no needed for parks</t>
  </si>
  <si>
    <t>2011 Q2</t>
  </si>
  <si>
    <t>extrapolate</t>
  </si>
  <si>
    <t>index could apply, 1000 in 2024</t>
  </si>
  <si>
    <t>Hingaia</t>
  </si>
  <si>
    <t>off Drury</t>
  </si>
  <si>
    <t>2012 Q2</t>
  </si>
  <si>
    <t>check</t>
  </si>
  <si>
    <t>Paerata / Pukekohe</t>
  </si>
  <si>
    <t>avg SULs,c</t>
  </si>
  <si>
    <t>2013 Q2</t>
  </si>
  <si>
    <t>Glenbrook, Clarks Beach</t>
  </si>
  <si>
    <t>off Pukekohe</t>
  </si>
  <si>
    <t>2014 Q2</t>
  </si>
  <si>
    <t>2015 Q2</t>
  </si>
  <si>
    <t>Vlookup count</t>
  </si>
  <si>
    <t>2016 Q2</t>
  </si>
  <si>
    <t>2017 Q2</t>
  </si>
  <si>
    <t>2018 Q2</t>
  </si>
  <si>
    <t>2019 Q2</t>
  </si>
  <si>
    <t>2020 Q2</t>
  </si>
  <si>
    <t>2021 Q2</t>
  </si>
  <si>
    <t>2022 Q2</t>
  </si>
  <si>
    <t>average $psm for development not incl contingency or inflation are:</t>
  </si>
  <si>
    <t>park size/type</t>
  </si>
  <si>
    <t>FY24 in 2024$</t>
  </si>
  <si>
    <t>3000 spec NHP</t>
  </si>
  <si>
    <t>4000 NHP</t>
  </si>
  <si>
    <t>50000 sub</t>
  </si>
  <si>
    <t>50000 sport</t>
  </si>
  <si>
    <t>source: 2023 park dev caclulator</t>
  </si>
  <si>
    <t>source AHP maginal needs analysis from detailed OSNP compared to PCF costings</t>
  </si>
  <si>
    <t>Park component costs</t>
  </si>
  <si>
    <t>in 2024$</t>
  </si>
  <si>
    <t>size m2</t>
  </si>
  <si>
    <t>Site clearance/reinstatement</t>
  </si>
  <si>
    <t>Destination playspace</t>
  </si>
  <si>
    <t>ranges from $600-1200k</t>
  </si>
  <si>
    <t>Half court</t>
  </si>
  <si>
    <t>fitness, learn-to-ride</t>
  </si>
  <si>
    <t>general furniture</t>
  </si>
  <si>
    <t>Toilet</t>
  </si>
  <si>
    <t>Paths</t>
  </si>
  <si>
    <t>planting</t>
  </si>
  <si>
    <t>Artwork</t>
  </si>
  <si>
    <t>Total items</t>
  </si>
  <si>
    <t>Gross incl contractor council</t>
  </si>
  <si>
    <t>$psm</t>
  </si>
  <si>
    <t>escalation</t>
  </si>
  <si>
    <t>contingency (cumulative on above)</t>
  </si>
  <si>
    <t>In 2024$</t>
  </si>
  <si>
    <t>path $psm</t>
  </si>
  <si>
    <t>assume2.5m width</t>
  </si>
  <si>
    <t>path $ p.linear m</t>
  </si>
  <si>
    <t>board walk plm</t>
  </si>
  <si>
    <t>Notes</t>
  </si>
  <si>
    <t>Rural North</t>
  </si>
  <si>
    <t>Rural NW</t>
  </si>
  <si>
    <t>Warkworth NE, N, W, S</t>
  </si>
  <si>
    <t>Hibiscus</t>
  </si>
  <si>
    <t>Wainui east MD</t>
  </si>
  <si>
    <t>Upper Orewa</t>
  </si>
  <si>
    <t>Dairy Flat (incl W.East new)</t>
  </si>
  <si>
    <t>Kumeu-Huapai-RH RedFlag</t>
  </si>
  <si>
    <t>Kumeu-Huapai-RH</t>
  </si>
  <si>
    <t>ScottPt-BombPt</t>
  </si>
  <si>
    <t>Whenuapai Sc1</t>
  </si>
  <si>
    <t>West</t>
  </si>
  <si>
    <t>Roskill</t>
  </si>
  <si>
    <t>Central</t>
  </si>
  <si>
    <t>South (East)</t>
  </si>
  <si>
    <t>South (West)</t>
  </si>
  <si>
    <t>Mangere</t>
  </si>
  <si>
    <t>Takanini North</t>
  </si>
  <si>
    <t>Takanini South</t>
  </si>
  <si>
    <t>Drury</t>
  </si>
  <si>
    <t>Pukekohe</t>
  </si>
  <si>
    <t>Rural SW</t>
  </si>
  <si>
    <t>Rural SE</t>
  </si>
  <si>
    <t>Reg Sportsfield</t>
  </si>
  <si>
    <t>unalloc</t>
  </si>
  <si>
    <t>Park type</t>
  </si>
  <si>
    <t>size (sqm)</t>
  </si>
  <si>
    <t>Suburb Park</t>
  </si>
  <si>
    <t>Neighbourhood Park</t>
  </si>
  <si>
    <t>Organised Sport</t>
  </si>
  <si>
    <t>Local centre</t>
  </si>
  <si>
    <t>Town centre</t>
  </si>
  <si>
    <t>Development phasing</t>
  </si>
  <si>
    <t>Lookup</t>
  </si>
  <si>
    <t>start</t>
  </si>
  <si>
    <t>Y1</t>
  </si>
  <si>
    <t>Y2</t>
  </si>
  <si>
    <t>Y3</t>
  </si>
  <si>
    <t>Y4</t>
  </si>
  <si>
    <t>Suburb</t>
  </si>
  <si>
    <t>2 years lag after acquisition if known, or year 5 of SUL</t>
  </si>
  <si>
    <t>NHP</t>
  </si>
  <si>
    <t>Sport</t>
  </si>
  <si>
    <t>Local</t>
  </si>
  <si>
    <t>Town</t>
  </si>
  <si>
    <t>this means 1 years gap between parks acquired, development commencing in 2nd year after 3rd year SUL</t>
  </si>
  <si>
    <t>Inner North-West</t>
  </si>
  <si>
    <t>Redhills Precinct area</t>
  </si>
  <si>
    <t>Redhills North/Whenuapai west</t>
  </si>
  <si>
    <t>Whenuapai North (Stage 1a)</t>
  </si>
  <si>
    <t>Whenuapai north (Stage 1b)</t>
  </si>
  <si>
    <t>Whenuapai North (Stage 2)</t>
  </si>
  <si>
    <t>Whenuapai East/South</t>
  </si>
  <si>
    <t>Northwest</t>
  </si>
  <si>
    <t>Riverhead</t>
  </si>
  <si>
    <t>Warkworth North (remainder)</t>
  </si>
  <si>
    <t>Warkworth West (remainder)</t>
  </si>
  <si>
    <t>Warkworth North-East</t>
  </si>
  <si>
    <t>Warkworth South-Central</t>
  </si>
  <si>
    <t>Warkworth South-East, South-west</t>
  </si>
  <si>
    <t>North</t>
  </si>
  <si>
    <t>Weiti</t>
  </si>
  <si>
    <t>Wainui East</t>
  </si>
  <si>
    <t>Takaanini &amp; Cosgrave Road</t>
  </si>
  <si>
    <t>Drury-Opaheke 2024</t>
  </si>
  <si>
    <t>Opaheke</t>
  </si>
  <si>
    <t>Drury East</t>
  </si>
  <si>
    <t>Drury West (Stage 1) (remainder)</t>
  </si>
  <si>
    <t>Drury West (Stage 2)</t>
  </si>
  <si>
    <t>Drury West (Stage 3) (remainder)</t>
  </si>
  <si>
    <t>Drury East PC area</t>
  </si>
  <si>
    <t>Auranga Existing Development</t>
  </si>
  <si>
    <t>Drury South</t>
  </si>
  <si>
    <t>Pukekohe &amp; Paerata</t>
  </si>
  <si>
    <t>Paerata South</t>
  </si>
  <si>
    <t>Paerata West, Pukekohe North-east, North-west, South-east</t>
  </si>
  <si>
    <t>Pukekohe East, South-west</t>
  </si>
  <si>
    <t>Other</t>
  </si>
  <si>
    <t>Algies Bay</t>
  </si>
  <si>
    <t>Albany Villlage</t>
  </si>
  <si>
    <t xml:space="preserve">Helensville </t>
  </si>
  <si>
    <t>Oruarangi</t>
  </si>
  <si>
    <t>Clarks Beach</t>
  </si>
  <si>
    <t>Glenbrook Beach</t>
  </si>
  <si>
    <t>Scenario 2 differences</t>
  </si>
  <si>
    <t>Land price uninflated</t>
  </si>
  <si>
    <t>Funding area</t>
  </si>
  <si>
    <t>10y $</t>
  </si>
  <si>
    <t>Project</t>
  </si>
  <si>
    <t>Local Board</t>
  </si>
  <si>
    <t>Cost Object</t>
  </si>
  <si>
    <t>2025 Budget</t>
  </si>
  <si>
    <t>Sum of 2026
Budget</t>
  </si>
  <si>
    <t>Sum of 2027
Budget</t>
  </si>
  <si>
    <t>Sum of 2028
Budget</t>
  </si>
  <si>
    <t>Sum of 2029
Budget</t>
  </si>
  <si>
    <t>Sum of 2030
Budget</t>
  </si>
  <si>
    <t>Sum of 2031
Budget</t>
  </si>
  <si>
    <t>Sum of 2032
Budget</t>
  </si>
  <si>
    <t>Sum of 2033
Budget</t>
  </si>
  <si>
    <t>Sum of 2034
Budget</t>
  </si>
  <si>
    <t>PC2312635 - Te Whau pathway</t>
  </si>
  <si>
    <t>120 - Henderson-Massey</t>
  </si>
  <si>
    <t>N.010152.05.03 - Te Whau Pathwy-Sec 5-develop concrete</t>
  </si>
  <si>
    <t>200 - Whau</t>
  </si>
  <si>
    <t>N.010152.21.01 - Te Whau PatW Stg 2A - develop brdwlk con</t>
  </si>
  <si>
    <t>PC2312667 - Tamaki Path - Stage 2</t>
  </si>
  <si>
    <t>150 - Maungakiekie-Tamaki</t>
  </si>
  <si>
    <t>N.011182.01 - Tamaki Path - Stage 2</t>
  </si>
  <si>
    <t>PC3200693 - Walkway and cycleway paths (Flat Bush)</t>
  </si>
  <si>
    <t>130 - Howick</t>
  </si>
  <si>
    <t>N.005640.01.01 - Flat Bush Norwood Bridge</t>
  </si>
  <si>
    <t>PC3200792 - Community centre replacement (Avondale)</t>
  </si>
  <si>
    <t>N.009988.21.01 - Avondale - dev new community centre and</t>
  </si>
  <si>
    <t>PC3200889 - Sportspark Development (Waikaraka Park)</t>
  </si>
  <si>
    <t>N.010011.11.01 - Waikaraka Park - improve and extnd field</t>
  </si>
  <si>
    <t>PC3200916 - Play space, walkway and landscaping (Crown Lynn)</t>
  </si>
  <si>
    <t>N.002934.03.02 - Crown Lynn Park Development</t>
  </si>
  <si>
    <t>PC3201000 - Sports and Local park development</t>
  </si>
  <si>
    <t>210 - Other (Unallocated)</t>
  </si>
  <si>
    <t>N.009995.30 - Sports and Local park development</t>
  </si>
  <si>
    <t>PC3201336 - Development (Purchase Hill)</t>
  </si>
  <si>
    <t>155 - Orakei</t>
  </si>
  <si>
    <t>N.010032.22.01 - Purchas Hill/TT Res-dvlp of green O S</t>
  </si>
  <si>
    <t>PC3201413 - Land acquisition - Local parks</t>
  </si>
  <si>
    <t>050 - Regional</t>
  </si>
  <si>
    <t>N.004360.01 - Local park acquisitions</t>
  </si>
  <si>
    <t>PC3201414 - Land acquisition - Minor regional</t>
  </si>
  <si>
    <t>N.004361.01 - Regional parks aquisitions</t>
  </si>
  <si>
    <t>PC3201441 - Playspace (Flat Bush)</t>
  </si>
  <si>
    <t>N.010035.07.01 - Flat Bush - develop playspace</t>
  </si>
  <si>
    <t>PC3201442 - Sportsfields development (Ostrich Farm)</t>
  </si>
  <si>
    <t>N.010036.07.01 - Ostrich Farm - sand slits, drain, irrig</t>
  </si>
  <si>
    <t>PC3201491 - Park development and community hall - growth</t>
  </si>
  <si>
    <t>N.010038.30 - Park dev &amp; community hall -growth</t>
  </si>
  <si>
    <t>PC3201501 - General park development</t>
  </si>
  <si>
    <t>110 - Franklin</t>
  </si>
  <si>
    <t>N.009960.03.01 - Beachlands, 6 Angiangi Crescent - develo</t>
  </si>
  <si>
    <t>N.009960.03.03 - Kahawairahi Drive Res - install O S asts</t>
  </si>
  <si>
    <t>125 - Hibiscus and Bays</t>
  </si>
  <si>
    <t>N.009960.06.01 - Metro Park West - develop reserve</t>
  </si>
  <si>
    <t>N.009960.06.02 - 86 Harvest Ave, Orewa - develop new neig</t>
  </si>
  <si>
    <t>N.009960.07.01 - Thomas Road Recreation Reserve - develop</t>
  </si>
  <si>
    <t>140 - Mangere-Otahuhu</t>
  </si>
  <si>
    <t>N.005219.03.06 - David Lange Park - upgrade suburb park</t>
  </si>
  <si>
    <t>N.005219.03.07 - Sturges Park - demolish &amp; upgrade FAC</t>
  </si>
  <si>
    <t>N.009960.11.04 - East View Reserve - develop general park</t>
  </si>
  <si>
    <t>N.009960.11.05 - Johnson Reserve - develop general park</t>
  </si>
  <si>
    <t>N.009960.11.06 - Taurima Reserve - develop general park</t>
  </si>
  <si>
    <t>N.009960.11.07 - Boundary Res West – develop suburb park</t>
  </si>
  <si>
    <t>N.009960.11.08 - Dunkirk Res - develop neighbourhood park</t>
  </si>
  <si>
    <t>N.009960.11.09 - Elstree North Res - develop general park</t>
  </si>
  <si>
    <t>N.009960.11.10 - Maybury Res West-develop destination prk</t>
  </si>
  <si>
    <t>160 - Otara-Papatoetoe</t>
  </si>
  <si>
    <t>N.005219.05.03 - Aorere PK- demolish &amp; rebuild change FAC</t>
  </si>
  <si>
    <t>165 - Papakura</t>
  </si>
  <si>
    <t>N.009960.14.03 - 935 Papakura-Clevedon Road subdivision -</t>
  </si>
  <si>
    <t>N.009960.14.05 - Kirikiri res - dvp new neighbourhood prk</t>
  </si>
  <si>
    <t>170 - Puketapapa</t>
  </si>
  <si>
    <t>N.009960.15.02 - Turner Res - develop toilet facilities</t>
  </si>
  <si>
    <t>175 - Rodney</t>
  </si>
  <si>
    <t>N.009960.16.02 - Rodney - develop toilet facilities</t>
  </si>
  <si>
    <t>N.009960.16.03 - Dida Park Drive, Huapai - develop new ne</t>
  </si>
  <si>
    <t>N.009960.16.04 - Glasgow Park - develop toilet facilities</t>
  </si>
  <si>
    <t>N.009960.16.05 - Waterloo res Milldale-dvp new subrb prk</t>
  </si>
  <si>
    <t>180 - Upper Harbour</t>
  </si>
  <si>
    <t>N.009960.17.02 - Scott Point-dvp sus spts prk (Stage 1b)</t>
  </si>
  <si>
    <t>190 - Waitakere Ranges</t>
  </si>
  <si>
    <t>N.009960.19.02 - Koroi /Clayburn Res-dev neighbourhood pk</t>
  </si>
  <si>
    <t>N.011836.01 - General park development - unallocated</t>
  </si>
  <si>
    <t>PC3201502 - Playscape development</t>
  </si>
  <si>
    <t>N.007135.03.03 - Ray Faussett Nghbhd Park nw park dev PD</t>
  </si>
  <si>
    <t>N.009961.09.01 - David Lange Park - build new playground</t>
  </si>
  <si>
    <t>N.009961.09.02 - Imrie Park-upg plyg &amp; insl perimeter pth</t>
  </si>
  <si>
    <t>N.009961.16.03 - Riverhead War Mem Pk-optimise playspace</t>
  </si>
  <si>
    <t>PC3201503 - Greenway and walkway development</t>
  </si>
  <si>
    <t>135 - Kaipatiki</t>
  </si>
  <si>
    <t>N.009962.08.01 - Awataha Greenway pln-contb to dvpment</t>
  </si>
  <si>
    <t>N.009962.11.02 - Ruapotaka Res-dvp greenway connection</t>
  </si>
  <si>
    <t>N.009962.16.02 - Kowhai prk-dvp walkway/cycleway-stg 2</t>
  </si>
  <si>
    <t>N.009962.17.01 - Upper Harbour - implement actions from t</t>
  </si>
  <si>
    <t>PC3201504 - Sport development</t>
  </si>
  <si>
    <t>N.009963.03.05 - Belmont Park - develop sports park</t>
  </si>
  <si>
    <t>N.009963.09.02 - WM Park-upg sports fields &amp; lighting</t>
  </si>
  <si>
    <t>N.009963.09.03 - David Lange Park - upgrade netball FAC</t>
  </si>
  <si>
    <t>N.009963.12.04 - CM Park-dvlp sports infst-stage 2</t>
  </si>
  <si>
    <t>N.009963.13.02 - Rongomai Park - upgrade sportsfields</t>
  </si>
  <si>
    <t>N.009963.13.03 - East Tamaki Res - upgrade sports fields</t>
  </si>
  <si>
    <t>N.009963.13.04 - Rongomai prk-upgrade sportsfields 4 &amp; 5</t>
  </si>
  <si>
    <t>N.009963.37.01 - PFund - Scott Point-dev sustain sprt prk</t>
  </si>
  <si>
    <t>N.007739.19.01 - Sports lighting &amp; sportfield upgrades</t>
  </si>
  <si>
    <t>PC3201514 - BMX track (Colin Maiden Park)</t>
  </si>
  <si>
    <t>N.010039.22 - BMX track Colin Maiden Park</t>
  </si>
  <si>
    <t>PC3201520 - Development (Styak-Lushington park)</t>
  </si>
  <si>
    <t>N.010041.07.01 - Greenmount Development - develop public</t>
  </si>
  <si>
    <t>PC3201527 - Locally driven initiatives (LDI Capex)</t>
  </si>
  <si>
    <t>N.009964.03.02 - Pohutukawa Coast Trails - implement plan</t>
  </si>
  <si>
    <t>N.009964.03.22 - Puke Clarks Beach,Trails-dvp delivry prg</t>
  </si>
  <si>
    <t>N.009964.03.23 - P-P Paths-dvp Rte 4-PukeStd,ErniesRes</t>
  </si>
  <si>
    <t>N.009964.03.24 - P-P Paths-dvp Rte 5-Hickeys Rec res</t>
  </si>
  <si>
    <t>N.009964.03.25 - P-P Paths-dvp Route 7-Bledisloe prk</t>
  </si>
  <si>
    <t>N.009964.03.26 - Clevedon Scenic Res-dvp Nikau Pa tracks</t>
  </si>
  <si>
    <t>N.009964.03.28 - Karaka Sports Park - renew accessway</t>
  </si>
  <si>
    <t>N.009964.06.27 - Sd War Memorial pk-dvlp new pathway</t>
  </si>
  <si>
    <t>N.009964.09.09 - N H Mgr ctr prk-constof new ablution blk</t>
  </si>
  <si>
    <t>N.009964.09.12 - NHM/M Ctr Park-dvlp new pathway</t>
  </si>
  <si>
    <t>N.009964.15.03 - Waikowhai Walkways - devment of priority</t>
  </si>
  <si>
    <t>N.009964.17.17 - Whenuapai - investigate and develop new</t>
  </si>
  <si>
    <t>PC3201597 - One Local Board Initiative (OLI)</t>
  </si>
  <si>
    <t>100 - Albert-Eden</t>
  </si>
  <si>
    <t>N.009966.01 - One Local Board Initiative (OLI)_100</t>
  </si>
  <si>
    <t>N.009966.03.01 - OLI Karaka Sports Park - develop facil</t>
  </si>
  <si>
    <t>N.009966.05 - One Local Board Initiative (OLI)_120</t>
  </si>
  <si>
    <t>N.009966.06.01 - OLI Orewa Beach - Kohu-Marine View - n</t>
  </si>
  <si>
    <t>N.010050.07.01 - (OLI) - Flat Bush - dev library and Comm</t>
  </si>
  <si>
    <t>n/a</t>
  </si>
  <si>
    <t>N.009966.08.01 - OLI Birkenhead War Memorial Park - del</t>
  </si>
  <si>
    <t>N.009966.09 - One Local Board Initiative (OLI)_140: Walter Massey Park</t>
  </si>
  <si>
    <t>145 - Manurewa</t>
  </si>
  <si>
    <t>N.009966.10.01 - OLI Manurewa War Mem Park - m-use fac</t>
  </si>
  <si>
    <t>N.009966.16 - One Local Board Initiative (OLI)_175</t>
  </si>
  <si>
    <t>N.009966.17 - One Local Board Initiative (OLI)_180</t>
  </si>
  <si>
    <t>N.010051.19 - Town centre plan (Glen Eden)</t>
  </si>
  <si>
    <t>N.010051.21 - Recreation centre development</t>
  </si>
  <si>
    <t>N.009966.28 - One Local Bd Initiative (OLI)_210_CF PD</t>
  </si>
  <si>
    <t>Expense category</t>
  </si>
  <si>
    <t>Total</t>
  </si>
  <si>
    <t>10y</t>
  </si>
  <si>
    <t>acq</t>
  </si>
  <si>
    <t>Open space Development modelling</t>
  </si>
  <si>
    <t>LTP specific projects</t>
  </si>
  <si>
    <t>LTP Sport &amp; gen park dev Unalloc</t>
  </si>
  <si>
    <t>available unalloc</t>
  </si>
  <si>
    <t>Live</t>
  </si>
  <si>
    <t>diff</t>
  </si>
  <si>
    <t>Modelled</t>
  </si>
  <si>
    <t>Acquisition</t>
  </si>
  <si>
    <t>Development</t>
  </si>
  <si>
    <t>Area</t>
  </si>
  <si>
    <t>Total LTP and modelled</t>
  </si>
  <si>
    <t>To be acquired and/or developed from 2024</t>
  </si>
  <si>
    <t>from acq model</t>
  </si>
  <si>
    <t>$m</t>
  </si>
  <si>
    <t>2024 $m</t>
  </si>
  <si>
    <t>reconcile</t>
  </si>
  <si>
    <t>Price area</t>
  </si>
  <si>
    <t>FA mix</t>
  </si>
  <si>
    <t>FDS area</t>
  </si>
  <si>
    <t>notes</t>
  </si>
  <si>
    <t>SBP</t>
  </si>
  <si>
    <t>SPP</t>
  </si>
  <si>
    <t>Civic</t>
  </si>
  <si>
    <t>dev assump</t>
  </si>
  <si>
    <t>UZ from</t>
  </si>
  <si>
    <t>II from</t>
  </si>
  <si>
    <t>SUL from</t>
  </si>
  <si>
    <t>Y last acq</t>
  </si>
  <si>
    <t>m2</t>
  </si>
  <si>
    <t>all yrs</t>
  </si>
  <si>
    <t>calc</t>
  </si>
  <si>
    <t>$m all yrs</t>
  </si>
  <si>
    <t>funding area check</t>
  </si>
  <si>
    <t>modelled</t>
  </si>
  <si>
    <t>n/a initial timing from budget phasing</t>
  </si>
  <si>
    <t>LTP</t>
  </si>
  <si>
    <t>GW WkW structure plan</t>
  </si>
  <si>
    <t>completed</t>
  </si>
  <si>
    <t>structure plan describes riparian routes, on road and off road. P21 of 2019 structure plan doesn’t separate off road and on road. But 2.5km is indicated to extend Kowhai park (LtP) into show grounds is completed</t>
  </si>
  <si>
    <t>nil</t>
  </si>
  <si>
    <t>Warkworth N LZ</t>
  </si>
  <si>
    <t>phased by sat inspection</t>
  </si>
  <si>
    <t>Warkworth West LZ</t>
  </si>
  <si>
    <t>Hatfield</t>
  </si>
  <si>
    <t>1 NHP assume to be removed</t>
  </si>
  <si>
    <t>HB&amp;Bys GW plan</t>
  </si>
  <si>
    <t>Alice Eaves to Hatfield</t>
  </si>
  <si>
    <t>is not riparian, $360k in 2016; is not complete</t>
  </si>
  <si>
    <t>Alice eaves to West Hoe</t>
  </si>
  <si>
    <t>half riparian, rest bush $950k in 2016, 33% possible, uncertain placement, not costed</t>
  </si>
  <si>
    <t>Orewa Millwater LZ</t>
  </si>
  <si>
    <t>SUL, unk, Arran Pt</t>
  </si>
  <si>
    <t>spec'd price</t>
  </si>
  <si>
    <t>Rockpool, 7015m2, $2.327m</t>
  </si>
  <si>
    <t>256WestH, 3000m2 $1.4m</t>
  </si>
  <si>
    <t>acquired</t>
  </si>
  <si>
    <t>crozier, 3020m2, brown</t>
  </si>
  <si>
    <t>Oro, Cassidy, each 3000m2, grass</t>
  </si>
  <si>
    <t>grass, assume 3x develop, less some planting</t>
  </si>
  <si>
    <t>Silverdale LZ</t>
  </si>
  <si>
    <t>Pohewa, 3000m2, grass</t>
  </si>
  <si>
    <t>grass</t>
  </si>
  <si>
    <t>Milldale LZ</t>
  </si>
  <si>
    <t>2xcivic, grass, bridge</t>
  </si>
  <si>
    <t>bridge and paths completed, is 9000m2; assume 4000m2 and items</t>
  </si>
  <si>
    <t>10y area. Milldale alredy has cycling network planned</t>
  </si>
  <si>
    <t>to be acq, assume SULs</t>
  </si>
  <si>
    <t>CCS budgeted development; to be acq, assume SULs; so assume this is actually civic park development</t>
  </si>
  <si>
    <t>complete, lots of riparian margins</t>
  </si>
  <si>
    <t>Kumeu-Huapai and Riverhead</t>
  </si>
  <si>
    <t>3NHP In Huapai acq and full developed, 1 NHP in removal area, 20 others in Red flagged</t>
  </si>
  <si>
    <t>3NHP In Huapai settled, 1 NHP in removal area, 20 others in Red flagged</t>
  </si>
  <si>
    <t>in M-TLB</t>
  </si>
  <si>
    <t>in FB, 231 Flat Bush Rd, Lot1 36Ha will have 4 full fields, turf and 2 half fields, approx 10 Ha of field development</t>
  </si>
  <si>
    <t>in Otahuhu</t>
  </si>
  <si>
    <t>NW</t>
  </si>
  <si>
    <t>Pukekphe</t>
  </si>
  <si>
    <t>tamaki/Orakei</t>
  </si>
  <si>
    <t>in 'central, west of Flat bush</t>
  </si>
  <si>
    <t>not in Tamaki</t>
  </si>
  <si>
    <t>Waitakere ranges</t>
  </si>
  <si>
    <t>develop</t>
  </si>
  <si>
    <t>Moyle Park - install sand carpet, irrigation and lights</t>
  </si>
  <si>
    <t>June 2027</t>
  </si>
  <si>
    <t>Fergusson Domain upgrade to Olea Rd entrance</t>
  </si>
  <si>
    <t>cannot infer plan from inspection</t>
  </si>
  <si>
    <t>Fergusson Domain upgrade to Roosevelt Ave and Waitangi Rd entrances</t>
  </si>
  <si>
    <t>Calculated additional hrs by sportsfield population demand (less provided above)</t>
  </si>
  <si>
    <t>To be Acquired and developed sportfields</t>
  </si>
  <si>
    <t>part acquired</t>
  </si>
  <si>
    <t>490E Don Buck, 51977m2</t>
  </si>
  <si>
    <t>$psm for sport</t>
  </si>
  <si>
    <t>Acquired but not developed sportfields</t>
  </si>
  <si>
    <t>Scott Pt LZ</t>
  </si>
  <si>
    <t>129+131A, 50% quadron dr = 100000m2</t>
  </si>
  <si>
    <t>acquired, but part in LtP</t>
  </si>
  <si>
    <t>part of park in LTP rows</t>
  </si>
  <si>
    <t>Brigham, assume 100,000m2</t>
  </si>
  <si>
    <t>Trig Rd 106263m2</t>
  </si>
  <si>
    <t>Changing facilities rebuild for growth, would have 30% LOS applied per upgrade analysis</t>
  </si>
  <si>
    <t>Ngā Hau Māngere / Mangere Centre Park - renew toilet and changing room facilities</t>
  </si>
  <si>
    <t>Walter Massey Park - upgrade toilet and changing rooms</t>
  </si>
  <si>
    <t>Other parks to be developed</t>
  </si>
  <si>
    <t>2555m2 already acq in trig Rd</t>
  </si>
  <si>
    <t>below</t>
  </si>
  <si>
    <t>17A Clarks, 4000m2</t>
  </si>
  <si>
    <t>Whenuapai SHA</t>
  </si>
  <si>
    <t>36 Whenupai rd; complete with paths and playgd</t>
  </si>
  <si>
    <t>BombPt SBP, SULs</t>
  </si>
  <si>
    <t>Tahingamanu</t>
  </si>
  <si>
    <t>assume 5000m2 for 126/132-136 Fred Taylor, $500 psm from neg, split 50/50 between FY25 and FY26</t>
  </si>
  <si>
    <t>spec'd</t>
  </si>
  <si>
    <t>remainder</t>
  </si>
  <si>
    <t>Park W and sub pk is in 1b on POS map</t>
  </si>
  <si>
    <t>Whenuapai town centre</t>
  </si>
  <si>
    <t>assume SULs</t>
  </si>
  <si>
    <t>GW plan</t>
  </si>
  <si>
    <t>loop planned by AT</t>
  </si>
  <si>
    <t>non riparian routes are already included on park, and on street charges for DCs are precluded by policy</t>
  </si>
  <si>
    <t>Turner Reserve - develop toilet facilities</t>
  </si>
  <si>
    <t>3-7 Howell Crescent Mount Roskill - develop new neighbourhood park</t>
  </si>
  <si>
    <t>War Memorial Park - Upgrade Playspace at Wesley Community Centre</t>
  </si>
  <si>
    <t>renewal</t>
  </si>
  <si>
    <t>no DC</t>
  </si>
  <si>
    <t>Mt Roskill War Memorial Park – renew – Lovelock track surface</t>
  </si>
  <si>
    <t>Kukuwai Park upgrade</t>
  </si>
  <si>
    <t>On road, spec unclear</t>
  </si>
  <si>
    <t>No DC</t>
  </si>
  <si>
    <t>Ōwairaka Greenways - Route 15</t>
  </si>
  <si>
    <t>Ōwairaka Park upgrade</t>
  </si>
  <si>
    <t>Molley Green Reserve Upgrade</t>
  </si>
  <si>
    <t>On road</t>
  </si>
  <si>
    <t>Mt Roskill Greenways - Route F</t>
  </si>
  <si>
    <t>Mt Roskill War Memorial Park - Improve Sportsfields</t>
  </si>
  <si>
    <t>case unclear</t>
  </si>
  <si>
    <t>not DC</t>
  </si>
  <si>
    <t>Tupuna Maunga trail new</t>
  </si>
  <si>
    <t>Walmsley Underwood Lighting</t>
  </si>
  <si>
    <t>Urban BF</t>
  </si>
  <si>
    <t xml:space="preserve">Wesley West Farrelly Ave neighbourhood new park development </t>
  </si>
  <si>
    <t>Dec 29: acquire and develop, and develop covers cultural park at potter ave</t>
  </si>
  <si>
    <t>no need assessed, bus case ND</t>
  </si>
  <si>
    <t>Wesley West - new indoor court facility</t>
  </si>
  <si>
    <t>need unclear</t>
  </si>
  <si>
    <t>Underwood Reserve extension -  amenity components</t>
  </si>
  <si>
    <t>Maybury Reserve West - develop destination park</t>
  </si>
  <si>
    <t>East View Reserve - upgrade neighbourhood park</t>
  </si>
  <si>
    <t>Apirana Reserve - develop general park</t>
  </si>
  <si>
    <t>June 2024</t>
  </si>
  <si>
    <t>Apirana Corner Reserve</t>
  </si>
  <si>
    <t>TBC</t>
  </si>
  <si>
    <t>Ruapotaka Reserve - develop greenway connection</t>
  </si>
  <si>
    <t>Elstree North Reserve - develop general park</t>
  </si>
  <si>
    <t>Johnson Reserve - upgrade neighbourhood park</t>
  </si>
  <si>
    <t>Mauinaina Reserve - develop general park</t>
  </si>
  <si>
    <t>Taurima Reserve - redevelop park playspace</t>
  </si>
  <si>
    <t>Leybourne Circle - develop general park</t>
  </si>
  <si>
    <t>Wimbledon North Reserve - develop general park</t>
  </si>
  <si>
    <t>Wimbledon South Reserve - develop general park</t>
  </si>
  <si>
    <t>Boundary Reserve West – develop suburb park</t>
  </si>
  <si>
    <t>Dunkirk Reserve - develop neighbourhood park</t>
  </si>
  <si>
    <t>Paddington Reserve - develop general park</t>
  </si>
  <si>
    <t>Mt Wellington War Memorial Park - develop new toilet facility</t>
  </si>
  <si>
    <t>Stage 2 Tāmaki Path (part of Tāmaki Loop)</t>
  </si>
  <si>
    <t>Mauinaina West Reserve (Patero on google) - upgrade park</t>
  </si>
  <si>
    <t>Court Crescent Reserve upgrade</t>
  </si>
  <si>
    <t>Point England Reserve upgrade</t>
  </si>
  <si>
    <t>Riverside Reserve upgrade</t>
  </si>
  <si>
    <t>Puchas Hill/Te Tauoma</t>
  </si>
  <si>
    <t>Colin Maiden Pk</t>
  </si>
  <si>
    <t>OSNP development, play spaces, paths</t>
  </si>
  <si>
    <t>OSNP</t>
  </si>
  <si>
    <t>Aorere Park - develop circular pathway and footbridge</t>
  </si>
  <si>
    <t>June 2026</t>
  </si>
  <si>
    <t>Te Ara Tāwhana / Moyle Park - upgrade playground</t>
  </si>
  <si>
    <t>Ngā Hau Māngere / Māngere Centre Park - develop new pathway</t>
  </si>
  <si>
    <t>Ngā Hau Māngere / Māngere Centre Park - install park furniture and fixtures</t>
  </si>
  <si>
    <t>Ngā Hau Māngere/Māngere Centre Park community facility upgrade</t>
  </si>
  <si>
    <t>general park upgrades</t>
  </si>
  <si>
    <t>Ngā Hau Māngere/Māngere Centre Park upgrade</t>
  </si>
  <si>
    <t>Caravelle Close/Valiant St develop new park</t>
  </si>
  <si>
    <t>Molesworth Place new park development</t>
  </si>
  <si>
    <t>Jun27, acquire and develp, $3.2m for 3000m2</t>
  </si>
  <si>
    <t>pocket parks, no DC</t>
  </si>
  <si>
    <t>Reporepo pocket park new development (KO funded, designed)</t>
  </si>
  <si>
    <t>Solent St / Golden Acre park redevelopment</t>
  </si>
  <si>
    <t>Te Ararata Creek new pedestrian bridge</t>
  </si>
  <si>
    <t>riparian no DC</t>
  </si>
  <si>
    <t>Te Ararata Creek Reserve upgrade</t>
  </si>
  <si>
    <t>Walter Massey Park - stage 2 park upgrade including playground upgrade</t>
  </si>
  <si>
    <t>Walter Massey Park community facilities improvements</t>
  </si>
  <si>
    <t>Walter Massey Park - stage 1 upgrade - develop new walkway and upgrade playground to improve accessibility</t>
  </si>
  <si>
    <t>Yates Park renewal and upgrade</t>
  </si>
  <si>
    <t>Middlemore Crescent coastal surrounds</t>
  </si>
  <si>
    <t>Middlemore Park upgrade</t>
  </si>
  <si>
    <t>complete</t>
  </si>
  <si>
    <t>David Lange Park - renew netball facilities</t>
  </si>
  <si>
    <t>David Lange Park - build new playground</t>
  </si>
  <si>
    <t>David Lange Park - upgrade suburb park</t>
  </si>
  <si>
    <t>Imrie Park - upgrade playground and install perimeter path</t>
  </si>
  <si>
    <t>Fergusson Domain - renew and improve playspace</t>
  </si>
  <si>
    <t>June 2028</t>
  </si>
  <si>
    <t>Oranga community centre - refurbish facility</t>
  </si>
  <si>
    <t>Fergusson Domain - renew park assets</t>
  </si>
  <si>
    <t>Fergusson Hall - renew full facility</t>
  </si>
  <si>
    <t>55 cosgrove Rd</t>
  </si>
  <si>
    <t>Takanini LZ</t>
  </si>
  <si>
    <t>9 Airfield; consider developed as small NHP. Has grass, trees and dirt circle.</t>
  </si>
  <si>
    <t>half developed</t>
  </si>
  <si>
    <t>27 Kauri heart. Well developed, playgd, paths etc</t>
  </si>
  <si>
    <t>935 P-C/Twin 8000m2, assume 5000 for dev: 71 Twin Peaks joined to 935 Papakura-Clevedon; minimal grass and trees</t>
  </si>
  <si>
    <t>assume 5000m2, currently minimal grass and trees</t>
  </si>
  <si>
    <t>13 Corporal St. Undeveloped but borders walkway beside N-S stream</t>
  </si>
  <si>
    <t>95% margin as for Orewa harvest</t>
  </si>
  <si>
    <t>210 Clevedon Rd</t>
  </si>
  <si>
    <t>grass, so 95% margin</t>
  </si>
  <si>
    <t>Hingaia LZ</t>
  </si>
  <si>
    <t>16A Derbyshire; no development</t>
  </si>
  <si>
    <t>first development</t>
  </si>
  <si>
    <t>39 Island View, acquired no development</t>
  </si>
  <si>
    <t>34 catalina Ave, grass and path</t>
  </si>
  <si>
    <t>grss and path only</t>
  </si>
  <si>
    <t>179 Park Estate Rd, no development</t>
  </si>
  <si>
    <t>158A Park estate Rd, no development</t>
  </si>
  <si>
    <t>295 hingaia Rd</t>
  </si>
  <si>
    <t>spec'd but no price indicated, FY25</t>
  </si>
  <si>
    <t>279 Park Estate Rd</t>
  </si>
  <si>
    <t>spec'd $4025,000, FY25</t>
  </si>
  <si>
    <t>35 Hayfield, 81 Normanby, 264 hingaia, 99 Hingaia,  2NHPs in 144 Park-Est rd</t>
  </si>
  <si>
    <t>9 Keryn pl, not developed</t>
  </si>
  <si>
    <t>215 Kahui. 50%D. Grass and path</t>
  </si>
  <si>
    <t>85 kahui, 50%D. grass and path</t>
  </si>
  <si>
    <t>197 Better Way completed</t>
  </si>
  <si>
    <t>312 bremner</t>
  </si>
  <si>
    <t>FY26, 3050,000</t>
  </si>
  <si>
    <t>31 &amp; 37 Burberry</t>
  </si>
  <si>
    <t>FY25 3995000</t>
  </si>
  <si>
    <t>Papakura GW plan</t>
  </si>
  <si>
    <t>no DC for northern or southern section (riparian) but incl on Opaheke Park, 0.86km, $150k in 2016, 2.5m wide; re-costed similar in this model</t>
  </si>
  <si>
    <t>1 SBP was removed in area</t>
  </si>
  <si>
    <t>Auranga (Late)</t>
  </si>
  <si>
    <t>by sat inspection</t>
  </si>
  <si>
    <t>development progress by sat inspection</t>
  </si>
  <si>
    <t>Fig 8 Drury Structure plan</t>
  </si>
  <si>
    <t>Ngakaroa park and opther coastal greenways are all riparian</t>
  </si>
  <si>
    <t>Paerata LZ</t>
  </si>
  <si>
    <t>18 jonah lomu - complete</t>
  </si>
  <si>
    <t>5 Metoriti cr, not dev-just grass</t>
  </si>
  <si>
    <t>first developed</t>
  </si>
  <si>
    <t>now SULs</t>
  </si>
  <si>
    <t>and 1 in Puke-West</t>
  </si>
  <si>
    <t>100% Pukekohe, all on reserves/trails</t>
  </si>
  <si>
    <t>950 + 100m on road/2700m</t>
  </si>
  <si>
    <t>all in Bledisloe Park</t>
  </si>
  <si>
    <t>Karaka North LZ</t>
  </si>
  <si>
    <t>land prog by sat inspection</t>
  </si>
  <si>
    <t>negotiatingbut no price; maybe FY25 or FY26</t>
  </si>
  <si>
    <t>50/50 FY25/26</t>
  </si>
  <si>
    <t>Kingseat</t>
  </si>
  <si>
    <t>24 Capriole cr 6601m2, limited esplanade path only</t>
  </si>
  <si>
    <t>develop as for 4600m2</t>
  </si>
  <si>
    <t>coastal park, so only ~70% develop</t>
  </si>
  <si>
    <t>SBP around 1033 Linwood rd, 3Ha, no developed</t>
  </si>
  <si>
    <t>9 mcRobie, land prog by sat inspection</t>
  </si>
  <si>
    <t>2 other NHPs, unknown, land progress by sat inspection</t>
  </si>
  <si>
    <t>alm-acquired</t>
  </si>
  <si>
    <t>2 NHPs @137 Clarks beach Rd #1 and2</t>
  </si>
  <si>
    <t>2 other NHPs, unknown</t>
  </si>
  <si>
    <t>77 Tahuna minhinnick, grass with esplanade path</t>
  </si>
  <si>
    <t>McLarin dr, 5000m2 sought</t>
  </si>
  <si>
    <t>Clevedon</t>
  </si>
  <si>
    <t>phased by sat inspectn</t>
  </si>
  <si>
    <t>dev</t>
  </si>
  <si>
    <t>land exch etc</t>
  </si>
  <si>
    <t>Summary by FA</t>
  </si>
  <si>
    <t>davidlange patrk not in</t>
  </si>
  <si>
    <t>Awataha compl</t>
  </si>
  <si>
    <t>david lange</t>
  </si>
  <si>
    <t>Standard inputs</t>
  </si>
  <si>
    <t>for area m2</t>
  </si>
  <si>
    <t>use</t>
  </si>
  <si>
    <t>field size</t>
  </si>
  <si>
    <t>num field/10Ha</t>
  </si>
  <si>
    <t>num hrs pw/ield</t>
  </si>
  <si>
    <t>nominal across all types (wday, lights. W.end)</t>
  </si>
  <si>
    <t>to add 1hr playing</t>
  </si>
  <si>
    <t>in 2024$, add 1hr playing pw to a field, around $80k for field, and $4k for ancilliary</t>
  </si>
  <si>
    <t>population demand</t>
  </si>
  <si>
    <t>eavery 275 population increase creates demand for 1hr pw playing</t>
  </si>
  <si>
    <t>Upgrades in LtP budget</t>
  </si>
  <si>
    <t>$m 2025</t>
  </si>
  <si>
    <t>$m 2026</t>
  </si>
  <si>
    <t>$m 2027</t>
  </si>
  <si>
    <t>$m 2028</t>
  </si>
  <si>
    <t>$m 2029</t>
  </si>
  <si>
    <t>7 full field equivalent</t>
  </si>
  <si>
    <t>y1-10</t>
  </si>
  <si>
    <t>6 Full field equivalent</t>
  </si>
  <si>
    <t>10 full field eqivalent</t>
  </si>
  <si>
    <t>5.5 Full field equivalent</t>
  </si>
  <si>
    <t>2 and a3/4 field</t>
  </si>
  <si>
    <t>3 full field equivalent</t>
  </si>
  <si>
    <t>490E Don Buck</t>
  </si>
  <si>
    <t>population akld</t>
  </si>
  <si>
    <t>chg 2024 to 34</t>
  </si>
  <si>
    <t>num sets 275 ppl</t>
  </si>
  <si>
    <t>num hours fields pw</t>
  </si>
  <si>
    <t>average</t>
  </si>
  <si>
    <t>hours in LTP</t>
  </si>
  <si>
    <t>approx even spread over Y1-4, with some in Y5 that don’t start until Y2</t>
  </si>
  <si>
    <t>Year</t>
  </si>
  <si>
    <t>Sports fields Regional. Current LOS meets demand.</t>
  </si>
  <si>
    <t>real terms, $m p.a.</t>
  </si>
  <si>
    <t>10y or 30y</t>
  </si>
  <si>
    <t>LOS portion</t>
  </si>
  <si>
    <t>Invest for growth</t>
  </si>
  <si>
    <t>Future share</t>
  </si>
  <si>
    <t>DC share</t>
  </si>
  <si>
    <t>y1-30</t>
  </si>
  <si>
    <t>y11-20</t>
  </si>
  <si>
    <t>y21-30</t>
  </si>
  <si>
    <t>y31 on</t>
  </si>
  <si>
    <t>i.e. cause, being =1-LOS</t>
  </si>
  <si>
    <t>% of full build out or popn horizon conared to existing</t>
  </si>
  <si>
    <t>=(Cause + Fut. Benefit)/2</t>
  </si>
  <si>
    <t>Finace to apply per area for 10y or 30y DC Policy horizon</t>
  </si>
  <si>
    <t>all year total</t>
  </si>
  <si>
    <t>All NHP, Sub, Civic, sport parks, greenways. Local Funding Areas. Reserve development</t>
  </si>
  <si>
    <t>Modelled by next stage of investment following reserve acquisition</t>
  </si>
  <si>
    <t>a small component of sports field development is LOS for renewal and upgrade of some changing rooms and toilets. New toilets/changing rooms are 100% growth but a renewal and upgrade of existing is 30% LOS. This is factored into the overall growth portion, noting expense on renewing toilets/changing is small compared to turfs and lights.</t>
  </si>
  <si>
    <t>Current LOS meets demand, all costs calculated as marginal cost of growth, except for investment in renewing/upgrading toilets, which over the LTP period resultsin 3% LOS</t>
  </si>
  <si>
    <t>investment in this period, beneficiaries to 30+y horizon</t>
  </si>
  <si>
    <t>some expected expenditure up to 2060's</t>
  </si>
  <si>
    <t xml:space="preserve"> case for investment against policy and delivery in 10y or 30y period respectively</t>
  </si>
  <si>
    <t>4.07187266</t>
  </si>
  <si>
    <t>2.8806013</t>
  </si>
  <si>
    <t>6.65999401</t>
  </si>
  <si>
    <t>6.153377</t>
  </si>
  <si>
    <t>by def Boardwalk is riparian. Only sth part of Stage 1 in Sadbolt park is in scope for DCs.</t>
  </si>
  <si>
    <t>Not incl. map shows riparian. Only sth part of Stage 1 in Sadbolt park is in scope for DCs</t>
  </si>
  <si>
    <t>PCF</t>
  </si>
  <si>
    <t>June 2025</t>
  </si>
  <si>
    <t>Construct 1200m circular pathway and footbridge over stream Woburn Street end.
FY24/25 - investigation and design (obtain any required resource consent)
FY25/26 - physical works</t>
  </si>
  <si>
    <t>Birkenhead Memorial Park</t>
  </si>
  <si>
    <t>not considered for DC. Involves much renewal.,The portion of investment in uplift amenity isnot clear. Sportfield development is included as part of the regional projection.</t>
  </si>
  <si>
    <t>1.10458138</t>
  </si>
  <si>
    <t>6.98837195</t>
  </si>
  <si>
    <t>All sportsfields to be developed add to the current state where LOS deficit =0 and capacity excess=0 on balance across the region. There are pockets in sub-areas and by type of sport field use with deficit and excess, but regionally overall investment is needed for growth.</t>
  </si>
  <si>
    <t>all years</t>
  </si>
  <si>
    <t>LOS comment</t>
  </si>
  <si>
    <t>new parks</t>
  </si>
  <si>
    <t>mix, mostly new</t>
  </si>
  <si>
    <t>GF</t>
  </si>
  <si>
    <t xml:space="preserve">mix  </t>
  </si>
  <si>
    <t>mix</t>
  </si>
  <si>
    <t>calc'd</t>
  </si>
  <si>
    <t>bth new parks</t>
  </si>
  <si>
    <t>only GW rest new</t>
  </si>
  <si>
    <t>exist/futu beneficiaries</t>
  </si>
  <si>
    <t>LOS</t>
  </si>
  <si>
    <t>popn LOS deficiet</t>
  </si>
  <si>
    <t>dida is GF, existing War mem Park Plygd is upgraded but self is in a GF area</t>
  </si>
  <si>
    <t>AHP</t>
  </si>
  <si>
    <t>upgrade playspace</t>
  </si>
  <si>
    <t>upgrades and new</t>
  </si>
  <si>
    <t>cause=100% as still developing GF raea</t>
  </si>
  <si>
    <t>whatever population LOS is</t>
  </si>
  <si>
    <t>calc off popn</t>
  </si>
  <si>
    <t>directly popn</t>
  </si>
  <si>
    <t>dirctly popn, GWs</t>
  </si>
  <si>
    <t>Only at Glasgow park, conmpare to rural NW popn</t>
  </si>
  <si>
    <t>calc'd at 2-3%</t>
  </si>
  <si>
    <t>as for AHP</t>
  </si>
  <si>
    <t>developing GF</t>
  </si>
  <si>
    <t>add to 2019 playgrd, GF area</t>
  </si>
  <si>
    <t>GF and popn</t>
  </si>
  <si>
    <t>popn on trails, then rest GF</t>
  </si>
  <si>
    <t>popn on trails and 50% Reay Fausset Pk, rest GF</t>
  </si>
  <si>
    <t>60% in Drury, 40% in S.West</t>
  </si>
  <si>
    <t>bellfield 40% of all Drury in 30y</t>
  </si>
  <si>
    <t>Patumahoe, GF</t>
  </si>
  <si>
    <t>27 Trevor McMiken Dr, develop NHP`</t>
  </si>
  <si>
    <t>GF, RWP</t>
  </si>
  <si>
    <t>RWP updates 18 July 24</t>
  </si>
  <si>
    <t>Stage 2</t>
  </si>
  <si>
    <t>Green Road bore and Toilet</t>
  </si>
  <si>
    <t>Huapai Recreational Reserve</t>
  </si>
  <si>
    <t>Opaheke Sports Park wastewater and stormater</t>
  </si>
  <si>
    <t>Otara-Papatoetoe - to be detrmined which sportsfields</t>
  </si>
  <si>
    <t>Parrs Park Skate park</t>
  </si>
  <si>
    <t>Three Kings Quarry sports changing rooms and toilets</t>
  </si>
  <si>
    <t>Tir Conaill Ave Res</t>
  </si>
  <si>
    <t>WM Park netball</t>
  </si>
  <si>
    <t>is renewal</t>
  </si>
  <si>
    <t>removed from OLI</t>
  </si>
  <si>
    <t>N.009960.07.01 - Thomas Road Recreation Reserve - develop - became Tir Conaill below</t>
  </si>
  <si>
    <t>Total parks</t>
  </si>
  <si>
    <t>RWP 490E DonB, develop NHP</t>
  </si>
  <si>
    <t>Kai-pawhara</t>
  </si>
  <si>
    <t>Huapai Triangle</t>
  </si>
  <si>
    <t>Boggust Park, Norana Pk, DB Grounds sand, lighting, irrigation, drainage</t>
  </si>
  <si>
    <t>Streamview Way</t>
  </si>
  <si>
    <t>3 of 5 are not on esplanade margins</t>
  </si>
  <si>
    <t>assume whole 100Ha less 1500m NHP</t>
  </si>
  <si>
    <t>$m 2030</t>
  </si>
  <si>
    <t>site</t>
  </si>
  <si>
    <t>renewal, removed</t>
  </si>
  <si>
    <t>Ancilliary</t>
  </si>
  <si>
    <t>$m 2024$ for full park</t>
  </si>
  <si>
    <t>of 10Ha park, so 1FFE</t>
  </si>
  <si>
    <t>develop now, 40% later, so 3FFE</t>
  </si>
  <si>
    <t>New FFE</t>
  </si>
  <si>
    <t>new develop 6 (4 full, turf, 2 half), 23% of new, so 1FFE</t>
  </si>
  <si>
    <t>upgrade value (h/pw)</t>
  </si>
  <si>
    <t>phasing spend to deliver additional hrs</t>
  </si>
  <si>
    <t>distrbution of effective hrs pw in LTP</t>
  </si>
  <si>
    <t>LTP provides</t>
  </si>
  <si>
    <t>ignores lag in delivery</t>
  </si>
  <si>
    <t>Cum hrs in LTP</t>
  </si>
  <si>
    <t>cum if avg hrs applied</t>
  </si>
  <si>
    <t>assume additional hrs from y4</t>
  </si>
  <si>
    <t>Total hrs pw added</t>
  </si>
  <si>
    <t>addition hrs $m 2024$</t>
  </si>
  <si>
    <t>escalate $m</t>
  </si>
  <si>
    <t>Wainui East / Milldale</t>
  </si>
  <si>
    <t>Upper Orewa / Dairy Flat</t>
  </si>
  <si>
    <t>Rural West</t>
  </si>
  <si>
    <t>Kumeu / Huapai / Riverhead</t>
  </si>
  <si>
    <t>Scott Point / Bomb Point</t>
  </si>
  <si>
    <t>Redhills / Westgate</t>
  </si>
  <si>
    <t>Mount Roskill AHP</t>
  </si>
  <si>
    <t>Mangere AHP</t>
  </si>
  <si>
    <t>South East</t>
  </si>
  <si>
    <t>South West</t>
  </si>
  <si>
    <t>Rural South East</t>
  </si>
  <si>
    <t>Rural South West</t>
  </si>
  <si>
    <t>Auckland wide</t>
  </si>
  <si>
    <t>30y</t>
  </si>
  <si>
    <t>Incl as popn model</t>
  </si>
  <si>
    <t>Dev model FA</t>
  </si>
  <si>
    <t>Popn MSMs FA</t>
  </si>
  <si>
    <t>popn 2024</t>
  </si>
  <si>
    <t>popn 2054</t>
  </si>
  <si>
    <t>Akld wide capacity for investment is 10y only</t>
  </si>
  <si>
    <t>exist/future%</t>
  </si>
  <si>
    <t>MSM 140</t>
  </si>
  <si>
    <t>Glasgow park, Rural NW</t>
  </si>
  <si>
    <t>AKA cause is</t>
  </si>
  <si>
    <t>210 Clevedon rd</t>
  </si>
  <si>
    <t>70% Tak Sth, 30% SW</t>
  </si>
  <si>
    <t>9 Keryn Pl</t>
  </si>
  <si>
    <t>60% drury, 40% SW</t>
  </si>
  <si>
    <t>is counted above in Trig Rd</t>
  </si>
  <si>
    <t>up</t>
  </si>
  <si>
    <t>n</t>
  </si>
  <si>
    <t>Gulf Harbour</t>
  </si>
  <si>
    <t xml:space="preserve">Gulf Harbour </t>
  </si>
  <si>
    <t>outside LTP to delivere 71% constraint for Hibiscus</t>
  </si>
  <si>
    <t>Flat Bush</t>
  </si>
  <si>
    <t>4NHPs nominally near 2 Skanda Cres, 304 Flat Bush School Rd, 117 Murphys Rd, 91 long George Dr</t>
  </si>
  <si>
    <t>dev late in LTP</t>
  </si>
  <si>
    <t>1st iteration</t>
  </si>
  <si>
    <t>dev start</t>
  </si>
  <si>
    <t>dev phase</t>
  </si>
  <si>
    <t>assumed</t>
  </si>
  <si>
    <t>progmd</t>
  </si>
  <si>
    <t>as 1.0</t>
  </si>
  <si>
    <t>iteratively</t>
  </si>
  <si>
    <t>2027-2041</t>
  </si>
  <si>
    <t>?phased</t>
  </si>
  <si>
    <t>Wainui</t>
  </si>
  <si>
    <t>row</t>
  </si>
  <si>
    <t>% acquisition phasings flattened</t>
  </si>
  <si>
    <t>Puke/Paerata</t>
  </si>
  <si>
    <t>Scott Point</t>
  </si>
  <si>
    <t>acq%</t>
  </si>
  <si>
    <t>development phasing</t>
  </si>
  <si>
    <t>Cumul num parks acquired</t>
  </si>
  <si>
    <t>civic</t>
  </si>
  <si>
    <t>single park</t>
  </si>
  <si>
    <t>yr&gt;75%</t>
  </si>
  <si>
    <t>year acquired if multiple parks</t>
  </si>
  <si>
    <t>phased +2y 0.1|0.1|0.4|0.4</t>
  </si>
  <si>
    <t>phased +2y 0.1|0.9</t>
  </si>
  <si>
    <t>phased +2y 0.1|0.8</t>
  </si>
  <si>
    <t>remainder NHP excl Don Buck</t>
  </si>
  <si>
    <t>is riparian/esplanade</t>
  </si>
  <si>
    <t>assume outside LTP, so could count in demand model, but this line not in DC Policy</t>
  </si>
  <si>
    <t>assume earlier than proximal parks to be acqired, as this one has been acquired</t>
  </si>
  <si>
    <t>included implicitly in demand population model</t>
  </si>
  <si>
    <t>development phasing of above acquisitions in Col AR</t>
  </si>
  <si>
    <t>Fiinance used FA</t>
  </si>
  <si>
    <t> Dec Update</t>
  </si>
  <si>
    <t>2027/28*</t>
  </si>
  <si>
    <t>Year to Jun:</t>
  </si>
  <si>
    <t>For Jul24 version land escal</t>
  </si>
  <si>
    <t>Dec24 updated land escalation</t>
  </si>
  <si>
    <t>% diff</t>
  </si>
  <si>
    <t>Jul24 version</t>
  </si>
  <si>
    <t>Remainder scott point to 100Ha, $11,2m in 2024$, is $16.5m in 2035+</t>
  </si>
  <si>
    <t>all others: Brigham, Redhills, Trig Rd expected 2035 onwards</t>
  </si>
  <si>
    <t>D</t>
  </si>
  <si>
    <t>For Dec24=D For Jun24=J</t>
  </si>
  <si>
    <t>compare</t>
  </si>
  <si>
    <t>21 Drumnaconagher heavily bush and stream, assumed remain so.</t>
  </si>
  <si>
    <t>unallocated check</t>
  </si>
  <si>
    <t>LTP 10y</t>
  </si>
  <si>
    <t>% by 2034</t>
  </si>
  <si>
    <t>0.01 worth</t>
  </si>
  <si>
    <t>2028 100% of park</t>
  </si>
  <si>
    <t>shd be 9</t>
  </si>
  <si>
    <t>next muliplier</t>
  </si>
  <si>
    <t>balanced</t>
  </si>
  <si>
    <t>Comparison with no change in phasing:</t>
  </si>
  <si>
    <t>changes to acquisition model due to price increases are small so assume same acquisition--&gt; development phasing flattened, BUT for 2030 &amp; 2031 spread to ensure sufficient $444m shared in those years</t>
  </si>
  <si>
    <t>10 Jan 2025: now with updated construction cost escalation inflation rates.However the shift means very small increase in long-term index</t>
  </si>
  <si>
    <t>3 other NHPs but will be acquired outside LtP</t>
  </si>
  <si>
    <t>The open space acquisition costs are modelled in a separate model, but those parks yet to be acquired will also be developed. Hence reference to acquisition in this model.</t>
  </si>
  <si>
    <t xml:space="preserve">Information for pending acquisitions has been redacted from the acquisition model, and to maintain the commercial confidence of that information the relevant details for those parks have been redacted from this model also. </t>
  </si>
  <si>
    <t>Information for pending acqusitions can be price, size, timing, and/or location.</t>
  </si>
  <si>
    <t>the information was redcated in such a way to maintain the integrity of the overall sub-area cost projections over time in the summary tab for this development model.</t>
  </si>
  <si>
    <t>Aside from the pending acquisitions, other row calculations are available and can be traced through to the summary tab which is the same as that provided for the overall DC model.</t>
  </si>
  <si>
    <t>This model is the input to the overall DC model for Open Space Development costs.</t>
  </si>
  <si>
    <t>LOS component BF in AHP  development</t>
  </si>
  <si>
    <t>from sequnce acq</t>
  </si>
  <si>
    <t>some funding areas have different names in the final schedule 8. This table mapped them.</t>
  </si>
  <si>
    <t>Land price sheet not used for Development model</t>
  </si>
  <si>
    <t>The model is provided to support understanding of how the costs have been considered for the 2025 DC Policy, prepared on 17 June 2025 May 2025</t>
  </si>
  <si>
    <r>
      <rPr>
        <sz val="11"/>
        <color theme="1"/>
        <rFont val="Aptos Narrow"/>
        <family val="2"/>
        <scheme val="minor"/>
      </rPr>
      <t xml:space="preserve">This file was </t>
    </r>
    <r>
      <rPr>
        <b/>
        <sz val="11"/>
        <color theme="1"/>
        <rFont val="Aptos Narrow"/>
        <family val="2"/>
        <scheme val="minor"/>
      </rPr>
      <t>OS Dev Projectn 10Jan2025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</si>
</sst>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8" formatCode="&quot;$&quot;#,##0.00;[Red]\-&quot;$&quot;#,##0.00"/>
    <numFmt numFmtId="43" formatCode="_-* #,##0.00_-;\-* #,##0.00_-;_-* &quot;-&quot;??_-;_-@_-"/>
    <numFmt numFmtId="164" formatCode="0.0%"/>
    <numFmt numFmtId="165" formatCode="0.000"/>
    <numFmt numFmtId="166" formatCode="_-* #,##0_-;\-* #,##0_-;_-* &quot;-&quot;??_-;_-@_-"/>
    <numFmt numFmtId="167" formatCode="_-* #,##0_-;\-* #,##0_-;_-* &quot;-&quot;?_-;_-@_-"/>
    <numFmt numFmtId="168" formatCode="0.0"/>
    <numFmt numFmtId="169" formatCode="_-* #,##0_-;[Red]* \(#,##0\)_-;_-* &quot;-&quot;_-;_-@_-"/>
    <numFmt numFmtId="170" formatCode="_-* #,##0.00_-;[Red]* \(#,##0.00\)_-;_-* &quot;-&quot;_-;_-@_-"/>
    <numFmt numFmtId="171" formatCode="_-* #,##0.000_-;\-* #,##0.000_-;_-* &quot;-&quot;??_-;_-@_-"/>
    <numFmt numFmtId="172" formatCode="_-* #,##0.0_-;\-* #,##0.0_-;_-* &quot;-&quot;??_-;_-@_-"/>
    <numFmt numFmtId="173" formatCode="mmm\ yy"/>
    <numFmt numFmtId="174" formatCode="_-* #,##0.0_-;\-* #,##0.0_-;_-* &quot;-&quot;?_-;_-@_-"/>
    <numFmt numFmtId="175" formatCode="#,##0\ ;[Black]\(#,##0\)"/>
    <numFmt numFmtId="176" formatCode="0.0000"/>
    <numFmt numFmtId="177" formatCode="0.00000%"/>
  </numFmts>
  <fonts count="35"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1"/>
      <name val="Arial Narrow"/>
      <family val="2"/>
    </font>
    <font>
      <sz val="10"/>
      <color theme="1"/>
      <name val="Arial Narrow"/>
      <family val="2"/>
    </font>
    <font>
      <sz val="8"/>
      <color theme="1"/>
      <name val="Aptos Narrow"/>
      <family val="2"/>
      <scheme val="minor"/>
    </font>
    <font>
      <b/>
      <sz val="8"/>
      <color theme="1"/>
      <name val="Arial Narrow"/>
      <family val="2"/>
    </font>
    <font>
      <sz val="8"/>
      <color theme="1"/>
      <name val="Arial Narrow"/>
      <family val="2"/>
    </font>
    <font>
      <sz val="10"/>
      <color theme="1"/>
      <name val="Aptos Narrow"/>
      <family val="2"/>
      <scheme val="minor"/>
    </font>
    <font>
      <b/>
      <sz val="10"/>
      <color theme="1"/>
      <name val="Aptos Narrow"/>
      <family val="2"/>
      <scheme val="minor"/>
    </font>
    <font>
      <sz val="9"/>
      <color theme="1"/>
      <name val="Aptos Narrow"/>
      <family val="2"/>
      <scheme val="minor"/>
    </font>
    <font>
      <b/>
      <sz val="10"/>
      <color theme="1"/>
      <name val="Arial Narrow"/>
      <family val="2"/>
    </font>
    <font>
      <sz val="9"/>
      <color theme="1"/>
      <name val="Arial Narrow"/>
      <family val="2"/>
    </font>
    <font>
      <sz val="8"/>
      <name val="Aptos Narrow"/>
      <family val="2"/>
      <scheme val="minor"/>
    </font>
    <font>
      <sz val="6"/>
      <color theme="1"/>
      <name val="Arial Narrow"/>
      <family val="2"/>
    </font>
    <font>
      <sz val="10"/>
      <color theme="0" tint="-0.249977111117893"/>
      <name val="Arial Narrow"/>
      <family val="2"/>
    </font>
    <font>
      <b/>
      <sz val="10"/>
      <color rgb="FF000000"/>
      <name val="Arial"/>
      <family val="2"/>
    </font>
    <font>
      <sz val="7"/>
      <color theme="1"/>
      <name val="Arial Narrow"/>
      <family val="2"/>
    </font>
    <font>
      <sz val="10"/>
      <color theme="1"/>
      <name val="Aptos Display"/>
      <family val="2"/>
      <scheme val="major"/>
    </font>
    <font>
      <b/>
      <i/>
      <sz val="10"/>
      <color theme="1"/>
      <name val="Arial Narrow"/>
      <family val="2"/>
    </font>
    <font>
      <sz val="10"/>
      <name val="Arial Narrow"/>
      <family val="2"/>
    </font>
    <font>
      <sz val="11"/>
      <color theme="8" tint="0.59999389629810485"/>
      <name val="Aptos Narrow"/>
      <family val="2"/>
      <scheme val="minor"/>
    </font>
    <font>
      <sz val="7"/>
      <color theme="1"/>
      <name val="Aptos Narrow"/>
      <family val="2"/>
      <scheme val="minor"/>
    </font>
    <font>
      <b/>
      <sz val="9"/>
      <color theme="1"/>
      <name val="Arial Narrow"/>
      <family val="2"/>
    </font>
    <font>
      <sz val="10"/>
      <name val="Arial"/>
      <family val="2"/>
    </font>
    <font>
      <b/>
      <sz val="11"/>
      <color theme="1"/>
      <name val="Arial Narrow"/>
      <family val="2"/>
    </font>
    <font>
      <sz val="11"/>
      <color rgb="FF000000"/>
      <name val="Calibri"/>
      <family val="2"/>
    </font>
    <font>
      <b/>
      <sz val="11"/>
      <color rgb="FF000000"/>
      <name val="National 2"/>
      <family val="3"/>
    </font>
    <font>
      <sz val="11"/>
      <color rgb="FF000000"/>
      <name val="National 2"/>
      <family val="3"/>
    </font>
    <font>
      <sz val="11"/>
      <color theme="1"/>
      <name val="Calibri"/>
      <family val="2"/>
    </font>
    <font>
      <sz val="11"/>
      <color rgb="FF000000"/>
      <name val="Arial"/>
      <family val="2"/>
    </font>
    <font>
      <sz val="10"/>
      <color theme="1"/>
      <name val="Calibri Light"/>
      <family val="2"/>
    </font>
    <font>
      <sz val="3"/>
      <color theme="1"/>
      <name val="Arial Narrow"/>
      <family val="2"/>
    </font>
    <font>
      <b/>
      <sz val="10"/>
      <color theme="1"/>
      <name val="Arial"/>
      <family val="2"/>
    </font>
    <font>
      <sz val="10"/>
      <color theme="1"/>
      <name val="Arial"/>
      <family val="2"/>
    </font>
  </fonts>
  <fills count="13">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3" tint="0.89999084444715716"/>
        <bgColor indexed="64"/>
      </patternFill>
    </fill>
    <fill>
      <patternFill patternType="solid">
        <fgColor theme="2" tint="-9.9978637043366805E-2"/>
        <bgColor indexed="64"/>
      </patternFill>
    </fill>
    <fill>
      <patternFill patternType="solid">
        <fgColor theme="2" tint="-9.9978637043366805E-2"/>
        <bgColor theme="4" tint="0.79998168889431442"/>
      </patternFill>
    </fill>
    <fill>
      <patternFill patternType="solid">
        <fgColor theme="0"/>
        <bgColor indexed="64"/>
      </patternFill>
    </fill>
    <fill>
      <patternFill patternType="solid">
        <fgColor rgb="FFFFFF93"/>
        <bgColor indexed="64"/>
      </patternFill>
    </fill>
    <fill>
      <patternFill patternType="solid">
        <fgColor theme="7" tint="0.79998168889431442"/>
        <bgColor indexed="64"/>
      </patternFill>
    </fill>
    <fill>
      <patternFill patternType="solid">
        <fgColor theme="2"/>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n">
        <color theme="4" tint="0.39997558519241921"/>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4" fillId="0" borderId="0"/>
    <xf numFmtId="175" fontId="8" fillId="0" borderId="0" applyProtection="0"/>
  </cellStyleXfs>
  <cellXfs count="267">
    <xf numFmtId="0" fontId="0" fillId="0" borderId="0" xfId="0"/>
    <xf numFmtId="0" fontId="3" fillId="0" borderId="0" xfId="0" applyFont="1"/>
    <xf numFmtId="0" fontId="4" fillId="0" borderId="0" xfId="0" applyFont="1"/>
    <xf numFmtId="9" fontId="4" fillId="0" borderId="0" xfId="0" applyNumberFormat="1" applyFont="1"/>
    <xf numFmtId="0" fontId="2" fillId="0" borderId="0" xfId="0" applyFont="1"/>
    <xf numFmtId="0" fontId="11" fillId="0" borderId="0" xfId="0" applyFont="1"/>
    <xf numFmtId="166" fontId="4" fillId="0" borderId="0" xfId="1" applyNumberFormat="1" applyFont="1" applyFill="1"/>
    <xf numFmtId="0" fontId="4" fillId="0" borderId="0" xfId="0" applyFont="1" applyAlignment="1">
      <alignment horizontal="right"/>
    </xf>
    <xf numFmtId="0" fontId="11" fillId="0" borderId="0" xfId="0" applyFont="1" applyAlignment="1">
      <alignment horizontal="right"/>
    </xf>
    <xf numFmtId="0" fontId="15" fillId="0" borderId="0" xfId="0" applyFont="1"/>
    <xf numFmtId="0" fontId="0" fillId="5" borderId="0" xfId="0" applyFill="1"/>
    <xf numFmtId="0" fontId="0" fillId="7" borderId="0" xfId="0" applyFill="1"/>
    <xf numFmtId="169" fontId="16" fillId="8" borderId="27" xfId="0" applyNumberFormat="1" applyFont="1" applyFill="1" applyBorder="1"/>
    <xf numFmtId="169" fontId="16" fillId="8" borderId="27" xfId="0" applyNumberFormat="1" applyFont="1" applyFill="1" applyBorder="1" applyAlignment="1">
      <alignment horizontal="center"/>
    </xf>
    <xf numFmtId="0" fontId="0" fillId="9" borderId="0" xfId="0" applyFill="1"/>
    <xf numFmtId="170" fontId="0" fillId="9" borderId="0" xfId="0" applyNumberFormat="1" applyFill="1"/>
    <xf numFmtId="169" fontId="16" fillId="9" borderId="0" xfId="0" applyNumberFormat="1" applyFont="1" applyFill="1"/>
    <xf numFmtId="169" fontId="0" fillId="9" borderId="0" xfId="0" applyNumberFormat="1" applyFill="1"/>
    <xf numFmtId="169" fontId="0" fillId="0" borderId="0" xfId="0" applyNumberFormat="1"/>
    <xf numFmtId="169" fontId="2" fillId="0" borderId="0" xfId="0" applyNumberFormat="1" applyFont="1"/>
    <xf numFmtId="166" fontId="0" fillId="0" borderId="0" xfId="1" applyNumberFormat="1" applyFont="1"/>
    <xf numFmtId="166" fontId="0" fillId="0" borderId="0" xfId="0" applyNumberFormat="1"/>
    <xf numFmtId="164" fontId="4" fillId="0" borderId="0" xfId="0" applyNumberFormat="1" applyFont="1"/>
    <xf numFmtId="2" fontId="4" fillId="0" borderId="0" xfId="0" applyNumberFormat="1" applyFont="1"/>
    <xf numFmtId="43" fontId="4" fillId="0" borderId="0" xfId="1" applyFont="1"/>
    <xf numFmtId="43" fontId="4" fillId="0" borderId="0" xfId="0" applyNumberFormat="1" applyFont="1"/>
    <xf numFmtId="166" fontId="4" fillId="0" borderId="0" xfId="0" applyNumberFormat="1" applyFont="1"/>
    <xf numFmtId="9" fontId="4" fillId="0" borderId="0" xfId="2" applyFont="1"/>
    <xf numFmtId="0" fontId="4" fillId="0" borderId="0" xfId="0" applyFont="1" applyAlignment="1">
      <alignment horizontal="center"/>
    </xf>
    <xf numFmtId="1" fontId="11" fillId="0" borderId="0" xfId="0" applyNumberFormat="1" applyFont="1"/>
    <xf numFmtId="164" fontId="4" fillId="0" borderId="0" xfId="2" applyNumberFormat="1" applyFont="1"/>
    <xf numFmtId="0" fontId="20" fillId="0" borderId="0" xfId="0" applyFont="1"/>
    <xf numFmtId="166" fontId="4" fillId="0" borderId="0" xfId="1" applyNumberFormat="1" applyFont="1"/>
    <xf numFmtId="164" fontId="15" fillId="0" borderId="0" xfId="0" applyNumberFormat="1" applyFont="1"/>
    <xf numFmtId="172" fontId="4" fillId="0" borderId="0" xfId="0" applyNumberFormat="1" applyFont="1"/>
    <xf numFmtId="169" fontId="21" fillId="7" borderId="0" xfId="0" applyNumberFormat="1" applyFont="1" applyFill="1"/>
    <xf numFmtId="169" fontId="21" fillId="0" borderId="0" xfId="0" applyNumberFormat="1" applyFont="1"/>
    <xf numFmtId="0" fontId="22" fillId="0" borderId="0" xfId="0" applyFont="1" applyAlignment="1">
      <alignment vertical="top" wrapText="1"/>
    </xf>
    <xf numFmtId="0" fontId="22" fillId="0" borderId="0" xfId="0" quotePrefix="1" applyFont="1" applyAlignment="1">
      <alignment vertical="top" wrapText="1"/>
    </xf>
    <xf numFmtId="9" fontId="4" fillId="0" borderId="0" xfId="2" applyFont="1" applyAlignment="1">
      <alignment horizontal="center"/>
    </xf>
    <xf numFmtId="9" fontId="4" fillId="0" borderId="0" xfId="0" applyNumberFormat="1" applyFont="1" applyAlignment="1">
      <alignment horizontal="center"/>
    </xf>
    <xf numFmtId="172" fontId="4" fillId="0" borderId="0" xfId="1" applyNumberFormat="1" applyFont="1"/>
    <xf numFmtId="0" fontId="15" fillId="0" borderId="0" xfId="0" applyFont="1" applyAlignment="1">
      <alignment horizontal="center"/>
    </xf>
    <xf numFmtId="9" fontId="15" fillId="0" borderId="0" xfId="0" applyNumberFormat="1" applyFont="1" applyAlignment="1">
      <alignment horizontal="center"/>
    </xf>
    <xf numFmtId="172" fontId="15" fillId="0" borderId="0" xfId="1" applyNumberFormat="1" applyFont="1"/>
    <xf numFmtId="0" fontId="20" fillId="0" borderId="0" xfId="0" applyFont="1" applyAlignment="1">
      <alignment horizontal="center"/>
    </xf>
    <xf numFmtId="174" fontId="3" fillId="0" borderId="0" xfId="0" applyNumberFormat="1" applyFont="1"/>
    <xf numFmtId="43" fontId="3" fillId="0" borderId="0" xfId="0" applyNumberFormat="1" applyFont="1"/>
    <xf numFmtId="9" fontId="15" fillId="0" borderId="0" xfId="2" applyFont="1" applyFill="1" applyAlignment="1">
      <alignment horizontal="center"/>
    </xf>
    <xf numFmtId="164" fontId="4" fillId="0" borderId="0" xfId="2" applyNumberFormat="1" applyFont="1" applyFill="1" applyAlignment="1">
      <alignment horizontal="center"/>
    </xf>
    <xf numFmtId="164" fontId="20" fillId="0" borderId="0" xfId="2" applyNumberFormat="1" applyFont="1" applyFill="1" applyAlignment="1">
      <alignment horizontal="center"/>
    </xf>
    <xf numFmtId="43" fontId="4" fillId="0" borderId="0" xfId="1" applyFont="1" applyAlignment="1">
      <alignment horizontal="right"/>
    </xf>
    <xf numFmtId="43" fontId="17" fillId="0" borderId="0" xfId="1" applyFont="1"/>
    <xf numFmtId="0" fontId="7" fillId="0" borderId="0" xfId="0" applyFont="1"/>
    <xf numFmtId="166" fontId="3" fillId="0" borderId="0" xfId="1" applyNumberFormat="1" applyFont="1"/>
    <xf numFmtId="9" fontId="3" fillId="0" borderId="0" xfId="2" applyFont="1"/>
    <xf numFmtId="0" fontId="25" fillId="0" borderId="0" xfId="0" applyFont="1"/>
    <xf numFmtId="9" fontId="25" fillId="0" borderId="0" xfId="0" applyNumberFormat="1" applyFont="1"/>
    <xf numFmtId="164" fontId="20" fillId="0" borderId="0" xfId="0" applyNumberFormat="1" applyFont="1" applyAlignment="1">
      <alignment horizontal="center"/>
    </xf>
    <xf numFmtId="164" fontId="4" fillId="0" borderId="0" xfId="2" applyNumberFormat="1" applyFont="1" applyFill="1"/>
    <xf numFmtId="164" fontId="15" fillId="0" borderId="0" xfId="2" applyNumberFormat="1" applyFont="1" applyFill="1" applyAlignment="1">
      <alignment horizontal="center"/>
    </xf>
    <xf numFmtId="164" fontId="20" fillId="0" borderId="0" xfId="2" quotePrefix="1" applyNumberFormat="1" applyFont="1" applyFill="1" applyAlignment="1">
      <alignment horizontal="center"/>
    </xf>
    <xf numFmtId="164" fontId="4" fillId="0" borderId="0" xfId="0" applyNumberFormat="1" applyFont="1" applyAlignment="1">
      <alignment horizontal="center"/>
    </xf>
    <xf numFmtId="168" fontId="0" fillId="0" borderId="0" xfId="0" applyNumberFormat="1"/>
    <xf numFmtId="168" fontId="3" fillId="0" borderId="0" xfId="0" applyNumberFormat="1" applyFont="1"/>
    <xf numFmtId="164" fontId="3" fillId="0" borderId="0" xfId="0" applyNumberFormat="1" applyFont="1"/>
    <xf numFmtId="10" fontId="10" fillId="0" borderId="0" xfId="2" applyNumberFormat="1" applyFont="1" applyAlignment="1">
      <alignment horizontal="center"/>
    </xf>
    <xf numFmtId="10" fontId="10" fillId="0" borderId="0" xfId="0" applyNumberFormat="1" applyFont="1"/>
    <xf numFmtId="43" fontId="10" fillId="0" borderId="0" xfId="2" applyNumberFormat="1" applyFont="1" applyAlignment="1">
      <alignment horizontal="center"/>
    </xf>
    <xf numFmtId="0" fontId="26" fillId="0" borderId="1" xfId="0" applyFont="1" applyBorder="1" applyAlignment="1">
      <alignment vertical="center"/>
    </xf>
    <xf numFmtId="0" fontId="26" fillId="0" borderId="2" xfId="0" applyFont="1" applyBorder="1" applyAlignment="1">
      <alignment vertical="center"/>
    </xf>
    <xf numFmtId="0" fontId="27" fillId="0" borderId="2" xfId="0" applyFont="1" applyBorder="1" applyAlignment="1">
      <alignment horizontal="right" vertical="center"/>
    </xf>
    <xf numFmtId="0" fontId="28" fillId="0" borderId="3" xfId="0" applyFont="1" applyBorder="1" applyAlignment="1">
      <alignment vertical="center"/>
    </xf>
    <xf numFmtId="0" fontId="26" fillId="0" borderId="4" xfId="0" applyFont="1" applyBorder="1" applyAlignment="1">
      <alignment vertical="center"/>
    </xf>
    <xf numFmtId="0" fontId="27" fillId="0" borderId="4" xfId="0" applyFont="1" applyBorder="1" applyAlignment="1">
      <alignment horizontal="right" vertical="center"/>
    </xf>
    <xf numFmtId="0" fontId="28" fillId="0" borderId="4" xfId="0" applyFont="1" applyBorder="1" applyAlignment="1">
      <alignment horizontal="right" vertical="center"/>
    </xf>
    <xf numFmtId="0" fontId="29" fillId="0" borderId="0" xfId="0" applyFont="1" applyAlignment="1">
      <alignment vertical="center"/>
    </xf>
    <xf numFmtId="10" fontId="30" fillId="0" borderId="4" xfId="0" applyNumberFormat="1" applyFont="1" applyBorder="1" applyAlignment="1">
      <alignment horizontal="right" vertical="center"/>
    </xf>
    <xf numFmtId="176" fontId="0" fillId="0" borderId="0" xfId="0" applyNumberFormat="1"/>
    <xf numFmtId="164" fontId="0" fillId="0" borderId="0" xfId="2" applyNumberFormat="1" applyFont="1"/>
    <xf numFmtId="17" fontId="0" fillId="0" borderId="0" xfId="0" applyNumberFormat="1"/>
    <xf numFmtId="10" fontId="0" fillId="0" borderId="0" xfId="2" applyNumberFormat="1" applyFont="1"/>
    <xf numFmtId="177" fontId="0" fillId="0" borderId="0" xfId="0" applyNumberFormat="1"/>
    <xf numFmtId="43" fontId="20" fillId="0" borderId="0" xfId="1" applyFont="1"/>
    <xf numFmtId="43" fontId="20" fillId="0" borderId="0" xfId="1" applyFont="1" applyAlignment="1">
      <alignment horizontal="right"/>
    </xf>
    <xf numFmtId="9" fontId="20" fillId="0" borderId="0" xfId="2" applyFont="1"/>
    <xf numFmtId="166" fontId="10" fillId="0" borderId="0" xfId="1" applyNumberFormat="1" applyFont="1" applyFill="1"/>
    <xf numFmtId="9" fontId="3" fillId="0" borderId="0" xfId="2" applyFont="1" applyFill="1"/>
    <xf numFmtId="10" fontId="4" fillId="0" borderId="0" xfId="0" applyNumberFormat="1" applyFont="1"/>
    <xf numFmtId="0" fontId="4" fillId="0" borderId="4" xfId="0" applyFont="1" applyBorder="1"/>
    <xf numFmtId="9" fontId="12" fillId="0" borderId="0" xfId="0" applyNumberFormat="1" applyFont="1"/>
    <xf numFmtId="0" fontId="3" fillId="0" borderId="11" xfId="0" applyFont="1" applyBorder="1"/>
    <xf numFmtId="165" fontId="3" fillId="0" borderId="11" xfId="0" applyNumberFormat="1" applyFont="1" applyBorder="1"/>
    <xf numFmtId="0" fontId="3" fillId="0" borderId="11" xfId="0" applyFont="1" applyBorder="1" applyAlignment="1">
      <alignment horizontal="center"/>
    </xf>
    <xf numFmtId="164" fontId="3" fillId="0" borderId="11" xfId="0" applyNumberFormat="1" applyFont="1" applyBorder="1"/>
    <xf numFmtId="167" fontId="4" fillId="0" borderId="11" xfId="0" applyNumberFormat="1" applyFont="1" applyBorder="1"/>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8" xfId="0" applyFont="1" applyBorder="1" applyAlignment="1">
      <alignment horizontal="left" vertical="center" wrapText="1" indent="1"/>
    </xf>
    <xf numFmtId="0" fontId="6" fillId="0" borderId="9" xfId="0" applyFont="1" applyBorder="1" applyAlignment="1">
      <alignment vertical="center" wrapText="1"/>
    </xf>
    <xf numFmtId="6" fontId="7" fillId="0" borderId="10" xfId="0" applyNumberFormat="1" applyFont="1" applyBorder="1" applyAlignment="1">
      <alignment horizontal="center" vertical="center" wrapText="1"/>
    </xf>
    <xf numFmtId="6" fontId="7" fillId="0" borderId="11" xfId="0" applyNumberFormat="1" applyFont="1" applyBorder="1" applyAlignment="1">
      <alignment horizontal="center" vertical="center" wrapText="1"/>
    </xf>
    <xf numFmtId="6" fontId="7" fillId="0" borderId="12" xfId="0" applyNumberFormat="1" applyFont="1" applyBorder="1" applyAlignment="1">
      <alignment horizontal="center" vertical="center" wrapText="1"/>
    </xf>
    <xf numFmtId="8" fontId="3" fillId="0" borderId="0" xfId="0" applyNumberFormat="1" applyFont="1"/>
    <xf numFmtId="9" fontId="3" fillId="0" borderId="0" xfId="0" applyNumberFormat="1" applyFont="1"/>
    <xf numFmtId="168" fontId="4" fillId="0" borderId="0" xfId="0" applyNumberFormat="1" applyFont="1"/>
    <xf numFmtId="6" fontId="3" fillId="0" borderId="0" xfId="0" applyNumberFormat="1" applyFont="1"/>
    <xf numFmtId="6" fontId="7" fillId="0" borderId="13" xfId="0" applyNumberFormat="1" applyFont="1" applyBorder="1" applyAlignment="1">
      <alignment horizontal="center" vertical="center" wrapText="1"/>
    </xf>
    <xf numFmtId="6" fontId="7" fillId="0" borderId="14" xfId="0" applyNumberFormat="1" applyFont="1" applyBorder="1" applyAlignment="1">
      <alignment horizontal="center" vertical="center" wrapText="1"/>
    </xf>
    <xf numFmtId="6" fontId="7" fillId="0" borderId="22" xfId="0" applyNumberFormat="1" applyFont="1" applyBorder="1" applyAlignment="1">
      <alignment horizontal="center" vertical="center" wrapText="1"/>
    </xf>
    <xf numFmtId="6" fontId="7" fillId="0" borderId="23" xfId="0" applyNumberFormat="1" applyFont="1" applyBorder="1" applyAlignment="1">
      <alignment horizontal="center" vertical="center" wrapText="1"/>
    </xf>
    <xf numFmtId="6" fontId="7" fillId="0" borderId="24" xfId="0" applyNumberFormat="1"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1" fontId="4" fillId="0" borderId="0" xfId="0" applyNumberFormat="1" applyFont="1"/>
    <xf numFmtId="9" fontId="4" fillId="0" borderId="0" xfId="2" applyFont="1" applyFill="1"/>
    <xf numFmtId="0" fontId="4" fillId="0" borderId="1" xfId="0" applyFont="1" applyBorder="1" applyAlignment="1">
      <alignment vertical="center"/>
    </xf>
    <xf numFmtId="0" fontId="4" fillId="0" borderId="2" xfId="0" applyFont="1" applyBorder="1" applyAlignment="1">
      <alignment horizontal="center" vertical="center" wrapText="1"/>
    </xf>
    <xf numFmtId="0" fontId="4" fillId="0" borderId="0" xfId="0" applyFont="1" applyAlignment="1">
      <alignment horizontal="left" vertical="center"/>
    </xf>
    <xf numFmtId="0" fontId="4" fillId="0" borderId="3" xfId="0" applyFont="1" applyBorder="1" applyAlignment="1">
      <alignment vertical="center"/>
    </xf>
    <xf numFmtId="164" fontId="4" fillId="0" borderId="4" xfId="2" applyNumberFormat="1" applyFont="1" applyFill="1" applyBorder="1" applyAlignment="1">
      <alignment horizontal="center" vertical="center" wrapText="1"/>
    </xf>
    <xf numFmtId="0" fontId="3" fillId="0" borderId="1" xfId="0" applyFont="1" applyBorder="1" applyAlignment="1">
      <alignment vertical="center"/>
    </xf>
    <xf numFmtId="0" fontId="3" fillId="0" borderId="2" xfId="0" applyFont="1" applyBorder="1" applyAlignment="1">
      <alignment horizontal="center" vertical="center"/>
    </xf>
    <xf numFmtId="0" fontId="3" fillId="0" borderId="3" xfId="0" applyFont="1" applyBorder="1" applyAlignment="1">
      <alignment vertical="center"/>
    </xf>
    <xf numFmtId="10" fontId="3" fillId="0" borderId="4" xfId="0" applyNumberFormat="1" applyFont="1" applyBorder="1" applyAlignment="1">
      <alignment horizontal="center" vertical="center"/>
    </xf>
    <xf numFmtId="3" fontId="11" fillId="0" borderId="0" xfId="0" applyNumberFormat="1" applyFont="1"/>
    <xf numFmtId="0" fontId="11" fillId="0" borderId="0" xfId="0" applyFont="1" applyAlignment="1">
      <alignment horizontal="center"/>
    </xf>
    <xf numFmtId="0" fontId="4" fillId="0" borderId="11" xfId="0" applyFont="1" applyBorder="1" applyAlignment="1">
      <alignment horizontal="left" vertical="center"/>
    </xf>
    <xf numFmtId="0" fontId="25" fillId="0" borderId="11" xfId="0" applyFont="1" applyBorder="1" applyAlignment="1">
      <alignment horizontal="center"/>
    </xf>
    <xf numFmtId="166" fontId="4" fillId="0" borderId="11" xfId="1" applyNumberFormat="1" applyFont="1" applyFill="1" applyBorder="1" applyAlignment="1">
      <alignment horizontal="left" vertical="center"/>
    </xf>
    <xf numFmtId="164" fontId="3" fillId="0" borderId="11" xfId="0" applyNumberFormat="1" applyFont="1" applyBorder="1" applyAlignment="1">
      <alignment horizontal="center"/>
    </xf>
    <xf numFmtId="0" fontId="11" fillId="0" borderId="0" xfId="0" applyFont="1" applyAlignment="1">
      <alignment horizontal="left" vertical="center" wrapText="1"/>
    </xf>
    <xf numFmtId="0" fontId="4" fillId="0" borderId="0" xfId="0" applyFont="1" applyAlignment="1">
      <alignment horizontal="left" vertical="center" wrapText="1"/>
    </xf>
    <xf numFmtId="10" fontId="4" fillId="0" borderId="0" xfId="2" applyNumberFormat="1" applyFont="1" applyFill="1"/>
    <xf numFmtId="0" fontId="18" fillId="0" borderId="17" xfId="0" applyFont="1" applyBorder="1" applyAlignment="1">
      <alignment vertical="center"/>
    </xf>
    <xf numFmtId="0" fontId="18" fillId="0" borderId="11" xfId="0" applyFont="1" applyBorder="1" applyAlignment="1">
      <alignment horizontal="left" vertical="center" wrapText="1"/>
    </xf>
    <xf numFmtId="0" fontId="18" fillId="0" borderId="19" xfId="0" applyFont="1" applyBorder="1" applyAlignment="1">
      <alignment horizontal="center" vertical="center"/>
    </xf>
    <xf numFmtId="0" fontId="18" fillId="0" borderId="17" xfId="0" applyFont="1" applyBorder="1" applyAlignment="1">
      <alignment horizontal="center" vertical="center"/>
    </xf>
    <xf numFmtId="0" fontId="18" fillId="0" borderId="11" xfId="0" applyFont="1" applyBorder="1" applyAlignment="1">
      <alignment horizontal="center" vertical="center"/>
    </xf>
    <xf numFmtId="0" fontId="18" fillId="0" borderId="20" xfId="0" applyFont="1" applyBorder="1" applyAlignment="1">
      <alignment horizontal="center" vertical="center"/>
    </xf>
    <xf numFmtId="0" fontId="18" fillId="0" borderId="18" xfId="0" applyFont="1" applyBorder="1" applyAlignment="1">
      <alignment vertical="center"/>
    </xf>
    <xf numFmtId="9" fontId="18" fillId="0" borderId="0" xfId="0" applyNumberFormat="1" applyFont="1" applyAlignment="1">
      <alignment horizontal="center" vertical="center"/>
    </xf>
    <xf numFmtId="9" fontId="18" fillId="0" borderId="18" xfId="0" applyNumberFormat="1" applyFont="1" applyBorder="1" applyAlignment="1">
      <alignment horizontal="center" vertical="center"/>
    </xf>
    <xf numFmtId="9" fontId="18" fillId="0" borderId="23" xfId="0" applyNumberFormat="1" applyFont="1" applyBorder="1" applyAlignment="1">
      <alignment horizontal="center" vertical="center"/>
    </xf>
    <xf numFmtId="9" fontId="18" fillId="0" borderId="22" xfId="0" applyNumberFormat="1" applyFont="1" applyBorder="1" applyAlignment="1">
      <alignment horizontal="center" vertical="center"/>
    </xf>
    <xf numFmtId="0" fontId="18" fillId="0" borderId="23" xfId="0" applyFont="1" applyBorder="1" applyAlignment="1">
      <alignment horizontal="center" vertical="center"/>
    </xf>
    <xf numFmtId="0" fontId="18" fillId="0" borderId="22" xfId="0" applyFont="1" applyBorder="1" applyAlignment="1">
      <alignment horizontal="center" vertical="center"/>
    </xf>
    <xf numFmtId="0" fontId="18" fillId="0" borderId="29" xfId="0" applyFont="1" applyBorder="1" applyAlignment="1">
      <alignment vertical="center"/>
    </xf>
    <xf numFmtId="9" fontId="18" fillId="0" borderId="15" xfId="0" applyNumberFormat="1" applyFont="1" applyBorder="1" applyAlignment="1">
      <alignment horizontal="center" vertical="center"/>
    </xf>
    <xf numFmtId="9" fontId="18" fillId="0" borderId="29" xfId="0" applyNumberFormat="1" applyFont="1" applyBorder="1" applyAlignment="1">
      <alignment horizontal="center" vertical="center"/>
    </xf>
    <xf numFmtId="0" fontId="18" fillId="0" borderId="28" xfId="0" applyFont="1" applyBorder="1" applyAlignment="1">
      <alignment horizontal="center" vertical="center"/>
    </xf>
    <xf numFmtId="0" fontId="18" fillId="0" borderId="16" xfId="0" applyFont="1" applyBorder="1" applyAlignment="1">
      <alignment horizontal="center" vertical="center"/>
    </xf>
    <xf numFmtId="0" fontId="31" fillId="0" borderId="25" xfId="0" applyFont="1" applyBorder="1" applyAlignment="1">
      <alignment horizontal="center" vertical="center" wrapText="1"/>
    </xf>
    <xf numFmtId="0" fontId="31" fillId="0" borderId="6" xfId="0" applyFont="1" applyBorder="1" applyAlignment="1">
      <alignment horizontal="center" vertical="center" wrapText="1"/>
    </xf>
    <xf numFmtId="0" fontId="31" fillId="0" borderId="25" xfId="0" applyFont="1" applyBorder="1" applyAlignment="1">
      <alignment vertical="center"/>
    </xf>
    <xf numFmtId="0" fontId="31" fillId="0" borderId="6" xfId="0" applyFont="1" applyBorder="1" applyAlignment="1">
      <alignment horizontal="center" vertical="center"/>
    </xf>
    <xf numFmtId="0" fontId="31" fillId="0" borderId="26" xfId="0" applyFont="1" applyBorder="1" applyAlignment="1">
      <alignment vertical="center" wrapText="1"/>
    </xf>
    <xf numFmtId="0" fontId="31" fillId="0" borderId="5" xfId="0" applyFont="1" applyBorder="1" applyAlignment="1">
      <alignment horizontal="center" vertical="center"/>
    </xf>
    <xf numFmtId="0" fontId="31" fillId="0" borderId="26" xfId="0" applyFont="1" applyBorder="1" applyAlignment="1">
      <alignment vertical="center"/>
    </xf>
    <xf numFmtId="0" fontId="31" fillId="0" borderId="3" xfId="0" applyFont="1" applyBorder="1" applyAlignment="1">
      <alignment vertical="center"/>
    </xf>
    <xf numFmtId="0" fontId="31" fillId="0" borderId="4" xfId="0" applyFont="1" applyBorder="1" applyAlignment="1">
      <alignment horizontal="center" vertical="center"/>
    </xf>
    <xf numFmtId="0" fontId="4" fillId="0" borderId="15" xfId="0" applyFont="1" applyBorder="1"/>
    <xf numFmtId="168" fontId="4" fillId="0" borderId="15" xfId="0" applyNumberFormat="1" applyFont="1" applyBorder="1"/>
    <xf numFmtId="2" fontId="4" fillId="0" borderId="15" xfId="0" applyNumberFormat="1" applyFont="1" applyBorder="1"/>
    <xf numFmtId="174" fontId="4" fillId="0" borderId="0" xfId="0" applyNumberFormat="1" applyFont="1"/>
    <xf numFmtId="168" fontId="4" fillId="0" borderId="19" xfId="0" applyNumberFormat="1" applyFont="1" applyBorder="1"/>
    <xf numFmtId="0" fontId="4" fillId="0" borderId="19" xfId="0" applyFont="1" applyBorder="1"/>
    <xf numFmtId="2" fontId="4" fillId="0" borderId="19" xfId="0" applyNumberFormat="1" applyFont="1" applyBorder="1"/>
    <xf numFmtId="0" fontId="14" fillId="0" borderId="0" xfId="0" applyFont="1" applyAlignment="1">
      <alignment horizontal="right"/>
    </xf>
    <xf numFmtId="0" fontId="14" fillId="0" borderId="0" xfId="0" applyFont="1" applyAlignment="1">
      <alignment horizontal="center"/>
    </xf>
    <xf numFmtId="168" fontId="4" fillId="0" borderId="0" xfId="0" applyNumberFormat="1" applyFont="1" applyAlignment="1">
      <alignment horizontal="center"/>
    </xf>
    <xf numFmtId="171" fontId="4" fillId="0" borderId="0" xfId="0" applyNumberFormat="1" applyFont="1" applyAlignment="1">
      <alignment horizontal="center"/>
    </xf>
    <xf numFmtId="2" fontId="4" fillId="0" borderId="0" xfId="0" applyNumberFormat="1" applyFont="1" applyAlignment="1">
      <alignment horizontal="center"/>
    </xf>
    <xf numFmtId="1" fontId="17" fillId="0" borderId="0" xfId="0" applyNumberFormat="1" applyFont="1"/>
    <xf numFmtId="2" fontId="7" fillId="0" borderId="0" xfId="0" applyNumberFormat="1" applyFont="1"/>
    <xf numFmtId="165" fontId="7" fillId="0" borderId="0" xfId="0" applyNumberFormat="1" applyFont="1"/>
    <xf numFmtId="0" fontId="4" fillId="0" borderId="0" xfId="0" applyFont="1" applyProtection="1">
      <protection hidden="1"/>
    </xf>
    <xf numFmtId="168" fontId="4" fillId="0" borderId="0" xfId="0" applyNumberFormat="1" applyFont="1" applyProtection="1">
      <protection hidden="1"/>
    </xf>
    <xf numFmtId="1" fontId="17" fillId="0" borderId="0" xfId="0" applyNumberFormat="1" applyFont="1" applyProtection="1">
      <protection hidden="1"/>
    </xf>
    <xf numFmtId="2" fontId="4" fillId="0" borderId="0" xfId="0" applyNumberFormat="1" applyFont="1" applyProtection="1">
      <protection hidden="1"/>
    </xf>
    <xf numFmtId="171" fontId="4" fillId="0" borderId="0" xfId="0" applyNumberFormat="1" applyFont="1"/>
    <xf numFmtId="165" fontId="4" fillId="0" borderId="0" xfId="0" applyNumberFormat="1" applyFont="1"/>
    <xf numFmtId="2" fontId="4" fillId="0" borderId="0" xfId="0" applyNumberFormat="1" applyFont="1" applyAlignment="1">
      <alignment horizontal="right"/>
    </xf>
    <xf numFmtId="0" fontId="17" fillId="0" borderId="0" xfId="0" applyFont="1"/>
    <xf numFmtId="0" fontId="19" fillId="0" borderId="0" xfId="0" applyFont="1"/>
    <xf numFmtId="9" fontId="4" fillId="0" borderId="0" xfId="0" applyNumberFormat="1" applyFont="1" applyProtection="1">
      <protection hidden="1"/>
    </xf>
    <xf numFmtId="2" fontId="7" fillId="0" borderId="0" xfId="0" applyNumberFormat="1" applyFont="1" applyProtection="1">
      <protection hidden="1"/>
    </xf>
    <xf numFmtId="168" fontId="11" fillId="0" borderId="0" xfId="0" applyNumberFormat="1" applyFont="1"/>
    <xf numFmtId="17" fontId="10" fillId="0" borderId="0" xfId="0" applyNumberFormat="1" applyFont="1" applyAlignment="1">
      <alignment horizontal="right"/>
    </xf>
    <xf numFmtId="1" fontId="7" fillId="0" borderId="0" xfId="0" applyNumberFormat="1" applyFont="1"/>
    <xf numFmtId="0" fontId="10" fillId="0" borderId="0" xfId="0" applyFont="1" applyAlignment="1">
      <alignment horizontal="right"/>
    </xf>
    <xf numFmtId="0" fontId="10" fillId="0" borderId="0" xfId="0" applyFont="1"/>
    <xf numFmtId="17" fontId="10" fillId="0" borderId="0" xfId="0" applyNumberFormat="1" applyFont="1" applyAlignment="1">
      <alignment horizontal="right" wrapText="1"/>
    </xf>
    <xf numFmtId="0" fontId="10" fillId="0" borderId="0" xfId="0" applyFont="1" applyProtection="1">
      <protection hidden="1"/>
    </xf>
    <xf numFmtId="17" fontId="10" fillId="0" borderId="0" xfId="0" applyNumberFormat="1" applyFont="1" applyAlignment="1" applyProtection="1">
      <alignment horizontal="left"/>
      <protection hidden="1"/>
    </xf>
    <xf numFmtId="17" fontId="10" fillId="0" borderId="0" xfId="0" applyNumberFormat="1" applyFont="1" applyAlignment="1">
      <alignment horizontal="left"/>
    </xf>
    <xf numFmtId="0" fontId="8" fillId="0" borderId="0" xfId="0" applyFont="1" applyAlignment="1">
      <alignment horizontal="left" vertical="center" wrapText="1"/>
    </xf>
    <xf numFmtId="0" fontId="14" fillId="0" borderId="0" xfId="0" applyFont="1" applyAlignment="1">
      <alignment wrapText="1"/>
    </xf>
    <xf numFmtId="172" fontId="12" fillId="0" borderId="0" xfId="0" applyNumberFormat="1" applyFont="1"/>
    <xf numFmtId="168" fontId="7" fillId="0" borderId="0" xfId="0" applyNumberFormat="1" applyFont="1"/>
    <xf numFmtId="43" fontId="4" fillId="0" borderId="0" xfId="1" applyFont="1" applyFill="1"/>
    <xf numFmtId="171" fontId="4" fillId="0" borderId="0" xfId="1" applyNumberFormat="1" applyFont="1" applyFill="1"/>
    <xf numFmtId="172" fontId="12" fillId="0" borderId="0" xfId="1" applyNumberFormat="1" applyFont="1" applyFill="1"/>
    <xf numFmtId="172" fontId="4" fillId="0" borderId="0" xfId="1" applyNumberFormat="1" applyFont="1" applyFill="1"/>
    <xf numFmtId="166" fontId="23" fillId="0" borderId="0" xfId="0" applyNumberFormat="1" applyFont="1"/>
    <xf numFmtId="172" fontId="23" fillId="0" borderId="0" xfId="0" applyNumberFormat="1" applyFont="1"/>
    <xf numFmtId="9" fontId="7" fillId="0" borderId="0" xfId="2" applyFont="1" applyFill="1"/>
    <xf numFmtId="171" fontId="4" fillId="0" borderId="0" xfId="0" applyNumberFormat="1" applyFont="1" applyProtection="1">
      <protection hidden="1"/>
    </xf>
    <xf numFmtId="165" fontId="4" fillId="0" borderId="0" xfId="0" applyNumberFormat="1" applyFont="1" applyProtection="1">
      <protection hidden="1"/>
    </xf>
    <xf numFmtId="169" fontId="10" fillId="0" borderId="0" xfId="0" applyNumberFormat="1" applyFont="1"/>
    <xf numFmtId="172" fontId="7" fillId="0" borderId="0" xfId="1" applyNumberFormat="1" applyFont="1" applyFill="1"/>
    <xf numFmtId="43" fontId="7" fillId="0" borderId="0" xfId="1" applyFont="1" applyFill="1"/>
    <xf numFmtId="0" fontId="8" fillId="0" borderId="0" xfId="0" applyFont="1"/>
    <xf numFmtId="171" fontId="32" fillId="0" borderId="0" xfId="0" quotePrefix="1" applyNumberFormat="1" applyFont="1"/>
    <xf numFmtId="0" fontId="14" fillId="0" borderId="0" xfId="0" applyFont="1" applyAlignment="1">
      <alignment horizontal="left"/>
    </xf>
    <xf numFmtId="173" fontId="4" fillId="0" borderId="0" xfId="0" applyNumberFormat="1" applyFont="1"/>
    <xf numFmtId="171" fontId="4" fillId="0" borderId="0" xfId="0" quotePrefix="1" applyNumberFormat="1" applyFont="1"/>
    <xf numFmtId="2" fontId="4" fillId="0" borderId="0" xfId="0" quotePrefix="1" applyNumberFormat="1" applyFont="1"/>
    <xf numFmtId="169" fontId="33" fillId="0" borderId="0" xfId="0" applyNumberFormat="1" applyFont="1"/>
    <xf numFmtId="0" fontId="4" fillId="0" borderId="0" xfId="0" applyFont="1" applyAlignment="1">
      <alignment textRotation="47"/>
    </xf>
    <xf numFmtId="0" fontId="9" fillId="0" borderId="0" xfId="0" applyFont="1" applyAlignment="1">
      <alignment vertical="center"/>
    </xf>
    <xf numFmtId="0" fontId="9" fillId="0" borderId="11" xfId="0" applyFont="1" applyBorder="1" applyAlignment="1">
      <alignment horizontal="left" vertical="center" wrapText="1"/>
    </xf>
    <xf numFmtId="0" fontId="9" fillId="0" borderId="11"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1" xfId="0" applyFont="1" applyBorder="1" applyAlignment="1">
      <alignment horizontal="left" vertical="top" wrapText="1"/>
    </xf>
    <xf numFmtId="0" fontId="8" fillId="0" borderId="11" xfId="0" applyFont="1" applyBorder="1" applyAlignment="1">
      <alignment horizontal="left" vertical="center" wrapText="1"/>
    </xf>
    <xf numFmtId="0" fontId="8" fillId="0" borderId="11" xfId="0" applyFont="1" applyBorder="1" applyAlignment="1">
      <alignment horizontal="center" vertical="center"/>
    </xf>
    <xf numFmtId="0" fontId="5" fillId="0" borderId="11" xfId="0" applyFont="1" applyBorder="1" applyAlignment="1">
      <alignment horizontal="left" vertical="center" wrapText="1"/>
    </xf>
    <xf numFmtId="0" fontId="5" fillId="0" borderId="11" xfId="0" applyFont="1" applyBorder="1" applyAlignment="1">
      <alignment horizontal="left" vertical="center"/>
    </xf>
    <xf numFmtId="0" fontId="8" fillId="0" borderId="17" xfId="0" applyFont="1" applyBorder="1" applyAlignment="1">
      <alignment vertical="center"/>
    </xf>
    <xf numFmtId="0" fontId="8" fillId="0" borderId="19" xfId="0" applyFont="1" applyBorder="1" applyAlignment="1">
      <alignment vertical="center"/>
    </xf>
    <xf numFmtId="0" fontId="8" fillId="0" borderId="20" xfId="0" applyFont="1" applyBorder="1" applyAlignment="1">
      <alignment vertical="center"/>
    </xf>
    <xf numFmtId="0" fontId="8" fillId="0" borderId="17" xfId="0" applyFont="1" applyBorder="1" applyAlignment="1">
      <alignment horizontal="center" vertical="center"/>
    </xf>
    <xf numFmtId="0" fontId="9" fillId="0" borderId="21" xfId="0" applyFont="1" applyBorder="1" applyAlignment="1">
      <alignment vertical="center"/>
    </xf>
    <xf numFmtId="0" fontId="8" fillId="0" borderId="20" xfId="0" applyFont="1" applyBorder="1" applyAlignment="1">
      <alignment horizontal="left" vertical="center" wrapText="1"/>
    </xf>
    <xf numFmtId="0" fontId="8" fillId="0" borderId="20" xfId="0" applyFont="1" applyBorder="1" applyAlignment="1">
      <alignment horizontal="center" vertical="center" wrapText="1"/>
    </xf>
    <xf numFmtId="0" fontId="5" fillId="0" borderId="20" xfId="0" applyFont="1" applyBorder="1" applyAlignment="1">
      <alignment horizontal="left" vertical="center" wrapText="1"/>
    </xf>
    <xf numFmtId="0" fontId="8" fillId="0" borderId="0" xfId="0" applyFont="1" applyAlignment="1">
      <alignment horizontal="center" vertical="center"/>
    </xf>
    <xf numFmtId="0" fontId="8" fillId="0" borderId="15" xfId="0" applyFont="1" applyBorder="1" applyAlignment="1">
      <alignment horizontal="left" vertical="center" wrapText="1"/>
    </xf>
    <xf numFmtId="0" fontId="9" fillId="0" borderId="11" xfId="0" applyFont="1" applyBorder="1" applyAlignment="1">
      <alignment vertical="center"/>
    </xf>
    <xf numFmtId="0" fontId="5" fillId="0" borderId="11" xfId="0" applyFont="1" applyBorder="1"/>
    <xf numFmtId="0" fontId="5" fillId="0" borderId="0" xfId="0" applyFont="1"/>
    <xf numFmtId="0" fontId="9" fillId="0" borderId="0" xfId="0" applyFont="1"/>
    <xf numFmtId="0" fontId="34" fillId="0" borderId="0" xfId="0" applyFont="1" applyAlignment="1">
      <alignment horizontal="left" vertical="center" wrapText="1"/>
    </xf>
    <xf numFmtId="9" fontId="0" fillId="0" borderId="0" xfId="0" applyNumberFormat="1"/>
    <xf numFmtId="0" fontId="0" fillId="0" borderId="0" xfId="0" applyAlignment="1">
      <alignment horizontal="center"/>
    </xf>
    <xf numFmtId="43" fontId="0" fillId="0" borderId="0" xfId="0" applyNumberFormat="1"/>
    <xf numFmtId="0" fontId="0" fillId="2" borderId="0" xfId="0" applyFill="1"/>
    <xf numFmtId="0" fontId="0" fillId="10" borderId="0" xfId="0" applyFill="1"/>
    <xf numFmtId="0" fontId="0" fillId="11" borderId="0" xfId="0" applyFill="1"/>
    <xf numFmtId="0" fontId="0" fillId="4" borderId="0" xfId="0" applyFill="1"/>
    <xf numFmtId="0" fontId="0" fillId="3" borderId="0" xfId="0" applyFill="1"/>
    <xf numFmtId="0" fontId="0" fillId="12" borderId="0" xfId="0" applyFill="1"/>
    <xf numFmtId="0" fontId="0" fillId="6" borderId="0" xfId="0" applyFill="1"/>
    <xf numFmtId="2" fontId="0" fillId="0" borderId="0" xfId="0" applyNumberFormat="1"/>
    <xf numFmtId="0" fontId="0" fillId="0" borderId="0" xfId="0" applyAlignment="1">
      <alignment horizontal="right"/>
    </xf>
    <xf numFmtId="176" fontId="0" fillId="2" borderId="0" xfId="0" applyNumberFormat="1" applyFill="1"/>
    <xf numFmtId="176" fontId="0" fillId="12" borderId="0" xfId="0" applyNumberFormat="1" applyFill="1"/>
    <xf numFmtId="176" fontId="0" fillId="10" borderId="0" xfId="0" applyNumberFormat="1" applyFill="1"/>
    <xf numFmtId="0" fontId="2" fillId="9" borderId="0" xfId="0" applyFont="1" applyFill="1"/>
    <xf numFmtId="0" fontId="18" fillId="0" borderId="23" xfId="0" applyFont="1" applyBorder="1" applyAlignment="1">
      <alignment horizontal="left" vertical="center" wrapText="1"/>
    </xf>
    <xf numFmtId="0" fontId="18" fillId="0" borderId="28" xfId="0" applyFont="1" applyBorder="1" applyAlignment="1">
      <alignment horizontal="left"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4" fillId="0" borderId="0" xfId="0" applyFont="1" applyAlignment="1">
      <alignment horizontal="center"/>
    </xf>
    <xf numFmtId="0" fontId="22" fillId="0" borderId="0" xfId="0" applyFont="1" applyAlignment="1">
      <alignment horizontal="center" vertical="top" wrapText="1"/>
    </xf>
  </cellXfs>
  <cellStyles count="5">
    <cellStyle name="Comma" xfId="1" builtinId="3"/>
    <cellStyle name="Normal" xfId="0" builtinId="0"/>
    <cellStyle name="Normal 18" xfId="3" xr:uid="{FAA3F072-6EEF-4792-999B-7EBE632F3BF6}"/>
    <cellStyle name="Normal 2" xfId="4" xr:uid="{DCC41B8D-0103-4E4C-B69D-CCC811CB250D}"/>
    <cellStyle name="Percent" xfId="2" builtinId="5"/>
  </cellStyles>
  <dxfs count="0"/>
  <tableStyles count="0" defaultTableStyle="TableStyleMedium2" defaultPivotStyle="PivotStyleLight16"/>
  <colors>
    <mruColors>
      <color rgb="FFFFABAB"/>
      <color rgb="FFFFFF93"/>
      <color rgb="FFFFFFCC"/>
      <color rgb="FFCCDFC7"/>
      <color rgb="FF990099"/>
      <color rgb="FFEBF3FB"/>
      <color rgb="FFEEF4EC"/>
      <color rgb="FFFFFFE7"/>
      <color rgb="FFFFFF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10</xdr:row>
      <xdr:rowOff>123825</xdr:rowOff>
    </xdr:from>
    <xdr:to>
      <xdr:col>3</xdr:col>
      <xdr:colOff>295275</xdr:colOff>
      <xdr:row>15</xdr:row>
      <xdr:rowOff>66675</xdr:rowOff>
    </xdr:to>
    <xdr:pic>
      <xdr:nvPicPr>
        <xdr:cNvPr id="2" name="Picture 1">
          <a:extLst>
            <a:ext uri="{FF2B5EF4-FFF2-40B4-BE49-F238E27FC236}">
              <a16:creationId xmlns:a16="http://schemas.microsoft.com/office/drawing/2014/main" id="{7175A947-7BB9-4997-AF43-71BCF455E5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2028825"/>
          <a:ext cx="2009775" cy="8953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klcouncil-my.sharepoint.com/personal/waket_aklc_govt_nz/Documents/Parks%20and%20Comm%20space/Cost%20projtn%20from%20May%202023%20-%20all%20region%20LTP/Cost%20projection%20modelling/OS%20Acq%20Cost%20Projectn%202Dec24.xlsx" TargetMode="External"/><Relationship Id="rId1" Type="http://schemas.openxmlformats.org/officeDocument/2006/relationships/externalLinkPath" Target="OS%20Acq%20Cost%20Projectn%202Dec2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klcouncil-my.sharepoint.com/personal/waket_aklc_govt_nz/Documents/Parks%20and%20Comm%20space/Cost%20projtn%20from%20May%202023%20-%20all%20region%20LTP/Cost%20projection%20modelling/OS%20Acq%20Cost%20Projectn%201Dec24.xlsx" TargetMode="External"/><Relationship Id="rId1" Type="http://schemas.openxmlformats.org/officeDocument/2006/relationships/externalLinkPath" Target="OS%20Acq%20Cost%20Projectn%201Dec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on notes"/>
      <sheetName val="Cost inputs"/>
      <sheetName val="Park spec inputs"/>
      <sheetName val="Land Price Phase Sc1&amp;2"/>
      <sheetName val="Final LTP first cut for DC"/>
      <sheetName val="OS Acq model"/>
      <sheetName val="Reference maps"/>
      <sheetName val="Drury Comparison Maps"/>
      <sheetName val="Summary"/>
      <sheetName val="comparison with 12Jul"/>
      <sheetName val="Opaheke changes"/>
      <sheetName val="Flatbush parks"/>
      <sheetName val="OS graphs"/>
    </sheetNames>
    <sheetDataSet>
      <sheetData sheetId="0"/>
      <sheetData sheetId="1"/>
      <sheetData sheetId="2"/>
      <sheetData sheetId="3"/>
      <sheetData sheetId="4"/>
      <sheetData sheetId="5">
        <row r="8">
          <cell r="ED8">
            <v>2045</v>
          </cell>
        </row>
      </sheetData>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on notes"/>
      <sheetName val="Cost inputs"/>
      <sheetName val="Park spec inputs"/>
      <sheetName val="Land Price Phase Sc1&amp;2"/>
      <sheetName val="Final LTP first cut for DC"/>
      <sheetName val="OS Acq model"/>
      <sheetName val="Reference maps"/>
      <sheetName val="Drury Comparison Maps"/>
      <sheetName val="Summary"/>
      <sheetName val="area proportions"/>
      <sheetName val="comparison with 12 Jul"/>
      <sheetName val="Opaheke changes"/>
      <sheetName val="Flatbush parks"/>
      <sheetName val="OS graphs"/>
    </sheetNames>
    <sheetDataSet>
      <sheetData sheetId="0"/>
      <sheetData sheetId="1"/>
      <sheetData sheetId="2"/>
      <sheetData sheetId="3"/>
      <sheetData sheetId="4"/>
      <sheetData sheetId="5">
        <row r="22">
          <cell r="J22">
            <v>1</v>
          </cell>
          <cell r="AL22">
            <v>0.10317424355676874</v>
          </cell>
          <cell r="AM22">
            <v>0.10437720006137982</v>
          </cell>
          <cell r="AN22">
            <v>0.10605662509671779</v>
          </cell>
          <cell r="AO22">
            <v>0.10165489126390424</v>
          </cell>
          <cell r="AP22">
            <v>4.734280891885715E-2</v>
          </cell>
          <cell r="AQ22">
            <v>5.168471985812214E-2</v>
          </cell>
          <cell r="AR22">
            <v>0.24285475562212505</v>
          </cell>
          <cell r="AS22">
            <v>0.24285475562212505</v>
          </cell>
        </row>
        <row r="26">
          <cell r="J26">
            <v>7</v>
          </cell>
          <cell r="AB26">
            <v>7.0999999999999994E-2</v>
          </cell>
          <cell r="AC26">
            <v>3.7543052523597763E-2</v>
          </cell>
          <cell r="AD26">
            <v>4.5514348152835955E-2</v>
          </cell>
          <cell r="AE26">
            <v>1.8122514202664898E-2</v>
          </cell>
          <cell r="AF26">
            <v>2.9436634290174995E-2</v>
          </cell>
          <cell r="AG26">
            <v>6.8898554427072656E-2</v>
          </cell>
          <cell r="AH26">
            <v>5.6492768691534537E-2</v>
          </cell>
          <cell r="AI26">
            <v>6.104858397150742E-2</v>
          </cell>
          <cell r="AJ26">
            <v>4.7218433489156879E-2</v>
          </cell>
          <cell r="AK26">
            <v>1.3445716477434186E-2</v>
          </cell>
          <cell r="AL26">
            <v>0.10317424355676874</v>
          </cell>
          <cell r="AM26">
            <v>0.10437720006137982</v>
          </cell>
          <cell r="AN26">
            <v>0.10605662509671779</v>
          </cell>
          <cell r="AO26">
            <v>0.10165489126390424</v>
          </cell>
          <cell r="AP26">
            <v>4.734280891885715E-2</v>
          </cell>
          <cell r="AQ26">
            <v>5.168471985812214E-2</v>
          </cell>
          <cell r="AR26">
            <v>3.698890501827079E-2</v>
          </cell>
          <cell r="AS26">
            <v>0</v>
          </cell>
        </row>
        <row r="27">
          <cell r="K27">
            <v>1</v>
          </cell>
          <cell r="AB27">
            <v>7.0999999999999994E-2</v>
          </cell>
          <cell r="AC27">
            <v>3.7543052523597763E-2</v>
          </cell>
          <cell r="AD27">
            <v>4.5514348152835955E-2</v>
          </cell>
          <cell r="AE27">
            <v>1.8122514202664898E-2</v>
          </cell>
          <cell r="AF27">
            <v>2.9436634290174995E-2</v>
          </cell>
          <cell r="AG27">
            <v>6.8898554427072656E-2</v>
          </cell>
          <cell r="AH27">
            <v>5.6492768691534537E-2</v>
          </cell>
          <cell r="AI27">
            <v>6.104858397150742E-2</v>
          </cell>
          <cell r="AJ27">
            <v>4.7218433489156879E-2</v>
          </cell>
          <cell r="AK27">
            <v>1.3445716477434186E-2</v>
          </cell>
          <cell r="AL27">
            <v>0.10317424355676874</v>
          </cell>
          <cell r="AM27">
            <v>0.10437720006137982</v>
          </cell>
          <cell r="AN27">
            <v>0.10605662509671779</v>
          </cell>
          <cell r="AO27">
            <v>0.10165489126390424</v>
          </cell>
          <cell r="AP27">
            <v>4.734280891885715E-2</v>
          </cell>
          <cell r="AQ27">
            <v>5.168471985812214E-2</v>
          </cell>
          <cell r="AR27">
            <v>3.698890501827079E-2</v>
          </cell>
        </row>
        <row r="40">
          <cell r="K40">
            <v>1</v>
          </cell>
          <cell r="AK40">
            <v>0.06</v>
          </cell>
          <cell r="AL40">
            <v>0.10317424355676874</v>
          </cell>
          <cell r="AM40">
            <v>0.10437720006137982</v>
          </cell>
          <cell r="AN40">
            <v>0.10605662509671779</v>
          </cell>
          <cell r="AO40">
            <v>0.10165489126390424</v>
          </cell>
          <cell r="AP40">
            <v>4.734280891885715E-2</v>
          </cell>
          <cell r="AQ40">
            <v>5.168471985812214E-2</v>
          </cell>
          <cell r="AR40">
            <v>0.21285475562212508</v>
          </cell>
          <cell r="AS40">
            <v>0.21285475562212508</v>
          </cell>
        </row>
        <row r="44">
          <cell r="AB44">
            <v>7.0263895437556054E-2</v>
          </cell>
          <cell r="AC44">
            <v>3.7543052523597763E-2</v>
          </cell>
          <cell r="AD44">
            <v>4.5514348152835955E-2</v>
          </cell>
          <cell r="AE44">
            <v>1.8122514202664898E-2</v>
          </cell>
          <cell r="AF44">
            <v>2.9436634290174995E-2</v>
          </cell>
          <cell r="AG44">
            <v>6.8898554427072656E-2</v>
          </cell>
          <cell r="AH44">
            <v>5.6579859121625317E-2</v>
          </cell>
          <cell r="AI44">
            <v>6.1117244213218923E-2</v>
          </cell>
          <cell r="AJ44">
            <v>4.7293335217549748E-2</v>
          </cell>
          <cell r="AK44">
            <v>1.3410988286823064E-2</v>
          </cell>
          <cell r="AL44">
            <v>0.10317424355676874</v>
          </cell>
          <cell r="AM44">
            <v>0.10437720006137982</v>
          </cell>
          <cell r="AN44">
            <v>0.10605662509671779</v>
          </cell>
          <cell r="AO44">
            <v>0.10165489126390424</v>
          </cell>
          <cell r="AP44">
            <v>4.734280891885715E-2</v>
          </cell>
          <cell r="AQ44">
            <v>5.168471985812214E-2</v>
          </cell>
          <cell r="AR44">
            <v>3.7529085371130755E-2</v>
          </cell>
        </row>
        <row r="45">
          <cell r="K45">
            <v>2</v>
          </cell>
          <cell r="AB45">
            <v>7.0263895437556054E-2</v>
          </cell>
          <cell r="AC45">
            <v>3.7543052523597763E-2</v>
          </cell>
          <cell r="AD45">
            <v>4.5514348152835955E-2</v>
          </cell>
          <cell r="AE45">
            <v>1.8122514202664898E-2</v>
          </cell>
          <cell r="AF45">
            <v>2.9436634290174995E-2</v>
          </cell>
          <cell r="AG45">
            <v>6.8898554427072656E-2</v>
          </cell>
          <cell r="AH45">
            <v>5.6579859121625317E-2</v>
          </cell>
          <cell r="AI45">
            <v>6.1117244213218923E-2</v>
          </cell>
          <cell r="AJ45">
            <v>4.7293335217549748E-2</v>
          </cell>
          <cell r="AK45">
            <v>1.3410988286823064E-2</v>
          </cell>
          <cell r="AL45">
            <v>0.10317424355676874</v>
          </cell>
          <cell r="AM45">
            <v>0.10437720006137982</v>
          </cell>
          <cell r="AN45">
            <v>0.10605662509671779</v>
          </cell>
          <cell r="AO45">
            <v>0.10165489126390424</v>
          </cell>
          <cell r="AP45">
            <v>4.734280891885715E-2</v>
          </cell>
          <cell r="AQ45">
            <v>5.168471985812214E-2</v>
          </cell>
          <cell r="AR45">
            <v>3.7529085371130755E-2</v>
          </cell>
        </row>
        <row r="58">
          <cell r="J58">
            <v>4</v>
          </cell>
          <cell r="AL58">
            <v>0.10317424355676874</v>
          </cell>
          <cell r="AM58">
            <v>0.10437720006137982</v>
          </cell>
          <cell r="AN58">
            <v>0.10605662509671779</v>
          </cell>
          <cell r="AO58">
            <v>0.10165489126390424</v>
          </cell>
          <cell r="AP58">
            <v>4.734280891885715E-2</v>
          </cell>
          <cell r="AQ58">
            <v>5.168471985812214E-2</v>
          </cell>
          <cell r="AR58">
            <v>0.24285475562212505</v>
          </cell>
          <cell r="AS58">
            <v>0.24285475562212505</v>
          </cell>
        </row>
        <row r="63">
          <cell r="AB63">
            <v>7.0999999999999994E-2</v>
          </cell>
          <cell r="AC63">
            <v>3.7543052523597763E-2</v>
          </cell>
          <cell r="AD63">
            <v>4.5514348152835955E-2</v>
          </cell>
          <cell r="AE63">
            <v>1.8122514202664898E-2</v>
          </cell>
          <cell r="AF63">
            <v>2.9436634290174995E-2</v>
          </cell>
          <cell r="AG63">
            <v>6.8898554427072656E-2</v>
          </cell>
          <cell r="AH63">
            <v>5.6492768691534537E-2</v>
          </cell>
          <cell r="AI63">
            <v>6.104858397150742E-2</v>
          </cell>
          <cell r="AJ63">
            <v>4.7218433489156879E-2</v>
          </cell>
          <cell r="AK63">
            <v>1.3445716477434186E-2</v>
          </cell>
          <cell r="AL63">
            <v>0.27500000000000002</v>
          </cell>
          <cell r="AM63">
            <v>0.27627939377402067</v>
          </cell>
          <cell r="AN63">
            <v>0</v>
          </cell>
          <cell r="AO63">
            <v>0</v>
          </cell>
          <cell r="AP63">
            <v>0</v>
          </cell>
          <cell r="AQ63">
            <v>0</v>
          </cell>
          <cell r="AR63">
            <v>0</v>
          </cell>
        </row>
        <row r="65">
          <cell r="J65">
            <v>6</v>
          </cell>
          <cell r="AB65">
            <v>7.0999999999999994E-2</v>
          </cell>
          <cell r="AC65">
            <v>3.7543052523597763E-2</v>
          </cell>
          <cell r="AD65">
            <v>4.5514348152835955E-2</v>
          </cell>
          <cell r="AE65">
            <v>1.8122514202664898E-2</v>
          </cell>
          <cell r="AF65">
            <v>2.9436634290174995E-2</v>
          </cell>
          <cell r="AG65">
            <v>6.8898554427072656E-2</v>
          </cell>
          <cell r="AH65">
            <v>5.6492768691534537E-2</v>
          </cell>
          <cell r="AI65">
            <v>6.104858397150742E-2</v>
          </cell>
          <cell r="AJ65">
            <v>4.7218433489156879E-2</v>
          </cell>
          <cell r="AK65">
            <v>1.3445716477434186E-2</v>
          </cell>
          <cell r="AL65">
            <v>0.10317424355676874</v>
          </cell>
          <cell r="AM65">
            <v>0.10437720006137982</v>
          </cell>
          <cell r="AN65">
            <v>0.10605662509671779</v>
          </cell>
          <cell r="AO65">
            <v>0.10165489126390424</v>
          </cell>
          <cell r="AP65">
            <v>4.734280891885715E-2</v>
          </cell>
          <cell r="AQ65">
            <v>5.168471985812214E-2</v>
          </cell>
          <cell r="AR65">
            <v>3.698890501827079E-2</v>
          </cell>
        </row>
        <row r="68">
          <cell r="J68">
            <v>5</v>
          </cell>
          <cell r="AF68">
            <v>2.9436634290174995E-2</v>
          </cell>
          <cell r="AG68">
            <v>6.8898554427072656E-2</v>
          </cell>
          <cell r="AH68">
            <v>5.6492768691534537E-2</v>
          </cell>
          <cell r="AI68">
            <v>6.104858397150742E-2</v>
          </cell>
          <cell r="AJ68">
            <v>4.7218433489156879E-2</v>
          </cell>
          <cell r="AK68">
            <v>1.3445716477434186E-2</v>
          </cell>
          <cell r="AL68">
            <v>0.10317424355676874</v>
          </cell>
          <cell r="AM68">
            <v>0.10437720006137982</v>
          </cell>
          <cell r="AN68">
            <v>0.10605662509671779</v>
          </cell>
          <cell r="AO68">
            <v>0.10165489126390424</v>
          </cell>
          <cell r="AP68">
            <v>4.734280891885715E-2</v>
          </cell>
          <cell r="AQ68">
            <v>5.168471985812214E-2</v>
          </cell>
          <cell r="AR68">
            <v>0.20916881989736946</v>
          </cell>
        </row>
        <row r="69">
          <cell r="K69">
            <v>1</v>
          </cell>
          <cell r="AC69">
            <v>3.7543052523597763E-2</v>
          </cell>
          <cell r="AD69">
            <v>4.5514348152835955E-2</v>
          </cell>
          <cell r="AE69">
            <v>1.8122514202664898E-2</v>
          </cell>
          <cell r="AF69">
            <v>2.9436634290174995E-2</v>
          </cell>
          <cell r="AG69">
            <v>6.8898554427072656E-2</v>
          </cell>
          <cell r="AH69">
            <v>5.6492768691534537E-2</v>
          </cell>
          <cell r="AI69">
            <v>6.104858397150742E-2</v>
          </cell>
          <cell r="AJ69">
            <v>4.7218433489156879E-2</v>
          </cell>
          <cell r="AK69">
            <v>1.3445716477434186E-2</v>
          </cell>
          <cell r="AL69">
            <v>0.10317424355676874</v>
          </cell>
          <cell r="AM69">
            <v>0.10437720006137982</v>
          </cell>
          <cell r="AN69">
            <v>0.10605662509671779</v>
          </cell>
          <cell r="AO69">
            <v>0.10165489126390424</v>
          </cell>
          <cell r="AP69">
            <v>4.734280891885715E-2</v>
          </cell>
          <cell r="AQ69">
            <v>5.168471985812214E-2</v>
          </cell>
          <cell r="AR69">
            <v>0.10798890501827085</v>
          </cell>
        </row>
        <row r="70">
          <cell r="J70">
            <v>7</v>
          </cell>
          <cell r="AB70">
            <v>7.0999999999999994E-2</v>
          </cell>
          <cell r="AC70">
            <v>3.7543052523597763E-2</v>
          </cell>
          <cell r="AD70">
            <v>4.5514348152835955E-2</v>
          </cell>
          <cell r="AE70">
            <v>1.8122514202664898E-2</v>
          </cell>
          <cell r="AF70">
            <v>2.9436634290174995E-2</v>
          </cell>
          <cell r="AG70">
            <v>6.8898554427072656E-2</v>
          </cell>
          <cell r="AH70">
            <v>5.6492768691534537E-2</v>
          </cell>
          <cell r="AI70">
            <v>6.104858397150742E-2</v>
          </cell>
          <cell r="AJ70">
            <v>4.7218433489156879E-2</v>
          </cell>
          <cell r="AK70">
            <v>1.3445716477434186E-2</v>
          </cell>
          <cell r="AL70">
            <v>0.10317424355676874</v>
          </cell>
          <cell r="AM70">
            <v>0.10437720006137982</v>
          </cell>
          <cell r="AN70">
            <v>0.10605662509671779</v>
          </cell>
          <cell r="AO70">
            <v>0.10165489126390424</v>
          </cell>
          <cell r="AP70">
            <v>4.734280891885715E-2</v>
          </cell>
          <cell r="AQ70">
            <v>5.168471985812214E-2</v>
          </cell>
          <cell r="AR70">
            <v>3.698890501827079E-2</v>
          </cell>
        </row>
        <row r="71">
          <cell r="K71">
            <v>1</v>
          </cell>
          <cell r="AB71">
            <v>7.0999999999999994E-2</v>
          </cell>
          <cell r="AC71">
            <v>3.7543052523597763E-2</v>
          </cell>
          <cell r="AD71">
            <v>4.5514348152835955E-2</v>
          </cell>
          <cell r="AE71">
            <v>1.8122514202664898E-2</v>
          </cell>
          <cell r="AF71">
            <v>2.9436634290174995E-2</v>
          </cell>
          <cell r="AG71">
            <v>6.8898554427072656E-2</v>
          </cell>
          <cell r="AH71">
            <v>5.6492768691534537E-2</v>
          </cell>
          <cell r="AI71">
            <v>6.104858397150742E-2</v>
          </cell>
          <cell r="AJ71">
            <v>4.7218433489156879E-2</v>
          </cell>
          <cell r="AK71">
            <v>1.3445716477434186E-2</v>
          </cell>
          <cell r="AL71">
            <v>0.10317424355676874</v>
          </cell>
          <cell r="AM71">
            <v>0.10437720006137982</v>
          </cell>
          <cell r="AN71">
            <v>0.10605662509671779</v>
          </cell>
          <cell r="AO71">
            <v>0.10165489126390424</v>
          </cell>
          <cell r="AP71">
            <v>4.734280891885715E-2</v>
          </cell>
          <cell r="AQ71">
            <v>5.168471985812214E-2</v>
          </cell>
          <cell r="AR71">
            <v>3.698890501827079E-2</v>
          </cell>
          <cell r="AS71">
            <v>0</v>
          </cell>
        </row>
        <row r="83">
          <cell r="J83">
            <v>5</v>
          </cell>
          <cell r="AB83">
            <v>7.0999999999999994E-2</v>
          </cell>
          <cell r="AC83">
            <v>3.7543052523597763E-2</v>
          </cell>
          <cell r="AD83">
            <v>4.5514348152835955E-2</v>
          </cell>
          <cell r="AE83">
            <v>1.8122514202664898E-2</v>
          </cell>
          <cell r="AF83">
            <v>2.9436634290174995E-2</v>
          </cell>
          <cell r="AG83">
            <v>6.8898554427072656E-2</v>
          </cell>
          <cell r="AH83">
            <v>5.6492768691534537E-2</v>
          </cell>
          <cell r="AI83">
            <v>6.104858397150742E-2</v>
          </cell>
          <cell r="AJ83">
            <v>4.7218433489156879E-2</v>
          </cell>
          <cell r="AK83">
            <v>1.3445716477434186E-2</v>
          </cell>
          <cell r="AL83">
            <v>0.10317424355676874</v>
          </cell>
          <cell r="AM83">
            <v>0.10437720006137982</v>
          </cell>
          <cell r="AN83">
            <v>0.10605662509671779</v>
          </cell>
          <cell r="AO83">
            <v>0.10165489126390424</v>
          </cell>
          <cell r="AP83">
            <v>4.734280891885715E-2</v>
          </cell>
          <cell r="AQ83">
            <v>5.168471985812214E-2</v>
          </cell>
          <cell r="AR83">
            <v>3.698890501827079E-2</v>
          </cell>
        </row>
        <row r="84">
          <cell r="K84">
            <v>1</v>
          </cell>
          <cell r="AB84">
            <v>7.0999999999999994E-2</v>
          </cell>
          <cell r="AC84">
            <v>3.7543052523597763E-2</v>
          </cell>
          <cell r="AD84">
            <v>4.5514348152835955E-2</v>
          </cell>
          <cell r="AE84">
            <v>1.8122514202664898E-2</v>
          </cell>
          <cell r="AF84">
            <v>2.9436634290174995E-2</v>
          </cell>
          <cell r="AG84">
            <v>6.8898554427072656E-2</v>
          </cell>
          <cell r="AH84">
            <v>5.6492768691534537E-2</v>
          </cell>
          <cell r="AI84">
            <v>6.104858397150742E-2</v>
          </cell>
          <cell r="AJ84">
            <v>4.7218433489156879E-2</v>
          </cell>
          <cell r="AK84">
            <v>1.3445716477434186E-2</v>
          </cell>
          <cell r="AL84">
            <v>0.10317424355676874</v>
          </cell>
          <cell r="AM84">
            <v>0.10437720006137982</v>
          </cell>
          <cell r="AN84">
            <v>0.10605662509671779</v>
          </cell>
          <cell r="AO84">
            <v>0.10165489126390424</v>
          </cell>
          <cell r="AP84">
            <v>4.734280891885715E-2</v>
          </cell>
          <cell r="AQ84">
            <v>5.168471985812214E-2</v>
          </cell>
          <cell r="AR84">
            <v>3.698890501827079E-2</v>
          </cell>
        </row>
        <row r="85">
          <cell r="AB85">
            <v>7.0999999999999994E-2</v>
          </cell>
          <cell r="AC85">
            <v>3.7543052523597763E-2</v>
          </cell>
          <cell r="AD85">
            <v>4.5514348152835955E-2</v>
          </cell>
          <cell r="AE85">
            <v>1.8122514202664898E-2</v>
          </cell>
          <cell r="AF85">
            <v>2.9436634290174995E-2</v>
          </cell>
          <cell r="AG85">
            <v>6.8898554427072656E-2</v>
          </cell>
          <cell r="AH85">
            <v>5.6492768691534537E-2</v>
          </cell>
          <cell r="AI85">
            <v>6.104858397150742E-2</v>
          </cell>
          <cell r="AJ85">
            <v>4.7218433489156879E-2</v>
          </cell>
          <cell r="AK85">
            <v>1.3445716477434186E-2</v>
          </cell>
          <cell r="AL85">
            <v>0.10317424355676874</v>
          </cell>
          <cell r="AM85">
            <v>0.10437720006137982</v>
          </cell>
          <cell r="AN85">
            <v>0.10605662509671779</v>
          </cell>
          <cell r="AO85">
            <v>0.10165489126390424</v>
          </cell>
          <cell r="AP85">
            <v>4.734280891885715E-2</v>
          </cell>
          <cell r="AQ85">
            <v>5.168471985812214E-2</v>
          </cell>
          <cell r="AR85">
            <v>3.698890501827079E-2</v>
          </cell>
        </row>
        <row r="90">
          <cell r="K90">
            <v>1</v>
          </cell>
          <cell r="AB90">
            <v>7.0999999999999994E-2</v>
          </cell>
          <cell r="AC90">
            <v>3.7543052523597763E-2</v>
          </cell>
          <cell r="AD90">
            <v>4.5514348152835955E-2</v>
          </cell>
          <cell r="AE90">
            <v>1.8122514202664898E-2</v>
          </cell>
          <cell r="AF90">
            <v>2.9436634290174995E-2</v>
          </cell>
          <cell r="AG90">
            <v>6.8898554427072656E-2</v>
          </cell>
          <cell r="AH90">
            <v>5.6492768691534537E-2</v>
          </cell>
          <cell r="AI90">
            <v>6.104858397150742E-2</v>
          </cell>
          <cell r="AJ90">
            <v>4.7218433489156879E-2</v>
          </cell>
          <cell r="AK90">
            <v>1.3445716477434186E-2</v>
          </cell>
          <cell r="AL90">
            <v>0.10317424355676874</v>
          </cell>
          <cell r="AM90">
            <v>0.10437720006137982</v>
          </cell>
          <cell r="AN90">
            <v>0.10605662509671779</v>
          </cell>
          <cell r="AO90">
            <v>0.10165489126390424</v>
          </cell>
          <cell r="AP90">
            <v>4.734280891885715E-2</v>
          </cell>
          <cell r="AQ90">
            <v>5.168471985812214E-2</v>
          </cell>
          <cell r="AR90">
            <v>3.698890501827079E-2</v>
          </cell>
          <cell r="AS90">
            <v>0</v>
          </cell>
        </row>
      </sheetData>
      <sheetData sheetId="6"/>
      <sheetData sheetId="7"/>
      <sheetData sheetId="8">
        <row r="12">
          <cell r="A12" t="str">
            <v>Rural North</v>
          </cell>
        </row>
      </sheetData>
      <sheetData sheetId="9">
        <row r="3">
          <cell r="A3" t="str">
            <v>Rural North</v>
          </cell>
        </row>
      </sheetData>
      <sheetData sheetId="10"/>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Tim Wake" id="{BAE062A5-04E6-4DEA-9218-9F1CDC77F011}" userId="S::waket@aklc.govt.nz::9c2a5ff7-28e7-4965-b241-62215fdde4f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I11" dT="2024-06-10T04:19:13.76" personId="{BAE062A5-04E6-4DEA-9218-9F1CDC77F011}" id="{C7D7A35E-289A-42FC-A5AF-FF6CBC438197}">
    <text>As Town centre 2000m2</text>
  </threadedComment>
  <threadedComment ref="M11" dT="2024-06-10T04:19:13.76" personId="{BAE062A5-04E6-4DEA-9218-9F1CDC77F011}" id="{84535203-9262-4EFF-8658-179B875C6864}">
    <text>As Town centre 2000m2</text>
  </threadedComment>
  <threadedComment ref="Q11" dT="2024-06-10T04:04:19.02" personId="{BAE062A5-04E6-4DEA-9218-9F1CDC77F011}" id="{9E34D009-669D-4587-893F-EC1EF8CD9CB6}">
    <text>If 2023, can signal has been SULs for some time</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9CE3-806B-4B55-8279-709DE56D2982}">
  <dimension ref="A1:AO56"/>
  <sheetViews>
    <sheetView tabSelected="1" workbookViewId="0">
      <selection activeCell="R17" sqref="R17"/>
    </sheetView>
  </sheetViews>
  <sheetFormatPr defaultRowHeight="14.4" x14ac:dyDescent="0.3"/>
  <cols>
    <col min="14" max="14" width="12.6640625" bestFit="1" customWidth="1"/>
  </cols>
  <sheetData>
    <row r="1" spans="1:4" x14ac:dyDescent="0.3">
      <c r="A1" s="4" t="s">
        <v>944</v>
      </c>
    </row>
    <row r="2" spans="1:4" x14ac:dyDescent="0.3">
      <c r="A2" t="s">
        <v>938</v>
      </c>
    </row>
    <row r="3" spans="1:4" x14ac:dyDescent="0.3">
      <c r="A3" t="s">
        <v>933</v>
      </c>
    </row>
    <row r="5" spans="1:4" x14ac:dyDescent="0.3">
      <c r="A5" t="s">
        <v>934</v>
      </c>
    </row>
    <row r="6" spans="1:4" x14ac:dyDescent="0.3">
      <c r="A6" t="s">
        <v>935</v>
      </c>
    </row>
    <row r="7" spans="1:4" x14ac:dyDescent="0.3">
      <c r="A7" t="s">
        <v>936</v>
      </c>
    </row>
    <row r="8" spans="1:4" x14ac:dyDescent="0.3">
      <c r="A8" t="s">
        <v>937</v>
      </c>
    </row>
    <row r="10" spans="1:4" x14ac:dyDescent="0.3">
      <c r="A10" t="s">
        <v>943</v>
      </c>
    </row>
    <row r="11" spans="1:4" x14ac:dyDescent="0.3">
      <c r="A11" s="14"/>
      <c r="B11" s="14"/>
      <c r="C11" s="14"/>
      <c r="D11" s="14"/>
    </row>
    <row r="12" spans="1:4" x14ac:dyDescent="0.3">
      <c r="A12" s="14"/>
      <c r="B12" s="14"/>
      <c r="C12" s="14"/>
      <c r="D12" s="14"/>
    </row>
    <row r="13" spans="1:4" x14ac:dyDescent="0.3">
      <c r="A13" s="14"/>
      <c r="B13" s="14"/>
      <c r="C13" s="14"/>
      <c r="D13" s="14"/>
    </row>
    <row r="14" spans="1:4" x14ac:dyDescent="0.3">
      <c r="A14" s="14"/>
      <c r="B14" s="14"/>
      <c r="C14" s="14"/>
      <c r="D14" s="14"/>
    </row>
    <row r="15" spans="1:4" x14ac:dyDescent="0.3">
      <c r="A15" s="260"/>
      <c r="B15" s="14"/>
      <c r="C15" s="14"/>
      <c r="D15" s="14"/>
    </row>
    <row r="16" spans="1:4" x14ac:dyDescent="0.3">
      <c r="A16" s="260"/>
      <c r="B16" s="14"/>
      <c r="C16" s="14"/>
      <c r="D16" s="14"/>
    </row>
    <row r="17" spans="1:41" x14ac:dyDescent="0.3">
      <c r="A17" s="4"/>
    </row>
    <row r="18" spans="1:41" x14ac:dyDescent="0.3">
      <c r="A18" s="4"/>
    </row>
    <row r="19" spans="1:41" x14ac:dyDescent="0.3">
      <c r="A19" s="4"/>
    </row>
    <row r="20" spans="1:41" x14ac:dyDescent="0.3">
      <c r="A20" s="4"/>
    </row>
    <row r="22" spans="1:41" ht="15" thickBot="1" x14ac:dyDescent="0.35">
      <c r="A22" s="4" t="s">
        <v>931</v>
      </c>
    </row>
    <row r="23" spans="1:41" ht="15" thickBot="1" x14ac:dyDescent="0.35">
      <c r="A23" s="69" t="s">
        <v>908</v>
      </c>
      <c r="B23" s="70"/>
      <c r="C23" s="71" t="s">
        <v>1</v>
      </c>
      <c r="D23" s="71" t="s">
        <v>2</v>
      </c>
      <c r="E23" s="71" t="s">
        <v>3</v>
      </c>
      <c r="F23" s="71" t="s">
        <v>4</v>
      </c>
      <c r="G23" s="71" t="s">
        <v>909</v>
      </c>
    </row>
    <row r="24" spans="1:41" ht="15" thickBot="1" x14ac:dyDescent="0.35">
      <c r="A24" s="72" t="s">
        <v>14</v>
      </c>
      <c r="B24" s="73"/>
      <c r="C24" s="74">
        <v>1.4</v>
      </c>
      <c r="D24" s="75">
        <v>2.8</v>
      </c>
      <c r="E24" s="75">
        <v>7</v>
      </c>
      <c r="F24" s="75">
        <v>4.3</v>
      </c>
      <c r="G24" s="75">
        <v>7.1</v>
      </c>
    </row>
    <row r="25" spans="1:41" ht="15" thickBot="1" x14ac:dyDescent="0.35">
      <c r="A25" s="72" t="s">
        <v>15</v>
      </c>
      <c r="B25" s="73"/>
      <c r="C25" s="74">
        <v>2.8</v>
      </c>
      <c r="D25" s="75">
        <v>3.2</v>
      </c>
      <c r="E25" s="75">
        <v>3.2</v>
      </c>
      <c r="F25" s="75">
        <v>3.1</v>
      </c>
      <c r="G25" s="75">
        <v>3.1</v>
      </c>
    </row>
    <row r="26" spans="1:41" ht="15" thickBot="1" x14ac:dyDescent="0.35">
      <c r="A26" s="76"/>
    </row>
    <row r="27" spans="1:41" ht="15" thickBot="1" x14ac:dyDescent="0.35">
      <c r="A27" s="69" t="s">
        <v>914</v>
      </c>
      <c r="B27" s="70"/>
      <c r="C27" s="71" t="s">
        <v>1</v>
      </c>
      <c r="D27" s="71" t="s">
        <v>2</v>
      </c>
      <c r="E27" s="71" t="s">
        <v>3</v>
      </c>
      <c r="F27" s="71" t="s">
        <v>4</v>
      </c>
      <c r="G27" s="71" t="s">
        <v>909</v>
      </c>
    </row>
    <row r="28" spans="1:41" ht="15" thickBot="1" x14ac:dyDescent="0.35">
      <c r="A28" s="72" t="s">
        <v>14</v>
      </c>
      <c r="B28" s="73"/>
      <c r="C28" s="77">
        <v>2.75E-2</v>
      </c>
      <c r="D28" s="77">
        <v>4.1700000000000001E-2</v>
      </c>
      <c r="E28" s="77">
        <v>5.0799999999999998E-2</v>
      </c>
      <c r="F28" s="77">
        <v>6.3700000000000007E-2</v>
      </c>
      <c r="G28" s="77">
        <v>7.0999999999999994E-2</v>
      </c>
    </row>
    <row r="29" spans="1:41" ht="15" thickBot="1" x14ac:dyDescent="0.35">
      <c r="A29" s="72" t="s">
        <v>15</v>
      </c>
      <c r="B29" s="73"/>
      <c r="C29" s="77">
        <v>2.8799999999999999E-2</v>
      </c>
      <c r="D29" s="77">
        <v>2.76E-2</v>
      </c>
      <c r="E29" s="77">
        <v>2.87E-2</v>
      </c>
      <c r="F29" s="77">
        <v>2.98E-2</v>
      </c>
      <c r="G29" s="77">
        <v>3.1E-2</v>
      </c>
    </row>
    <row r="31" spans="1:41" x14ac:dyDescent="0.3">
      <c r="A31" s="4" t="s">
        <v>910</v>
      </c>
      <c r="D31">
        <v>2025</v>
      </c>
      <c r="E31">
        <v>2026</v>
      </c>
      <c r="F31">
        <v>2027</v>
      </c>
      <c r="G31">
        <v>2028</v>
      </c>
      <c r="H31">
        <v>2029</v>
      </c>
      <c r="I31">
        <v>2030</v>
      </c>
      <c r="J31">
        <v>2031</v>
      </c>
      <c r="K31">
        <v>2032</v>
      </c>
      <c r="L31">
        <v>2033</v>
      </c>
      <c r="M31">
        <v>2034</v>
      </c>
      <c r="N31">
        <v>2035</v>
      </c>
      <c r="O31">
        <v>2036</v>
      </c>
      <c r="P31">
        <v>2037</v>
      </c>
      <c r="Q31">
        <v>2038</v>
      </c>
      <c r="R31">
        <v>2039</v>
      </c>
      <c r="S31">
        <v>2040</v>
      </c>
      <c r="T31">
        <v>2041</v>
      </c>
      <c r="U31">
        <v>2042</v>
      </c>
      <c r="V31">
        <v>2043</v>
      </c>
      <c r="W31">
        <v>2044</v>
      </c>
      <c r="X31">
        <v>2045</v>
      </c>
      <c r="Y31">
        <v>2046</v>
      </c>
      <c r="Z31">
        <v>2047</v>
      </c>
      <c r="AA31">
        <v>2048</v>
      </c>
      <c r="AB31">
        <v>2049</v>
      </c>
      <c r="AC31">
        <v>2050</v>
      </c>
      <c r="AD31">
        <v>2051</v>
      </c>
      <c r="AE31">
        <v>2052</v>
      </c>
      <c r="AF31">
        <v>2053</v>
      </c>
      <c r="AG31">
        <v>2054</v>
      </c>
      <c r="AH31">
        <v>2055</v>
      </c>
      <c r="AI31">
        <v>2056</v>
      </c>
      <c r="AJ31">
        <v>2057</v>
      </c>
      <c r="AK31">
        <v>2058</v>
      </c>
      <c r="AL31">
        <v>2059</v>
      </c>
      <c r="AM31">
        <v>2060</v>
      </c>
      <c r="AN31">
        <v>2061</v>
      </c>
      <c r="AO31">
        <v>2062</v>
      </c>
    </row>
    <row r="32" spans="1:41" x14ac:dyDescent="0.3">
      <c r="A32" s="4" t="s">
        <v>911</v>
      </c>
      <c r="D32">
        <f>1+D29</f>
        <v>1.0276000000000001</v>
      </c>
      <c r="E32" s="78">
        <f>D32*(1+E29)</f>
        <v>1.0570921200000001</v>
      </c>
      <c r="F32" s="78">
        <f t="shared" ref="F32:G32" si="0">E32*(1+F29)</f>
        <v>1.0885934651760001</v>
      </c>
      <c r="G32" s="78">
        <f t="shared" si="0"/>
        <v>1.122339862596456</v>
      </c>
      <c r="H32" s="78">
        <f>G32*(1+$G$29)</f>
        <v>1.1571323983369461</v>
      </c>
      <c r="I32" s="78">
        <f t="shared" ref="I32:AN32" si="1">H32*(1+$G$29)</f>
        <v>1.1930035026853913</v>
      </c>
      <c r="J32" s="78">
        <f t="shared" si="1"/>
        <v>1.2299866112686384</v>
      </c>
      <c r="K32" s="78">
        <f t="shared" si="1"/>
        <v>1.2681161962179661</v>
      </c>
      <c r="L32" s="78">
        <f t="shared" si="1"/>
        <v>1.307427798300723</v>
      </c>
      <c r="M32" s="78">
        <f t="shared" si="1"/>
        <v>1.3479580600480452</v>
      </c>
      <c r="N32" s="78">
        <f t="shared" si="1"/>
        <v>1.3897447599095345</v>
      </c>
      <c r="O32" s="78">
        <f t="shared" si="1"/>
        <v>1.4328268474667301</v>
      </c>
      <c r="P32" s="78">
        <f t="shared" si="1"/>
        <v>1.4772444797381985</v>
      </c>
      <c r="Q32" s="78">
        <f t="shared" si="1"/>
        <v>1.5230390586100826</v>
      </c>
      <c r="R32" s="78">
        <f t="shared" si="1"/>
        <v>1.5702532694269951</v>
      </c>
      <c r="S32" s="78">
        <f t="shared" si="1"/>
        <v>1.6189311207792318</v>
      </c>
      <c r="T32" s="78">
        <f t="shared" si="1"/>
        <v>1.669117985523388</v>
      </c>
      <c r="U32" s="78">
        <f t="shared" si="1"/>
        <v>1.720860643074613</v>
      </c>
      <c r="V32" s="78">
        <f t="shared" si="1"/>
        <v>1.7742073230099258</v>
      </c>
      <c r="W32" s="78">
        <f t="shared" si="1"/>
        <v>1.8292077500232333</v>
      </c>
      <c r="X32" s="78">
        <f t="shared" si="1"/>
        <v>1.8859131902739534</v>
      </c>
      <c r="Y32" s="78">
        <f t="shared" si="1"/>
        <v>1.9443764991724459</v>
      </c>
      <c r="Z32" s="78">
        <f t="shared" si="1"/>
        <v>2.0046521706467915</v>
      </c>
      <c r="AA32" s="78">
        <f t="shared" si="1"/>
        <v>2.0667963879368418</v>
      </c>
      <c r="AB32" s="78">
        <f t="shared" si="1"/>
        <v>2.1308670759628838</v>
      </c>
      <c r="AC32" s="78">
        <f t="shared" si="1"/>
        <v>2.1969239553177329</v>
      </c>
      <c r="AD32" s="78">
        <f t="shared" si="1"/>
        <v>2.2650285979325826</v>
      </c>
      <c r="AE32" s="78">
        <f t="shared" si="1"/>
        <v>2.3352444844684923</v>
      </c>
      <c r="AF32" s="78">
        <f t="shared" si="1"/>
        <v>2.4076370634870154</v>
      </c>
      <c r="AG32" s="78">
        <f t="shared" si="1"/>
        <v>2.4822738124551127</v>
      </c>
      <c r="AH32" s="78">
        <f t="shared" si="1"/>
        <v>2.5592243006412212</v>
      </c>
      <c r="AI32" s="78">
        <f t="shared" si="1"/>
        <v>2.6385602539610988</v>
      </c>
      <c r="AJ32" s="78">
        <f t="shared" si="1"/>
        <v>2.7203556218338925</v>
      </c>
      <c r="AK32" s="78">
        <f t="shared" si="1"/>
        <v>2.8046866461107429</v>
      </c>
      <c r="AL32" s="78">
        <f t="shared" si="1"/>
        <v>2.8916319321401756</v>
      </c>
      <c r="AM32" s="78">
        <f t="shared" si="1"/>
        <v>2.9812725220365208</v>
      </c>
      <c r="AN32" s="78">
        <f t="shared" si="1"/>
        <v>3.0736919702196528</v>
      </c>
      <c r="AO32" s="78">
        <f t="shared" ref="AO32" si="2">AN32*(1+$G$29)</f>
        <v>3.168976421296462</v>
      </c>
    </row>
    <row r="33" spans="1:41" x14ac:dyDescent="0.3">
      <c r="A33" s="4" t="s">
        <v>912</v>
      </c>
      <c r="D33" s="78">
        <f>1+D25/100</f>
        <v>1.032</v>
      </c>
      <c r="E33" s="78">
        <f>D33*(1+E25/100)</f>
        <v>1.065024</v>
      </c>
      <c r="F33" s="78">
        <f t="shared" ref="F33" si="3">E33*(1+F25/100)</f>
        <v>1.0980397439999998</v>
      </c>
      <c r="G33" s="78">
        <f>F33*(1+$G$25/100)</f>
        <v>1.1320789760639998</v>
      </c>
      <c r="H33" s="78">
        <f t="shared" ref="H33:AN33" si="4">G33*(1+$G$25/100)</f>
        <v>1.1671734243219836</v>
      </c>
      <c r="I33" s="78">
        <f t="shared" si="4"/>
        <v>1.203355800475965</v>
      </c>
      <c r="J33" s="78">
        <f t="shared" si="4"/>
        <v>1.2406598302907199</v>
      </c>
      <c r="K33" s="78">
        <f t="shared" si="4"/>
        <v>1.2791202850297321</v>
      </c>
      <c r="L33" s="78">
        <f t="shared" si="4"/>
        <v>1.3187730138656537</v>
      </c>
      <c r="M33" s="78">
        <f t="shared" si="4"/>
        <v>1.3596549772954889</v>
      </c>
      <c r="N33" s="78">
        <f t="shared" si="4"/>
        <v>1.4018042815916489</v>
      </c>
      <c r="O33" s="78">
        <f t="shared" si="4"/>
        <v>1.4452602143209898</v>
      </c>
      <c r="P33" s="78">
        <f t="shared" si="4"/>
        <v>1.4900632809649403</v>
      </c>
      <c r="Q33" s="78">
        <f t="shared" si="4"/>
        <v>1.5362552426748535</v>
      </c>
      <c r="R33" s="78">
        <f t="shared" si="4"/>
        <v>1.5838791551977738</v>
      </c>
      <c r="S33" s="78">
        <f t="shared" si="4"/>
        <v>1.6329794090089047</v>
      </c>
      <c r="T33" s="78">
        <f t="shared" si="4"/>
        <v>1.6836017706881805</v>
      </c>
      <c r="U33" s="78">
        <f t="shared" si="4"/>
        <v>1.735793425579514</v>
      </c>
      <c r="V33" s="78">
        <f t="shared" si="4"/>
        <v>1.7896030217724788</v>
      </c>
      <c r="W33" s="78">
        <f t="shared" si="4"/>
        <v>1.8450807154474254</v>
      </c>
      <c r="X33" s="78">
        <f t="shared" si="4"/>
        <v>1.9022782176262953</v>
      </c>
      <c r="Y33" s="78">
        <f t="shared" si="4"/>
        <v>1.9612488423727104</v>
      </c>
      <c r="Z33" s="78">
        <f t="shared" si="4"/>
        <v>2.0220475564862643</v>
      </c>
      <c r="AA33" s="78">
        <f t="shared" si="4"/>
        <v>2.0847310307373386</v>
      </c>
      <c r="AB33" s="78">
        <f t="shared" si="4"/>
        <v>2.1493576926901961</v>
      </c>
      <c r="AC33" s="78">
        <f t="shared" si="4"/>
        <v>2.2159877811635917</v>
      </c>
      <c r="AD33" s="78">
        <f t="shared" si="4"/>
        <v>2.2846834023796627</v>
      </c>
      <c r="AE33" s="78">
        <f t="shared" si="4"/>
        <v>2.3555085878534321</v>
      </c>
      <c r="AF33" s="78">
        <f t="shared" si="4"/>
        <v>2.4285293540768884</v>
      </c>
      <c r="AG33" s="78">
        <f t="shared" si="4"/>
        <v>2.5038137640532718</v>
      </c>
      <c r="AH33" s="78">
        <f t="shared" si="4"/>
        <v>2.5814319907389232</v>
      </c>
      <c r="AI33" s="78">
        <f t="shared" si="4"/>
        <v>2.6614563824518296</v>
      </c>
      <c r="AJ33" s="78">
        <f t="shared" si="4"/>
        <v>2.743961530307836</v>
      </c>
      <c r="AK33" s="78">
        <f t="shared" si="4"/>
        <v>2.8290243377473785</v>
      </c>
      <c r="AL33" s="78">
        <f t="shared" si="4"/>
        <v>2.9167240922175468</v>
      </c>
      <c r="AM33" s="78">
        <f t="shared" si="4"/>
        <v>3.0071425390762907</v>
      </c>
      <c r="AN33" s="78">
        <f t="shared" si="4"/>
        <v>3.1003639577876556</v>
      </c>
      <c r="AO33" s="78">
        <f t="shared" ref="AO33" si="5">AN33*(1+$G$25/100)</f>
        <v>3.1964752404790726</v>
      </c>
    </row>
    <row r="34" spans="1:41" x14ac:dyDescent="0.3">
      <c r="A34" s="4" t="s">
        <v>913</v>
      </c>
      <c r="D34" s="79">
        <f>D33/D32-1</f>
        <v>4.2818217205138343E-3</v>
      </c>
      <c r="E34" s="79">
        <f t="shared" ref="E34:AO34" si="6">E33/E32-1</f>
        <v>7.5034898566832542E-3</v>
      </c>
      <c r="F34" s="79">
        <f t="shared" si="6"/>
        <v>8.6775082950478755E-3</v>
      </c>
      <c r="G34" s="79">
        <f t="shared" si="6"/>
        <v>8.6775082950478755E-3</v>
      </c>
      <c r="H34" s="79">
        <f t="shared" si="6"/>
        <v>8.6775082950478755E-3</v>
      </c>
      <c r="I34" s="79">
        <f t="shared" si="6"/>
        <v>8.6775082950478755E-3</v>
      </c>
      <c r="J34" s="79">
        <f t="shared" si="6"/>
        <v>8.6775082950478755E-3</v>
      </c>
      <c r="K34" s="79">
        <f t="shared" si="6"/>
        <v>8.6775082950478755E-3</v>
      </c>
      <c r="L34" s="79">
        <f t="shared" si="6"/>
        <v>8.6775082950478755E-3</v>
      </c>
      <c r="M34" s="79">
        <f t="shared" si="6"/>
        <v>8.6775082950480975E-3</v>
      </c>
      <c r="N34" s="79">
        <f t="shared" si="6"/>
        <v>8.6775082950478755E-3</v>
      </c>
      <c r="O34" s="79">
        <f t="shared" si="6"/>
        <v>8.6775082950478755E-3</v>
      </c>
      <c r="P34" s="79">
        <f t="shared" si="6"/>
        <v>8.6775082950478755E-3</v>
      </c>
      <c r="Q34" s="79">
        <f t="shared" si="6"/>
        <v>8.6775082950478755E-3</v>
      </c>
      <c r="R34" s="79">
        <f t="shared" si="6"/>
        <v>8.6775082950478755E-3</v>
      </c>
      <c r="S34" s="79">
        <f t="shared" si="6"/>
        <v>8.6775082950478755E-3</v>
      </c>
      <c r="T34" s="79">
        <f t="shared" si="6"/>
        <v>8.6775082950476534E-3</v>
      </c>
      <c r="U34" s="79">
        <f t="shared" si="6"/>
        <v>8.6775082950476534E-3</v>
      </c>
      <c r="V34" s="79">
        <f t="shared" si="6"/>
        <v>8.6775082950476534E-3</v>
      </c>
      <c r="W34" s="79">
        <f t="shared" si="6"/>
        <v>8.6775082950476534E-3</v>
      </c>
      <c r="X34" s="79">
        <f t="shared" si="6"/>
        <v>8.6775082950476534E-3</v>
      </c>
      <c r="Y34" s="79">
        <f t="shared" si="6"/>
        <v>8.6775082950476534E-3</v>
      </c>
      <c r="Z34" s="79">
        <f t="shared" si="6"/>
        <v>8.6775082950476534E-3</v>
      </c>
      <c r="AA34" s="79">
        <f t="shared" si="6"/>
        <v>8.6775082950478755E-3</v>
      </c>
      <c r="AB34" s="79">
        <f t="shared" si="6"/>
        <v>8.6775082950478755E-3</v>
      </c>
      <c r="AC34" s="79">
        <f t="shared" si="6"/>
        <v>8.6775082950478755E-3</v>
      </c>
      <c r="AD34" s="79">
        <f t="shared" si="6"/>
        <v>8.6775082950476534E-3</v>
      </c>
      <c r="AE34" s="79">
        <f t="shared" si="6"/>
        <v>8.6775082950476534E-3</v>
      </c>
      <c r="AF34" s="79">
        <f t="shared" si="6"/>
        <v>8.6775082950476534E-3</v>
      </c>
      <c r="AG34" s="79">
        <f t="shared" si="6"/>
        <v>8.6775082950478755E-3</v>
      </c>
      <c r="AH34" s="79">
        <f t="shared" si="6"/>
        <v>8.6775082950476534E-3</v>
      </c>
      <c r="AI34" s="79">
        <f t="shared" si="6"/>
        <v>8.6775082950476534E-3</v>
      </c>
      <c r="AJ34" s="79">
        <f t="shared" si="6"/>
        <v>8.6775082950478755E-3</v>
      </c>
      <c r="AK34" s="79">
        <f t="shared" si="6"/>
        <v>8.6775082950476534E-3</v>
      </c>
      <c r="AL34" s="79">
        <f t="shared" si="6"/>
        <v>8.6775082950476534E-3</v>
      </c>
      <c r="AM34" s="79">
        <f t="shared" si="6"/>
        <v>8.6775082950476534E-3</v>
      </c>
      <c r="AN34" s="79">
        <f t="shared" si="6"/>
        <v>8.6775082950478755E-3</v>
      </c>
      <c r="AO34" s="79">
        <f t="shared" si="6"/>
        <v>8.6775082950476534E-3</v>
      </c>
    </row>
    <row r="35" spans="1:41" x14ac:dyDescent="0.3">
      <c r="A35" s="4"/>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row>
    <row r="36" spans="1:41" x14ac:dyDescent="0.3">
      <c r="A36" s="4" t="s">
        <v>929</v>
      </c>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row>
    <row r="37" spans="1:41" x14ac:dyDescent="0.3">
      <c r="A37" s="4" t="s">
        <v>919</v>
      </c>
      <c r="B37" s="80">
        <v>45474</v>
      </c>
      <c r="C37" s="80">
        <v>45627</v>
      </c>
    </row>
    <row r="38" spans="1:41" x14ac:dyDescent="0.3">
      <c r="A38" s="4" t="s">
        <v>414</v>
      </c>
      <c r="B38" s="63">
        <v>358.90453946558767</v>
      </c>
      <c r="C38">
        <v>360.91919186172601</v>
      </c>
    </row>
    <row r="39" spans="1:41" x14ac:dyDescent="0.3">
      <c r="A39" s="4" t="s">
        <v>853</v>
      </c>
      <c r="B39" s="63">
        <v>1437.0962891828081</v>
      </c>
      <c r="C39">
        <v>1448.4669594307697</v>
      </c>
    </row>
    <row r="41" spans="1:41" x14ac:dyDescent="0.3">
      <c r="A41" s="4" t="s">
        <v>930</v>
      </c>
    </row>
    <row r="55" spans="11:14" x14ac:dyDescent="0.3">
      <c r="K55" s="81"/>
    </row>
    <row r="56" spans="11:14" x14ac:dyDescent="0.3">
      <c r="K56" s="81"/>
      <c r="N56" s="82"/>
    </row>
  </sheetData>
  <sheetProtection algorithmName="SHA-512" hashValue="egrxeaEzqwYvTwMsi3M1kNhjmefd0xTeozzaT8X52lJ8712CQO2m4feHIxotPsAdj2CuHkcX7zQdFacTba87hQ==" saltValue="FsfDnhZS9Kp18o52MOQq9w=="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B9B9F-885D-421C-83E5-B6AF048025E1}">
  <dimension ref="A1:AQ90"/>
  <sheetViews>
    <sheetView workbookViewId="0">
      <selection activeCell="N18" sqref="N18"/>
    </sheetView>
  </sheetViews>
  <sheetFormatPr defaultColWidth="9.109375" defaultRowHeight="13.8" x14ac:dyDescent="0.3"/>
  <cols>
    <col min="1" max="1" width="17.5546875" style="2" customWidth="1"/>
    <col min="2" max="2" width="11.109375" style="2" bestFit="1" customWidth="1"/>
    <col min="3" max="4" width="9.109375" style="2"/>
    <col min="5" max="5" width="9.88671875" style="2" bestFit="1" customWidth="1"/>
    <col min="6" max="6" width="11.33203125" style="2" customWidth="1"/>
    <col min="7" max="7" width="11.109375" style="2" bestFit="1" customWidth="1"/>
    <col min="8" max="16384" width="9.109375" style="2"/>
  </cols>
  <sheetData>
    <row r="1" spans="1:43" ht="14.4" thickBot="1" x14ac:dyDescent="0.35"/>
    <row r="2" spans="1:43" ht="14.4" thickBot="1" x14ac:dyDescent="0.35">
      <c r="A2" s="117" t="s">
        <v>0</v>
      </c>
      <c r="B2" s="118" t="s">
        <v>1</v>
      </c>
      <c r="C2" s="118" t="s">
        <v>2</v>
      </c>
      <c r="D2" s="118" t="s">
        <v>3</v>
      </c>
      <c r="E2" s="118" t="s">
        <v>4</v>
      </c>
      <c r="F2" s="118" t="s">
        <v>5</v>
      </c>
      <c r="G2" s="119" t="s">
        <v>6</v>
      </c>
      <c r="K2" s="2" t="s">
        <v>7</v>
      </c>
    </row>
    <row r="3" spans="1:43" ht="14.4" thickBot="1" x14ac:dyDescent="0.35">
      <c r="A3" s="120" t="s">
        <v>8</v>
      </c>
      <c r="B3" s="121">
        <v>3.7999999999999999E-2</v>
      </c>
      <c r="C3" s="121">
        <v>3.5000000000000003E-2</v>
      </c>
      <c r="D3" s="121">
        <v>3.3000000000000002E-2</v>
      </c>
      <c r="E3" s="121">
        <v>3.2000000000000001E-2</v>
      </c>
      <c r="F3" s="121">
        <v>2.2000000000000002E-2</v>
      </c>
      <c r="K3" s="88">
        <v>4.2999999999999997E-2</v>
      </c>
      <c r="L3" s="2" t="s">
        <v>9</v>
      </c>
    </row>
    <row r="4" spans="1:43" ht="14.4" thickBot="1" x14ac:dyDescent="0.35"/>
    <row r="5" spans="1:43" ht="14.4" thickBot="1" x14ac:dyDescent="0.35">
      <c r="A5" s="122" t="s">
        <v>0</v>
      </c>
      <c r="B5" s="123" t="s">
        <v>10</v>
      </c>
      <c r="C5" s="123" t="s">
        <v>11</v>
      </c>
      <c r="D5" s="123" t="s">
        <v>12</v>
      </c>
      <c r="E5" s="123" t="s">
        <v>1</v>
      </c>
      <c r="F5" s="123" t="s">
        <v>2</v>
      </c>
      <c r="G5" s="123" t="s">
        <v>3</v>
      </c>
      <c r="H5" s="123" t="s">
        <v>4</v>
      </c>
      <c r="I5" s="123" t="s">
        <v>13</v>
      </c>
      <c r="O5" s="5"/>
      <c r="P5" s="5"/>
    </row>
    <row r="6" spans="1:43" ht="14.4" thickBot="1" x14ac:dyDescent="0.35">
      <c r="A6" s="124" t="s">
        <v>14</v>
      </c>
      <c r="B6" s="89"/>
      <c r="C6" s="125">
        <v>4.2000000000000003E-2</v>
      </c>
      <c r="D6" s="125">
        <v>-9.0200000000000002E-2</v>
      </c>
      <c r="E6" s="125">
        <v>2.75E-2</v>
      </c>
      <c r="F6" s="125">
        <v>4.1700000000000001E-2</v>
      </c>
      <c r="G6" s="125">
        <v>5.0799999999999998E-2</v>
      </c>
      <c r="H6" s="125">
        <v>6.3700000000000007E-2</v>
      </c>
      <c r="I6" s="125">
        <v>7.0999999999999994E-2</v>
      </c>
      <c r="O6" s="5"/>
      <c r="P6" s="126"/>
    </row>
    <row r="7" spans="1:43" ht="14.4" thickBot="1" x14ac:dyDescent="0.35">
      <c r="A7" s="124" t="s">
        <v>15</v>
      </c>
      <c r="B7" s="125">
        <v>3.1E-2</v>
      </c>
      <c r="C7" s="125">
        <v>0.127</v>
      </c>
      <c r="D7" s="125">
        <v>6.8000000000000005E-2</v>
      </c>
      <c r="E7" s="125">
        <v>2.8799999999999999E-2</v>
      </c>
      <c r="F7" s="125">
        <v>2.76E-2</v>
      </c>
      <c r="G7" s="125">
        <v>2.87E-2</v>
      </c>
      <c r="H7" s="125">
        <v>2.98E-2</v>
      </c>
      <c r="I7" s="125">
        <v>3.1E-2</v>
      </c>
      <c r="K7" s="2" t="s">
        <v>16</v>
      </c>
      <c r="Q7" s="127"/>
      <c r="R7" s="127"/>
      <c r="T7" s="88"/>
    </row>
    <row r="8" spans="1:43" ht="14.4" x14ac:dyDescent="0.3">
      <c r="A8" s="119" t="s">
        <v>6</v>
      </c>
      <c r="B8" s="1"/>
      <c r="C8" s="1"/>
      <c r="D8" s="1"/>
      <c r="E8" s="1"/>
      <c r="F8" s="1"/>
      <c r="G8" s="1"/>
      <c r="H8" s="1"/>
      <c r="I8" s="1"/>
      <c r="Q8" s="127"/>
      <c r="R8" s="127"/>
      <c r="T8" s="90"/>
    </row>
    <row r="9" spans="1:43" ht="14.4" x14ac:dyDescent="0.3">
      <c r="A9" s="128"/>
      <c r="B9" s="91"/>
      <c r="C9" s="91"/>
      <c r="D9" s="91"/>
      <c r="E9" s="91">
        <v>2024</v>
      </c>
      <c r="F9" s="91">
        <v>2025</v>
      </c>
      <c r="G9" s="91">
        <v>2026</v>
      </c>
      <c r="H9" s="91">
        <v>2027</v>
      </c>
      <c r="I9" s="91">
        <v>2028</v>
      </c>
      <c r="J9" s="91">
        <v>2029</v>
      </c>
      <c r="K9" s="91">
        <v>2030</v>
      </c>
      <c r="L9" s="91">
        <v>2031</v>
      </c>
      <c r="M9" s="91">
        <v>2032</v>
      </c>
      <c r="N9" s="91">
        <v>2033</v>
      </c>
      <c r="O9" s="91">
        <v>2034</v>
      </c>
      <c r="P9" s="91">
        <v>2035</v>
      </c>
      <c r="Q9" s="91">
        <v>2036</v>
      </c>
      <c r="R9" s="91">
        <v>2037</v>
      </c>
      <c r="S9" s="91">
        <v>2038</v>
      </c>
      <c r="T9" s="91">
        <v>2039</v>
      </c>
      <c r="U9" s="91">
        <v>2040</v>
      </c>
      <c r="V9" s="91">
        <v>2041</v>
      </c>
      <c r="W9" s="91">
        <v>2042</v>
      </c>
      <c r="X9" s="91">
        <v>2043</v>
      </c>
      <c r="Y9" s="91">
        <v>2044</v>
      </c>
      <c r="Z9" s="91">
        <v>2045</v>
      </c>
      <c r="AA9" s="91">
        <v>2046</v>
      </c>
      <c r="AB9" s="91">
        <v>2047</v>
      </c>
      <c r="AC9" s="91">
        <v>2048</v>
      </c>
      <c r="AD9" s="91">
        <v>2049</v>
      </c>
      <c r="AE9" s="91">
        <v>2050</v>
      </c>
      <c r="AF9" s="91">
        <v>2051</v>
      </c>
      <c r="AG9" s="91">
        <v>2052</v>
      </c>
      <c r="AH9" s="91">
        <v>2053</v>
      </c>
      <c r="AI9" s="91">
        <v>2054</v>
      </c>
      <c r="AJ9" s="91">
        <v>2055</v>
      </c>
      <c r="AK9" s="91">
        <v>2056</v>
      </c>
      <c r="AL9" s="91">
        <v>2057</v>
      </c>
      <c r="AM9" s="91">
        <v>2058</v>
      </c>
      <c r="AN9" s="91">
        <v>2059</v>
      </c>
      <c r="AO9" s="91">
        <v>2060</v>
      </c>
      <c r="AP9" s="91">
        <v>2061</v>
      </c>
      <c r="AQ9" s="91">
        <v>2062</v>
      </c>
    </row>
    <row r="10" spans="1:43" ht="14.4" x14ac:dyDescent="0.3">
      <c r="A10" s="128" t="s">
        <v>17</v>
      </c>
      <c r="B10" s="129">
        <v>1</v>
      </c>
      <c r="C10" s="129" t="s">
        <v>917</v>
      </c>
      <c r="D10" s="91"/>
      <c r="E10" s="92">
        <v>1</v>
      </c>
      <c r="F10" s="92">
        <f>IF($B$10=1,IF($C$10="J",'Version notes'!D32,IF($C$10="D",'Version notes'!D33,"no data")),1)</f>
        <v>1.032</v>
      </c>
      <c r="G10" s="92">
        <f>IF($B$10=1,IF($C$10="J",'Version notes'!E32,IF($C$10="D",'Version notes'!E33,"no data")),1)</f>
        <v>1.065024</v>
      </c>
      <c r="H10" s="92">
        <f>IF($B$10=1,IF($C$10="J",'Version notes'!F32,IF($C$10="D",'Version notes'!F33,"no data")),1)</f>
        <v>1.0980397439999998</v>
      </c>
      <c r="I10" s="92">
        <f>IF($B$10=1,IF($C$10="J",'Version notes'!G32,IF($C$10="D",'Version notes'!G33,"no data")),1)</f>
        <v>1.1320789760639998</v>
      </c>
      <c r="J10" s="92">
        <f>IF($B$10=1,IF($C$10="J",'Version notes'!H32,IF($C$10="D",'Version notes'!H33,"no data")),1)</f>
        <v>1.1671734243219836</v>
      </c>
      <c r="K10" s="92">
        <f>IF($B$10=1,IF($C$10="J",'Version notes'!I32,IF($C$10="D",'Version notes'!I33,"no data")),1)</f>
        <v>1.203355800475965</v>
      </c>
      <c r="L10" s="92">
        <f>IF($B$10=1,IF($C$10="J",'Version notes'!J32,IF($C$10="D",'Version notes'!J33,"no data")),1)</f>
        <v>1.2406598302907199</v>
      </c>
      <c r="M10" s="92">
        <f>IF($B$10=1,IF($C$10="J",'Version notes'!K32,IF($C$10="D",'Version notes'!K33,"no data")),1)</f>
        <v>1.2791202850297321</v>
      </c>
      <c r="N10" s="92">
        <f>IF($B$10=1,IF($C$10="J",'Version notes'!L32,IF($C$10="D",'Version notes'!L33,"no data")),1)</f>
        <v>1.3187730138656537</v>
      </c>
      <c r="O10" s="92">
        <f>IF($B$10=1,IF($C$10="J",'Version notes'!M32,IF($C$10="D",'Version notes'!M33,"no data")),1)</f>
        <v>1.3596549772954889</v>
      </c>
      <c r="P10" s="92">
        <f>IF($B$10=1,IF($C$10="J",'Version notes'!N32,IF($C$10="D",'Version notes'!N33,"no data")),1)</f>
        <v>1.4018042815916489</v>
      </c>
      <c r="Q10" s="92">
        <f>IF($B$10=1,IF($C$10="J",'Version notes'!O32,IF($C$10="D",'Version notes'!O33,"no data")),1)</f>
        <v>1.4452602143209898</v>
      </c>
      <c r="R10" s="92">
        <f>IF($B$10=1,IF($C$10="J",'Version notes'!P32,IF($C$10="D",'Version notes'!P33,"no data")),1)</f>
        <v>1.4900632809649403</v>
      </c>
      <c r="S10" s="92">
        <f>IF($B$10=1,IF($C$10="J",'Version notes'!Q32,IF($C$10="D",'Version notes'!Q33,"no data")),1)</f>
        <v>1.5362552426748535</v>
      </c>
      <c r="T10" s="92">
        <f>IF($B$10=1,IF($C$10="J",'Version notes'!R32,IF($C$10="D",'Version notes'!R33,"no data")),1)</f>
        <v>1.5838791551977738</v>
      </c>
      <c r="U10" s="92">
        <f>IF($B$10=1,IF($C$10="J",'Version notes'!S32,IF($C$10="D",'Version notes'!S33,"no data")),1)</f>
        <v>1.6329794090089047</v>
      </c>
      <c r="V10" s="92">
        <f>IF($B$10=1,IF($C$10="J",'Version notes'!T32,IF($C$10="D",'Version notes'!T33,"no data")),1)</f>
        <v>1.6836017706881805</v>
      </c>
      <c r="W10" s="92">
        <f>IF($B$10=1,IF($C$10="J",'Version notes'!U32,IF($C$10="D",'Version notes'!U33,"no data")),1)</f>
        <v>1.735793425579514</v>
      </c>
      <c r="X10" s="92">
        <f>IF($B$10=1,IF($C$10="J",'Version notes'!V32,IF($C$10="D",'Version notes'!V33,"no data")),1)</f>
        <v>1.7896030217724788</v>
      </c>
      <c r="Y10" s="92">
        <f>IF($B$10=1,IF($C$10="J",'Version notes'!W32,IF($C$10="D",'Version notes'!W33,"no data")),1)</f>
        <v>1.8450807154474254</v>
      </c>
      <c r="Z10" s="92">
        <f>IF($B$10=1,IF($C$10="J",'Version notes'!X32,IF($C$10="D",'Version notes'!X33,"no data")),1)</f>
        <v>1.9022782176262953</v>
      </c>
      <c r="AA10" s="92">
        <f>IF($B$10=1,IF($C$10="J",'Version notes'!Y32,IF($C$10="D",'Version notes'!Y33,"no data")),1)</f>
        <v>1.9612488423727104</v>
      </c>
      <c r="AB10" s="92">
        <f>IF($B$10=1,IF($C$10="J",'Version notes'!Z32,IF($C$10="D",'Version notes'!Z33,"no data")),1)</f>
        <v>2.0220475564862643</v>
      </c>
      <c r="AC10" s="92">
        <f>IF($B$10=1,IF($C$10="J",'Version notes'!AA32,IF($C$10="D",'Version notes'!AA33,"no data")),1)</f>
        <v>2.0847310307373386</v>
      </c>
      <c r="AD10" s="92">
        <f>IF($B$10=1,IF($C$10="J",'Version notes'!AB32,IF($C$10="D",'Version notes'!AB33,"no data")),1)</f>
        <v>2.1493576926901961</v>
      </c>
      <c r="AE10" s="92">
        <f>IF($B$10=1,IF($C$10="J",'Version notes'!AC32,IF($C$10="D",'Version notes'!AC33,"no data")),1)</f>
        <v>2.2159877811635917</v>
      </c>
      <c r="AF10" s="92">
        <f>IF($B$10=1,IF($C$10="J",'Version notes'!AD32,IF($C$10="D",'Version notes'!AD33,"no data")),1)</f>
        <v>2.2846834023796627</v>
      </c>
      <c r="AG10" s="92">
        <f>IF($B$10=1,IF($C$10="J",'Version notes'!AE32,IF($C$10="D",'Version notes'!AE33,"no data")),1)</f>
        <v>2.3555085878534321</v>
      </c>
      <c r="AH10" s="92">
        <f>IF($B$10=1,IF($C$10="J",'Version notes'!AF32,IF($C$10="D",'Version notes'!AF33,"no data")),1)</f>
        <v>2.4285293540768884</v>
      </c>
      <c r="AI10" s="92">
        <f>IF($B$10=1,IF($C$10="J",'Version notes'!AG32,IF($C$10="D",'Version notes'!AG33,"no data")),1)</f>
        <v>2.5038137640532718</v>
      </c>
      <c r="AJ10" s="92">
        <f>IF($B$10=1,IF($C$10="J",'Version notes'!AH32,IF($C$10="D",'Version notes'!AH33,"no data")),1)</f>
        <v>2.5814319907389232</v>
      </c>
      <c r="AK10" s="92">
        <f>IF($B$10=1,IF($C$10="J",'Version notes'!AI32,IF($C$10="D",'Version notes'!AI33,"no data")),1)</f>
        <v>2.6614563824518296</v>
      </c>
      <c r="AL10" s="92">
        <f>IF($B$10=1,IF($C$10="J",'Version notes'!AJ32,IF($C$10="D",'Version notes'!AJ33,"no data")),1)</f>
        <v>2.743961530307836</v>
      </c>
      <c r="AM10" s="92">
        <f>IF($B$10=1,IF($C$10="J",'Version notes'!AK32,IF($C$10="D",'Version notes'!AK33,"no data")),1)</f>
        <v>2.8290243377473785</v>
      </c>
      <c r="AN10" s="92">
        <f>IF($B$10=1,IF($C$10="J",'Version notes'!AL32,IF($C$10="D",'Version notes'!AL33,"no data")),1)</f>
        <v>2.9167240922175468</v>
      </c>
      <c r="AO10" s="92">
        <f>IF($B$10=1,IF($C$10="J",'Version notes'!AM32,IF($C$10="D",'Version notes'!AM33,"no data")),1)</f>
        <v>3.0071425390762907</v>
      </c>
      <c r="AP10" s="92">
        <f>IF($B$10=1,IF($C$10="J",'Version notes'!AN32,IF($C$10="D",'Version notes'!AN33,"no data")),1)</f>
        <v>3.1003639577876556</v>
      </c>
      <c r="AQ10" s="92">
        <f>IF($B$10=1,IF($C$10="J",'Version notes'!AO32,IF($C$10="D",'Version notes'!AO33,"no data")),1)</f>
        <v>3.1964752404790726</v>
      </c>
    </row>
    <row r="11" spans="1:43" ht="14.4" x14ac:dyDescent="0.3">
      <c r="A11" s="119"/>
      <c r="B11" s="1"/>
      <c r="C11" s="1" t="s">
        <v>918</v>
      </c>
      <c r="D11" s="1"/>
      <c r="E11" s="1"/>
      <c r="F11" s="1"/>
      <c r="G11" s="1"/>
      <c r="H11" s="1"/>
      <c r="I11" s="1"/>
      <c r="Q11" s="127"/>
      <c r="R11" s="127"/>
      <c r="T11" s="90"/>
    </row>
    <row r="12" spans="1:43" ht="14.4" x14ac:dyDescent="0.3">
      <c r="A12" s="128" t="s">
        <v>18</v>
      </c>
      <c r="B12" s="130">
        <v>30000</v>
      </c>
      <c r="C12" s="128" t="s">
        <v>19</v>
      </c>
      <c r="D12" s="93" t="s">
        <v>20</v>
      </c>
      <c r="E12" s="93" t="s">
        <v>21</v>
      </c>
      <c r="F12" s="93" t="s">
        <v>22</v>
      </c>
      <c r="G12" s="93" t="s">
        <v>23</v>
      </c>
      <c r="H12" s="93" t="s">
        <v>24</v>
      </c>
      <c r="I12" s="93" t="s">
        <v>25</v>
      </c>
      <c r="J12" s="93" t="s">
        <v>26</v>
      </c>
      <c r="K12" s="93" t="s">
        <v>27</v>
      </c>
      <c r="L12" s="93" t="s">
        <v>28</v>
      </c>
      <c r="M12" s="93" t="s">
        <v>29</v>
      </c>
      <c r="N12" s="93" t="s">
        <v>30</v>
      </c>
      <c r="O12" s="93" t="s">
        <v>31</v>
      </c>
      <c r="P12" s="93" t="s">
        <v>32</v>
      </c>
      <c r="Q12" s="93" t="s">
        <v>33</v>
      </c>
      <c r="R12" s="93" t="s">
        <v>34</v>
      </c>
      <c r="S12" s="93" t="s">
        <v>35</v>
      </c>
      <c r="T12" s="93" t="s">
        <v>36</v>
      </c>
      <c r="U12" s="93" t="s">
        <v>37</v>
      </c>
      <c r="V12" s="93" t="s">
        <v>38</v>
      </c>
      <c r="W12" s="93" t="s">
        <v>39</v>
      </c>
      <c r="X12" s="93" t="s">
        <v>40</v>
      </c>
      <c r="Y12" s="93" t="s">
        <v>41</v>
      </c>
      <c r="Z12" s="93" t="s">
        <v>42</v>
      </c>
      <c r="AA12" s="93" t="s">
        <v>43</v>
      </c>
      <c r="AB12" s="93" t="s">
        <v>44</v>
      </c>
      <c r="AC12" s="93" t="s">
        <v>45</v>
      </c>
      <c r="AD12" s="93" t="s">
        <v>46</v>
      </c>
      <c r="AE12" s="93" t="s">
        <v>47</v>
      </c>
      <c r="AF12" s="93" t="s">
        <v>48</v>
      </c>
      <c r="AG12" s="93" t="s">
        <v>49</v>
      </c>
      <c r="AH12" s="93" t="s">
        <v>50</v>
      </c>
      <c r="AI12" s="93" t="s">
        <v>51</v>
      </c>
      <c r="AJ12" s="93" t="s">
        <v>52</v>
      </c>
      <c r="AK12" s="93" t="s">
        <v>53</v>
      </c>
      <c r="AL12" s="93" t="s">
        <v>54</v>
      </c>
      <c r="AM12" s="93" t="s">
        <v>55</v>
      </c>
      <c r="AN12" s="93" t="s">
        <v>56</v>
      </c>
      <c r="AO12" s="93" t="s">
        <v>57</v>
      </c>
      <c r="AP12" s="93" t="s">
        <v>58</v>
      </c>
      <c r="AQ12" s="93" t="s">
        <v>59</v>
      </c>
    </row>
    <row r="13" spans="1:43" ht="14.4" x14ac:dyDescent="0.3">
      <c r="A13" s="128" t="s">
        <v>60</v>
      </c>
      <c r="B13" s="130"/>
      <c r="C13" s="128"/>
      <c r="D13" s="94">
        <f>K3</f>
        <v>4.2999999999999997E-2</v>
      </c>
      <c r="E13" s="94">
        <f>B3</f>
        <v>3.7999999999999999E-2</v>
      </c>
      <c r="F13" s="94">
        <f t="shared" ref="F13:I13" si="0">C3</f>
        <v>3.5000000000000003E-2</v>
      </c>
      <c r="G13" s="94">
        <f t="shared" si="0"/>
        <v>3.3000000000000002E-2</v>
      </c>
      <c r="H13" s="94">
        <f t="shared" si="0"/>
        <v>3.2000000000000001E-2</v>
      </c>
      <c r="I13" s="94">
        <f t="shared" si="0"/>
        <v>2.2000000000000002E-2</v>
      </c>
      <c r="J13" s="131">
        <f>I13</f>
        <v>2.2000000000000002E-2</v>
      </c>
      <c r="K13" s="131">
        <f t="shared" ref="K13:AQ13" si="1">J13</f>
        <v>2.2000000000000002E-2</v>
      </c>
      <c r="L13" s="131">
        <f t="shared" si="1"/>
        <v>2.2000000000000002E-2</v>
      </c>
      <c r="M13" s="131">
        <f t="shared" si="1"/>
        <v>2.2000000000000002E-2</v>
      </c>
      <c r="N13" s="131">
        <f t="shared" si="1"/>
        <v>2.2000000000000002E-2</v>
      </c>
      <c r="O13" s="131">
        <f t="shared" si="1"/>
        <v>2.2000000000000002E-2</v>
      </c>
      <c r="P13" s="131">
        <f t="shared" si="1"/>
        <v>2.2000000000000002E-2</v>
      </c>
      <c r="Q13" s="131">
        <f t="shared" si="1"/>
        <v>2.2000000000000002E-2</v>
      </c>
      <c r="R13" s="131">
        <f t="shared" si="1"/>
        <v>2.2000000000000002E-2</v>
      </c>
      <c r="S13" s="131">
        <f t="shared" si="1"/>
        <v>2.2000000000000002E-2</v>
      </c>
      <c r="T13" s="131">
        <f t="shared" si="1"/>
        <v>2.2000000000000002E-2</v>
      </c>
      <c r="U13" s="131">
        <f t="shared" si="1"/>
        <v>2.2000000000000002E-2</v>
      </c>
      <c r="V13" s="131">
        <f t="shared" si="1"/>
        <v>2.2000000000000002E-2</v>
      </c>
      <c r="W13" s="131">
        <f t="shared" si="1"/>
        <v>2.2000000000000002E-2</v>
      </c>
      <c r="X13" s="131">
        <f t="shared" si="1"/>
        <v>2.2000000000000002E-2</v>
      </c>
      <c r="Y13" s="131">
        <f t="shared" si="1"/>
        <v>2.2000000000000002E-2</v>
      </c>
      <c r="Z13" s="131">
        <f t="shared" si="1"/>
        <v>2.2000000000000002E-2</v>
      </c>
      <c r="AA13" s="131">
        <f t="shared" si="1"/>
        <v>2.2000000000000002E-2</v>
      </c>
      <c r="AB13" s="131">
        <f t="shared" si="1"/>
        <v>2.2000000000000002E-2</v>
      </c>
      <c r="AC13" s="131">
        <f t="shared" si="1"/>
        <v>2.2000000000000002E-2</v>
      </c>
      <c r="AD13" s="131">
        <f t="shared" si="1"/>
        <v>2.2000000000000002E-2</v>
      </c>
      <c r="AE13" s="131">
        <f t="shared" si="1"/>
        <v>2.2000000000000002E-2</v>
      </c>
      <c r="AF13" s="131">
        <f t="shared" si="1"/>
        <v>2.2000000000000002E-2</v>
      </c>
      <c r="AG13" s="131">
        <f t="shared" si="1"/>
        <v>2.2000000000000002E-2</v>
      </c>
      <c r="AH13" s="131">
        <f t="shared" si="1"/>
        <v>2.2000000000000002E-2</v>
      </c>
      <c r="AI13" s="131">
        <f t="shared" si="1"/>
        <v>2.2000000000000002E-2</v>
      </c>
      <c r="AJ13" s="131">
        <f t="shared" si="1"/>
        <v>2.2000000000000002E-2</v>
      </c>
      <c r="AK13" s="131">
        <f t="shared" si="1"/>
        <v>2.2000000000000002E-2</v>
      </c>
      <c r="AL13" s="131">
        <f t="shared" si="1"/>
        <v>2.2000000000000002E-2</v>
      </c>
      <c r="AM13" s="131">
        <f t="shared" si="1"/>
        <v>2.2000000000000002E-2</v>
      </c>
      <c r="AN13" s="131">
        <f t="shared" si="1"/>
        <v>2.2000000000000002E-2</v>
      </c>
      <c r="AO13" s="131">
        <f t="shared" si="1"/>
        <v>2.2000000000000002E-2</v>
      </c>
      <c r="AP13" s="131">
        <f t="shared" si="1"/>
        <v>2.2000000000000002E-2</v>
      </c>
      <c r="AQ13" s="131">
        <f t="shared" si="1"/>
        <v>2.2000000000000002E-2</v>
      </c>
    </row>
    <row r="14" spans="1:43" ht="14.4" x14ac:dyDescent="0.3">
      <c r="A14" s="128" t="s">
        <v>61</v>
      </c>
      <c r="B14" s="91"/>
      <c r="C14" s="91"/>
      <c r="D14" s="95">
        <f>B12*(1+D13)</f>
        <v>31289.999999999996</v>
      </c>
      <c r="E14" s="95">
        <f>D14*(1+E13)</f>
        <v>32479.019999999997</v>
      </c>
      <c r="F14" s="95">
        <f>E14*(1+F13)</f>
        <v>33615.785699999993</v>
      </c>
      <c r="G14" s="95">
        <f t="shared" ref="G14:AQ14" si="2">F14*(1+G13)</f>
        <v>34725.106628099988</v>
      </c>
      <c r="H14" s="95">
        <f t="shared" si="2"/>
        <v>35836.310040199191</v>
      </c>
      <c r="I14" s="95">
        <f t="shared" si="2"/>
        <v>36624.708861083571</v>
      </c>
      <c r="J14" s="95">
        <f t="shared" si="2"/>
        <v>37430.452456027408</v>
      </c>
      <c r="K14" s="95">
        <f t="shared" si="2"/>
        <v>38253.922410060011</v>
      </c>
      <c r="L14" s="95">
        <f t="shared" si="2"/>
        <v>39095.50870308133</v>
      </c>
      <c r="M14" s="95">
        <f t="shared" si="2"/>
        <v>39955.609894549118</v>
      </c>
      <c r="N14" s="95">
        <f t="shared" si="2"/>
        <v>40834.633312229198</v>
      </c>
      <c r="O14" s="95">
        <f t="shared" si="2"/>
        <v>41732.995245098238</v>
      </c>
      <c r="P14" s="95">
        <f t="shared" si="2"/>
        <v>42651.121140490402</v>
      </c>
      <c r="Q14" s="95">
        <f t="shared" si="2"/>
        <v>43589.445805581192</v>
      </c>
      <c r="R14" s="95">
        <f t="shared" si="2"/>
        <v>44548.413613303979</v>
      </c>
      <c r="S14" s="95">
        <f t="shared" si="2"/>
        <v>45528.47871279667</v>
      </c>
      <c r="T14" s="95">
        <f t="shared" si="2"/>
        <v>46530.105244478196</v>
      </c>
      <c r="U14" s="95">
        <f t="shared" si="2"/>
        <v>47553.767559856715</v>
      </c>
      <c r="V14" s="95">
        <f t="shared" si="2"/>
        <v>48599.950446173563</v>
      </c>
      <c r="W14" s="95">
        <f t="shared" si="2"/>
        <v>49669.149355989386</v>
      </c>
      <c r="X14" s="95">
        <f t="shared" si="2"/>
        <v>50761.870641821151</v>
      </c>
      <c r="Y14" s="95">
        <f t="shared" si="2"/>
        <v>51878.631795941219</v>
      </c>
      <c r="Z14" s="95">
        <f t="shared" si="2"/>
        <v>53019.96169545193</v>
      </c>
      <c r="AA14" s="95">
        <f t="shared" si="2"/>
        <v>54186.400852751874</v>
      </c>
      <c r="AB14" s="95">
        <f t="shared" si="2"/>
        <v>55378.501671512415</v>
      </c>
      <c r="AC14" s="95">
        <f t="shared" si="2"/>
        <v>56596.828708285691</v>
      </c>
      <c r="AD14" s="95">
        <f t="shared" si="2"/>
        <v>57841.958939867975</v>
      </c>
      <c r="AE14" s="95">
        <f t="shared" si="2"/>
        <v>59114.482036545072</v>
      </c>
      <c r="AF14" s="95">
        <f t="shared" si="2"/>
        <v>60415.000641349063</v>
      </c>
      <c r="AG14" s="95">
        <f t="shared" si="2"/>
        <v>61744.130655458743</v>
      </c>
      <c r="AH14" s="95">
        <f t="shared" si="2"/>
        <v>63102.501529878835</v>
      </c>
      <c r="AI14" s="95">
        <f t="shared" si="2"/>
        <v>64490.756563536168</v>
      </c>
      <c r="AJ14" s="95">
        <f t="shared" si="2"/>
        <v>65909.553207933961</v>
      </c>
      <c r="AK14" s="95">
        <f t="shared" si="2"/>
        <v>67359.563378508508</v>
      </c>
      <c r="AL14" s="95">
        <f t="shared" si="2"/>
        <v>68841.473772835699</v>
      </c>
      <c r="AM14" s="95">
        <f t="shared" si="2"/>
        <v>70355.986195838093</v>
      </c>
      <c r="AN14" s="95">
        <f t="shared" si="2"/>
        <v>71903.81789214653</v>
      </c>
      <c r="AO14" s="95">
        <f t="shared" si="2"/>
        <v>73485.701885773757</v>
      </c>
      <c r="AP14" s="95">
        <f t="shared" si="2"/>
        <v>75102.387327260774</v>
      </c>
      <c r="AQ14" s="95">
        <f t="shared" si="2"/>
        <v>76754.639848460516</v>
      </c>
    </row>
    <row r="15" spans="1:43" ht="14.4" x14ac:dyDescent="0.3">
      <c r="A15" s="119"/>
      <c r="B15" s="1"/>
      <c r="C15" s="1"/>
      <c r="D15" s="1"/>
      <c r="E15" s="1"/>
      <c r="F15" s="1"/>
      <c r="G15" s="1"/>
      <c r="H15" s="1"/>
      <c r="I15" s="1"/>
      <c r="Q15" s="127"/>
      <c r="R15" s="127"/>
      <c r="T15" s="90"/>
    </row>
    <row r="16" spans="1:43" x14ac:dyDescent="0.3">
      <c r="T16" s="6"/>
    </row>
    <row r="17" spans="1:22" ht="14.4" thickBot="1" x14ac:dyDescent="0.35"/>
    <row r="18" spans="1:22" ht="31.2" thickBot="1" x14ac:dyDescent="0.35">
      <c r="A18" s="1"/>
      <c r="B18" s="96" t="s">
        <v>62</v>
      </c>
      <c r="C18" s="97" t="s">
        <v>63</v>
      </c>
      <c r="D18" s="98" t="s">
        <v>64</v>
      </c>
      <c r="E18" s="97" t="s">
        <v>65</v>
      </c>
      <c r="F18" s="99" t="s">
        <v>66</v>
      </c>
      <c r="G18" s="1" t="s">
        <v>67</v>
      </c>
    </row>
    <row r="19" spans="1:22" ht="14.4" x14ac:dyDescent="0.3">
      <c r="A19" s="1" t="s">
        <v>68</v>
      </c>
      <c r="B19" s="96" t="s">
        <v>69</v>
      </c>
      <c r="C19" s="97" t="s">
        <v>70</v>
      </c>
      <c r="D19" s="98" t="s">
        <v>71</v>
      </c>
      <c r="E19" s="97" t="s">
        <v>72</v>
      </c>
      <c r="F19" s="99" t="s">
        <v>73</v>
      </c>
      <c r="G19" s="1"/>
      <c r="P19" s="2" t="s">
        <v>74</v>
      </c>
    </row>
    <row r="20" spans="1:22" ht="14.4" x14ac:dyDescent="0.3">
      <c r="A20" s="132" t="s">
        <v>75</v>
      </c>
      <c r="B20" s="100">
        <v>85</v>
      </c>
      <c r="C20" s="101">
        <v>183</v>
      </c>
      <c r="D20" s="101">
        <v>500</v>
      </c>
      <c r="E20" s="101">
        <v>1450</v>
      </c>
      <c r="F20" s="102">
        <v>1688</v>
      </c>
      <c r="G20" s="1"/>
      <c r="H20" s="1"/>
      <c r="I20" s="1"/>
      <c r="J20" s="1"/>
      <c r="K20" s="1"/>
      <c r="L20" s="1"/>
      <c r="P20" s="2" t="s">
        <v>76</v>
      </c>
      <c r="Q20" s="2" t="s">
        <v>77</v>
      </c>
      <c r="R20" s="2" t="s">
        <v>78</v>
      </c>
      <c r="S20" s="2" t="s">
        <v>79</v>
      </c>
      <c r="T20" s="2" t="s">
        <v>80</v>
      </c>
      <c r="V20" s="2" t="s">
        <v>81</v>
      </c>
    </row>
    <row r="21" spans="1:22" ht="14.4" x14ac:dyDescent="0.3">
      <c r="A21" s="133" t="s">
        <v>82</v>
      </c>
      <c r="B21" s="100">
        <f>B22</f>
        <v>75</v>
      </c>
      <c r="C21" s="100">
        <f t="shared" ref="C21:F21" si="3">C22</f>
        <v>130</v>
      </c>
      <c r="D21" s="100">
        <f t="shared" si="3"/>
        <v>230</v>
      </c>
      <c r="E21" s="100">
        <f t="shared" si="3"/>
        <v>750</v>
      </c>
      <c r="F21" s="100">
        <f t="shared" si="3"/>
        <v>1000</v>
      </c>
      <c r="G21" s="1" t="s">
        <v>83</v>
      </c>
      <c r="H21" s="103"/>
      <c r="I21" s="103"/>
      <c r="J21" s="103"/>
      <c r="K21" s="103"/>
      <c r="L21" s="1"/>
      <c r="P21" s="2" t="s">
        <v>84</v>
      </c>
      <c r="Q21" s="2" t="s">
        <v>85</v>
      </c>
      <c r="R21" s="2" t="s">
        <v>86</v>
      </c>
      <c r="S21" s="2" t="s">
        <v>87</v>
      </c>
      <c r="T21" s="2">
        <v>647</v>
      </c>
      <c r="U21" s="59"/>
    </row>
    <row r="22" spans="1:22" ht="14.4" x14ac:dyDescent="0.3">
      <c r="A22" s="133" t="s">
        <v>88</v>
      </c>
      <c r="B22" s="100">
        <v>75</v>
      </c>
      <c r="C22" s="101">
        <v>130</v>
      </c>
      <c r="D22" s="101">
        <v>230</v>
      </c>
      <c r="E22" s="101">
        <v>750</v>
      </c>
      <c r="F22" s="102">
        <v>1000</v>
      </c>
      <c r="K22" s="103"/>
      <c r="P22" s="2" t="s">
        <v>89</v>
      </c>
      <c r="Q22" s="2" t="s">
        <v>85</v>
      </c>
      <c r="R22" s="2" t="s">
        <v>86</v>
      </c>
      <c r="S22" s="2" t="s">
        <v>87</v>
      </c>
      <c r="T22" s="2">
        <v>656</v>
      </c>
      <c r="U22" s="59">
        <f t="shared" ref="U22:U48" si="4">T22/T21-1</f>
        <v>1.391035548686248E-2</v>
      </c>
    </row>
    <row r="23" spans="1:22" ht="14.4" x14ac:dyDescent="0.3">
      <c r="A23" s="133" t="s">
        <v>90</v>
      </c>
      <c r="B23" s="100">
        <v>85</v>
      </c>
      <c r="C23" s="101">
        <f>C24</f>
        <v>225</v>
      </c>
      <c r="D23" s="101">
        <f>D24</f>
        <v>400</v>
      </c>
      <c r="E23" s="101">
        <f>E24</f>
        <v>1200</v>
      </c>
      <c r="F23" s="101">
        <f>F24</f>
        <v>1350</v>
      </c>
      <c r="G23" s="1" t="s">
        <v>91</v>
      </c>
      <c r="H23" s="1"/>
      <c r="I23" s="1"/>
      <c r="J23" s="1"/>
      <c r="K23" s="1"/>
      <c r="L23" s="1"/>
      <c r="P23" s="2" t="s">
        <v>92</v>
      </c>
      <c r="Q23" s="2" t="s">
        <v>85</v>
      </c>
      <c r="R23" s="2" t="s">
        <v>86</v>
      </c>
      <c r="S23" s="2" t="s">
        <v>87</v>
      </c>
      <c r="T23" s="2">
        <v>665</v>
      </c>
      <c r="U23" s="59">
        <f t="shared" si="4"/>
        <v>1.3719512195121908E-2</v>
      </c>
    </row>
    <row r="24" spans="1:22" ht="14.4" x14ac:dyDescent="0.3">
      <c r="A24" s="133" t="s">
        <v>93</v>
      </c>
      <c r="B24" s="100">
        <f>B20</f>
        <v>85</v>
      </c>
      <c r="C24" s="101">
        <v>225</v>
      </c>
      <c r="D24" s="101">
        <v>400</v>
      </c>
      <c r="E24" s="101">
        <v>1200</v>
      </c>
      <c r="F24" s="102">
        <v>1350</v>
      </c>
      <c r="G24" s="1" t="s">
        <v>94</v>
      </c>
      <c r="H24" s="1"/>
      <c r="I24" s="1"/>
      <c r="J24" s="1"/>
      <c r="K24" s="1"/>
      <c r="L24" s="104"/>
      <c r="M24" s="3"/>
      <c r="N24" s="3"/>
      <c r="P24" s="2" t="s">
        <v>95</v>
      </c>
      <c r="Q24" s="2" t="s">
        <v>85</v>
      </c>
      <c r="R24" s="2" t="s">
        <v>86</v>
      </c>
      <c r="S24" s="2" t="s">
        <v>87</v>
      </c>
      <c r="T24" s="2">
        <v>673</v>
      </c>
      <c r="U24" s="59">
        <f t="shared" si="4"/>
        <v>1.2030075187969835E-2</v>
      </c>
    </row>
    <row r="25" spans="1:22" ht="14.4" x14ac:dyDescent="0.3">
      <c r="A25" s="133" t="s">
        <v>96</v>
      </c>
      <c r="B25" s="100" t="s">
        <v>97</v>
      </c>
      <c r="C25" s="101">
        <f>C28/D28*D25</f>
        <v>444.91525423728814</v>
      </c>
      <c r="D25" s="101">
        <v>700</v>
      </c>
      <c r="E25" s="101">
        <v>2000</v>
      </c>
      <c r="F25" s="102">
        <v>2250</v>
      </c>
      <c r="G25" s="1" t="s">
        <v>98</v>
      </c>
      <c r="H25" s="1"/>
      <c r="I25" s="1"/>
      <c r="J25" s="1"/>
      <c r="K25" s="1"/>
      <c r="L25" s="1"/>
      <c r="P25" s="2" t="s">
        <v>99</v>
      </c>
      <c r="Q25" s="2" t="s">
        <v>85</v>
      </c>
      <c r="R25" s="2" t="s">
        <v>86</v>
      </c>
      <c r="S25" s="2" t="s">
        <v>87</v>
      </c>
      <c r="T25" s="2">
        <v>676</v>
      </c>
      <c r="U25" s="59">
        <f t="shared" si="4"/>
        <v>4.4576523031203408E-3</v>
      </c>
    </row>
    <row r="26" spans="1:22" ht="27.6" x14ac:dyDescent="0.3">
      <c r="A26" s="132" t="s">
        <v>100</v>
      </c>
      <c r="B26" s="100">
        <v>200</v>
      </c>
      <c r="C26" s="101">
        <v>313</v>
      </c>
      <c r="D26" s="101">
        <v>500</v>
      </c>
      <c r="E26" s="101">
        <v>1425</v>
      </c>
      <c r="F26" s="102">
        <v>1638</v>
      </c>
      <c r="G26" s="1"/>
      <c r="H26" s="1"/>
      <c r="I26" s="1"/>
      <c r="J26" s="1"/>
      <c r="K26" s="1"/>
      <c r="L26" s="1"/>
      <c r="P26" s="2" t="s">
        <v>101</v>
      </c>
      <c r="Q26" s="2" t="s">
        <v>85</v>
      </c>
      <c r="R26" s="2" t="s">
        <v>86</v>
      </c>
      <c r="S26" s="2" t="s">
        <v>87</v>
      </c>
      <c r="T26" s="2">
        <v>678</v>
      </c>
      <c r="U26" s="59">
        <f t="shared" si="4"/>
        <v>2.9585798816567088E-3</v>
      </c>
    </row>
    <row r="27" spans="1:22" ht="14.4" x14ac:dyDescent="0.3">
      <c r="A27" s="133" t="s">
        <v>102</v>
      </c>
      <c r="B27" s="100">
        <v>210</v>
      </c>
      <c r="C27" s="101">
        <v>260</v>
      </c>
      <c r="D27" s="101">
        <v>500</v>
      </c>
      <c r="E27" s="101">
        <v>1425</v>
      </c>
      <c r="F27" s="102">
        <v>1575</v>
      </c>
      <c r="G27" s="1"/>
      <c r="H27" s="1"/>
      <c r="I27" s="1"/>
      <c r="J27" s="1"/>
      <c r="K27" s="1"/>
      <c r="L27" s="1"/>
      <c r="P27" s="2" t="s">
        <v>103</v>
      </c>
      <c r="Q27" s="2" t="s">
        <v>85</v>
      </c>
      <c r="R27" s="2" t="s">
        <v>86</v>
      </c>
      <c r="S27" s="2" t="s">
        <v>87</v>
      </c>
      <c r="T27" s="2">
        <v>686</v>
      </c>
      <c r="U27" s="59">
        <f t="shared" si="4"/>
        <v>1.1799410029498469E-2</v>
      </c>
    </row>
    <row r="28" spans="1:22" ht="14.4" x14ac:dyDescent="0.3">
      <c r="A28" s="133" t="s">
        <v>104</v>
      </c>
      <c r="B28" s="100">
        <v>250</v>
      </c>
      <c r="C28" s="101">
        <v>375</v>
      </c>
      <c r="D28" s="101">
        <v>590</v>
      </c>
      <c r="E28" s="101">
        <v>1550</v>
      </c>
      <c r="F28" s="102">
        <v>1725</v>
      </c>
      <c r="G28" s="1"/>
      <c r="H28" s="1"/>
      <c r="I28" s="1"/>
      <c r="J28" s="1"/>
      <c r="K28" s="1"/>
      <c r="L28" s="1"/>
      <c r="P28" s="2" t="s">
        <v>105</v>
      </c>
      <c r="Q28" s="2" t="s">
        <v>85</v>
      </c>
      <c r="R28" s="2" t="s">
        <v>86</v>
      </c>
      <c r="S28" s="2" t="s">
        <v>87</v>
      </c>
      <c r="T28" s="2">
        <v>704</v>
      </c>
      <c r="U28" s="59">
        <f t="shared" si="4"/>
        <v>2.6239067055393583E-2</v>
      </c>
    </row>
    <row r="29" spans="1:22" ht="27.6" x14ac:dyDescent="0.3">
      <c r="A29" s="133" t="s">
        <v>106</v>
      </c>
      <c r="B29" s="100">
        <v>140</v>
      </c>
      <c r="C29" s="101">
        <v>275</v>
      </c>
      <c r="D29" s="101">
        <v>410</v>
      </c>
      <c r="E29" s="101">
        <v>1325</v>
      </c>
      <c r="F29" s="102">
        <v>1600</v>
      </c>
      <c r="G29" s="1"/>
      <c r="H29" s="1"/>
      <c r="I29" s="1"/>
      <c r="J29" s="1"/>
      <c r="K29" s="1"/>
      <c r="L29" s="1"/>
      <c r="P29" s="2" t="s">
        <v>107</v>
      </c>
      <c r="Q29" s="2" t="s">
        <v>85</v>
      </c>
      <c r="R29" s="2" t="s">
        <v>86</v>
      </c>
      <c r="S29" s="2" t="s">
        <v>87</v>
      </c>
      <c r="T29" s="2">
        <v>714</v>
      </c>
      <c r="U29" s="59">
        <f t="shared" si="4"/>
        <v>1.4204545454545414E-2</v>
      </c>
    </row>
    <row r="30" spans="1:22" ht="14.4" x14ac:dyDescent="0.3">
      <c r="A30" s="133" t="s">
        <v>108</v>
      </c>
      <c r="B30" s="100">
        <f>B40</f>
        <v>95</v>
      </c>
      <c r="C30" s="100">
        <f t="shared" ref="C30:F30" si="5">C40</f>
        <v>130</v>
      </c>
      <c r="D30" s="100">
        <f t="shared" si="5"/>
        <v>215</v>
      </c>
      <c r="E30" s="100">
        <f t="shared" si="5"/>
        <v>900</v>
      </c>
      <c r="F30" s="100">
        <f t="shared" si="5"/>
        <v>1000</v>
      </c>
      <c r="G30" s="1" t="s">
        <v>109</v>
      </c>
      <c r="H30" s="1"/>
      <c r="I30" s="1"/>
      <c r="J30" s="1"/>
      <c r="K30" s="1"/>
      <c r="L30" s="1"/>
      <c r="P30" s="2" t="s">
        <v>110</v>
      </c>
      <c r="Q30" s="2" t="s">
        <v>85</v>
      </c>
      <c r="R30" s="2" t="s">
        <v>86</v>
      </c>
      <c r="S30" s="2" t="s">
        <v>87</v>
      </c>
      <c r="T30" s="2">
        <v>738</v>
      </c>
      <c r="U30" s="59">
        <f t="shared" si="4"/>
        <v>3.3613445378151363E-2</v>
      </c>
    </row>
    <row r="31" spans="1:22" ht="14.4" x14ac:dyDescent="0.3">
      <c r="A31" s="132" t="s">
        <v>111</v>
      </c>
      <c r="B31" s="100" t="s">
        <v>97</v>
      </c>
      <c r="C31" s="101" t="s">
        <v>97</v>
      </c>
      <c r="D31" s="101">
        <v>613</v>
      </c>
      <c r="E31" s="101">
        <v>1650</v>
      </c>
      <c r="F31" s="102">
        <v>1850</v>
      </c>
      <c r="G31" s="1"/>
      <c r="H31" s="1"/>
      <c r="I31" s="1"/>
      <c r="J31" s="1"/>
      <c r="K31" s="1"/>
      <c r="L31" s="1"/>
      <c r="P31" s="2" t="s">
        <v>112</v>
      </c>
      <c r="Q31" s="2" t="s">
        <v>85</v>
      </c>
      <c r="R31" s="2" t="s">
        <v>86</v>
      </c>
      <c r="S31" s="2" t="s">
        <v>87</v>
      </c>
      <c r="T31" s="2">
        <v>779</v>
      </c>
      <c r="U31" s="59">
        <f t="shared" si="4"/>
        <v>5.555555555555558E-2</v>
      </c>
    </row>
    <row r="32" spans="1:22" ht="14.4" x14ac:dyDescent="0.3">
      <c r="A32" s="133" t="s">
        <v>113</v>
      </c>
      <c r="B32" s="100" t="s">
        <v>97</v>
      </c>
      <c r="C32" s="101" t="s">
        <v>97</v>
      </c>
      <c r="D32" s="101">
        <v>600</v>
      </c>
      <c r="E32" s="101">
        <v>1650</v>
      </c>
      <c r="F32" s="102">
        <v>1850</v>
      </c>
      <c r="G32" s="1" t="s">
        <v>114</v>
      </c>
      <c r="H32" s="1"/>
      <c r="I32" s="1"/>
      <c r="J32" s="1"/>
      <c r="K32" s="1"/>
      <c r="L32" s="1"/>
      <c r="P32" s="2" t="s">
        <v>115</v>
      </c>
      <c r="Q32" s="2" t="s">
        <v>85</v>
      </c>
      <c r="R32" s="2" t="s">
        <v>86</v>
      </c>
      <c r="S32" s="2" t="s">
        <v>87</v>
      </c>
      <c r="T32" s="2">
        <v>821</v>
      </c>
      <c r="U32" s="59">
        <f t="shared" si="4"/>
        <v>5.3915275994865119E-2</v>
      </c>
    </row>
    <row r="33" spans="1:25" ht="14.4" x14ac:dyDescent="0.3">
      <c r="A33" s="133" t="s">
        <v>116</v>
      </c>
      <c r="B33" s="100" t="s">
        <v>97</v>
      </c>
      <c r="C33" s="101" t="s">
        <v>97</v>
      </c>
      <c r="D33" s="101">
        <v>675</v>
      </c>
      <c r="E33" s="101">
        <v>1550</v>
      </c>
      <c r="F33" s="102">
        <v>1925</v>
      </c>
      <c r="G33" s="1" t="s">
        <v>114</v>
      </c>
      <c r="H33" s="1"/>
      <c r="I33" s="1"/>
      <c r="J33" s="1" t="s">
        <v>117</v>
      </c>
      <c r="K33" s="1" t="s">
        <v>118</v>
      </c>
      <c r="L33" s="1"/>
      <c r="P33" s="2" t="s">
        <v>119</v>
      </c>
      <c r="Q33" s="2" t="s">
        <v>85</v>
      </c>
      <c r="R33" s="2" t="s">
        <v>86</v>
      </c>
      <c r="S33" s="2" t="s">
        <v>87</v>
      </c>
      <c r="T33" s="2">
        <v>876</v>
      </c>
      <c r="U33" s="59">
        <f t="shared" si="4"/>
        <v>6.6991473812423763E-2</v>
      </c>
    </row>
    <row r="34" spans="1:25" ht="14.4" x14ac:dyDescent="0.3">
      <c r="A34" s="133" t="s">
        <v>120</v>
      </c>
      <c r="B34" s="100">
        <f>B40/D40*D34</f>
        <v>121.51162790697674</v>
      </c>
      <c r="C34" s="101">
        <f>C40/D40*D34</f>
        <v>166.27906976744185</v>
      </c>
      <c r="D34" s="101">
        <v>275</v>
      </c>
      <c r="E34" s="101">
        <f>L34</f>
        <v>1014.3313953488373</v>
      </c>
      <c r="F34" s="102">
        <v>975</v>
      </c>
      <c r="G34" s="1" t="s">
        <v>121</v>
      </c>
      <c r="H34" s="1"/>
      <c r="I34" s="1"/>
      <c r="J34" s="103">
        <f>E40/D40*D34</f>
        <v>1151.1627906976746</v>
      </c>
      <c r="K34" s="103">
        <f>E40/F40*F34</f>
        <v>877.5</v>
      </c>
      <c r="L34" s="103">
        <f>AVERAGE(J34:K34)</f>
        <v>1014.3313953488373</v>
      </c>
      <c r="P34" s="2" t="s">
        <v>122</v>
      </c>
      <c r="Q34" s="2" t="s">
        <v>85</v>
      </c>
      <c r="R34" s="2" t="s">
        <v>86</v>
      </c>
      <c r="S34" s="2" t="s">
        <v>87</v>
      </c>
      <c r="T34" s="2">
        <v>922</v>
      </c>
      <c r="U34" s="59">
        <f t="shared" si="4"/>
        <v>5.2511415525114069E-2</v>
      </c>
    </row>
    <row r="35" spans="1:25" ht="14.4" x14ac:dyDescent="0.3">
      <c r="A35" s="132" t="s">
        <v>123</v>
      </c>
      <c r="B35" s="100">
        <v>120</v>
      </c>
      <c r="C35" s="101">
        <v>220</v>
      </c>
      <c r="D35" s="101">
        <v>318</v>
      </c>
      <c r="E35" s="101">
        <v>1013</v>
      </c>
      <c r="F35" s="102">
        <v>1225</v>
      </c>
      <c r="G35" s="1"/>
      <c r="H35" s="1"/>
      <c r="I35" s="1"/>
      <c r="J35" s="1"/>
      <c r="K35" s="1"/>
      <c r="L35" s="1"/>
      <c r="P35" s="2" t="s">
        <v>124</v>
      </c>
      <c r="Q35" s="2" t="s">
        <v>85</v>
      </c>
      <c r="R35" s="2" t="s">
        <v>86</v>
      </c>
      <c r="S35" s="2" t="s">
        <v>87</v>
      </c>
      <c r="T35" s="2">
        <v>977</v>
      </c>
      <c r="U35" s="59">
        <f t="shared" si="4"/>
        <v>5.9652928416485951E-2</v>
      </c>
    </row>
    <row r="36" spans="1:25" ht="14.4" x14ac:dyDescent="0.3">
      <c r="A36" s="133" t="s">
        <v>125</v>
      </c>
      <c r="B36" s="101">
        <f>B37/C37*C36</f>
        <v>126.11940298507461</v>
      </c>
      <c r="C36" s="101">
        <f>C37/D37*D36</f>
        <v>232.83582089552237</v>
      </c>
      <c r="D36" s="101">
        <v>325</v>
      </c>
      <c r="E36" s="101">
        <v>1075</v>
      </c>
      <c r="F36" s="102">
        <v>1300</v>
      </c>
      <c r="G36" s="1" t="s">
        <v>126</v>
      </c>
      <c r="H36" s="1"/>
      <c r="I36" s="1"/>
      <c r="J36" s="1"/>
      <c r="K36" s="1"/>
      <c r="L36" s="1"/>
      <c r="P36" s="2" t="s">
        <v>127</v>
      </c>
      <c r="Q36" s="2" t="s">
        <v>85</v>
      </c>
      <c r="R36" s="2" t="s">
        <v>86</v>
      </c>
      <c r="S36" s="2" t="s">
        <v>87</v>
      </c>
      <c r="T36" s="2">
        <v>993</v>
      </c>
      <c r="U36" s="59">
        <f t="shared" si="4"/>
        <v>1.6376663254861867E-2</v>
      </c>
    </row>
    <row r="37" spans="1:25" ht="14.4" x14ac:dyDescent="0.3">
      <c r="A37" s="133" t="s">
        <v>128</v>
      </c>
      <c r="B37" s="100">
        <v>130</v>
      </c>
      <c r="C37" s="101">
        <v>240</v>
      </c>
      <c r="D37" s="101">
        <v>335</v>
      </c>
      <c r="E37" s="101">
        <v>1000</v>
      </c>
      <c r="F37" s="102">
        <v>1300</v>
      </c>
      <c r="G37" s="1"/>
      <c r="H37" s="1"/>
      <c r="I37" s="1"/>
      <c r="J37" s="1"/>
      <c r="K37" s="1"/>
      <c r="L37" s="1"/>
      <c r="P37" s="2" t="s">
        <v>129</v>
      </c>
      <c r="Q37" s="2" t="s">
        <v>85</v>
      </c>
      <c r="R37" s="2" t="s">
        <v>86</v>
      </c>
      <c r="S37" s="2" t="s">
        <v>87</v>
      </c>
      <c r="T37" s="2">
        <v>994</v>
      </c>
      <c r="U37" s="59">
        <f t="shared" si="4"/>
        <v>1.0070493454179541E-3</v>
      </c>
    </row>
    <row r="38" spans="1:25" ht="14.4" x14ac:dyDescent="0.3">
      <c r="A38" s="133" t="s">
        <v>130</v>
      </c>
      <c r="B38" s="100" t="s">
        <v>97</v>
      </c>
      <c r="C38" s="101" t="s">
        <v>97</v>
      </c>
      <c r="D38" s="101" t="s">
        <v>97</v>
      </c>
      <c r="E38" s="101" t="s">
        <v>97</v>
      </c>
      <c r="F38" s="102" t="s">
        <v>97</v>
      </c>
      <c r="G38" s="1" t="s">
        <v>131</v>
      </c>
      <c r="H38" s="1"/>
      <c r="I38" s="1"/>
      <c r="J38" s="1"/>
      <c r="K38" s="1"/>
      <c r="L38" s="1"/>
      <c r="P38" s="2" t="s">
        <v>132</v>
      </c>
      <c r="Q38" s="2" t="s">
        <v>85</v>
      </c>
      <c r="R38" s="2" t="s">
        <v>86</v>
      </c>
      <c r="S38" s="2" t="s">
        <v>87</v>
      </c>
      <c r="T38" s="2">
        <v>1018</v>
      </c>
      <c r="U38" s="59">
        <f t="shared" si="4"/>
        <v>2.4144869215291687E-2</v>
      </c>
      <c r="W38" s="2" t="s">
        <v>133</v>
      </c>
      <c r="X38" s="2" t="s">
        <v>134</v>
      </c>
    </row>
    <row r="39" spans="1:25" ht="14.4" x14ac:dyDescent="0.3">
      <c r="A39" s="133" t="s">
        <v>135</v>
      </c>
      <c r="B39" s="100">
        <f>B37/C37*C39</f>
        <v>146.25</v>
      </c>
      <c r="C39" s="101">
        <v>270</v>
      </c>
      <c r="D39" s="101">
        <v>385</v>
      </c>
      <c r="E39" s="101">
        <v>1150</v>
      </c>
      <c r="F39" s="102">
        <v>1625</v>
      </c>
      <c r="G39" s="1" t="s">
        <v>136</v>
      </c>
      <c r="H39" s="1"/>
      <c r="I39" s="1"/>
      <c r="J39" s="1"/>
      <c r="K39" s="1"/>
      <c r="L39" s="1"/>
      <c r="P39" s="2" t="s">
        <v>137</v>
      </c>
      <c r="Q39" s="2" t="s">
        <v>85</v>
      </c>
      <c r="R39" s="2" t="s">
        <v>86</v>
      </c>
      <c r="S39" s="2" t="s">
        <v>87</v>
      </c>
      <c r="T39" s="2">
        <v>1038</v>
      </c>
      <c r="U39" s="59">
        <f t="shared" si="4"/>
        <v>1.9646365422396839E-2</v>
      </c>
      <c r="W39" s="22">
        <f t="shared" ref="W39:W46" si="6">U39</f>
        <v>1.9646365422396839E-2</v>
      </c>
      <c r="X39" s="105">
        <f t="shared" ref="X39:X49" si="7">X40/(1+W40)</f>
        <v>632.22489842111781</v>
      </c>
      <c r="Y39" s="59" t="s">
        <v>138</v>
      </c>
    </row>
    <row r="40" spans="1:25" ht="14.4" x14ac:dyDescent="0.3">
      <c r="A40" s="133" t="s">
        <v>139</v>
      </c>
      <c r="B40" s="100">
        <v>95</v>
      </c>
      <c r="C40" s="101">
        <v>130</v>
      </c>
      <c r="D40" s="101">
        <v>215</v>
      </c>
      <c r="E40" s="101">
        <v>900</v>
      </c>
      <c r="F40" s="102">
        <v>1000</v>
      </c>
      <c r="G40" s="1" t="s">
        <v>140</v>
      </c>
      <c r="H40" s="106">
        <f>AVERAGE(E40:F40)</f>
        <v>950</v>
      </c>
      <c r="I40" s="1"/>
      <c r="J40" s="1"/>
      <c r="K40" s="1"/>
      <c r="L40" s="1"/>
      <c r="P40" s="2" t="s">
        <v>141</v>
      </c>
      <c r="Q40" s="2" t="s">
        <v>85</v>
      </c>
      <c r="R40" s="2" t="s">
        <v>86</v>
      </c>
      <c r="S40" s="2" t="s">
        <v>87</v>
      </c>
      <c r="T40" s="2">
        <v>1053</v>
      </c>
      <c r="U40" s="59">
        <f t="shared" si="4"/>
        <v>1.4450867052023142E-2</v>
      </c>
      <c r="W40" s="22">
        <f t="shared" si="6"/>
        <v>1.4450867052023142E-2</v>
      </c>
      <c r="X40" s="105">
        <f t="shared" si="7"/>
        <v>641.36109637518018</v>
      </c>
      <c r="Y40" s="59">
        <f>X40/X39-1</f>
        <v>1.4450867052023142E-2</v>
      </c>
    </row>
    <row r="41" spans="1:25" ht="28.2" thickBot="1" x14ac:dyDescent="0.35">
      <c r="A41" s="133" t="s">
        <v>142</v>
      </c>
      <c r="B41" s="107">
        <f t="shared" ref="B41:C41" si="8">B40/$H$40*$H$41</f>
        <v>87.5</v>
      </c>
      <c r="C41" s="107">
        <f t="shared" si="8"/>
        <v>119.73684210526316</v>
      </c>
      <c r="D41" s="107">
        <f>D40/$H$40*$H$41</f>
        <v>198.0263157894737</v>
      </c>
      <c r="E41" s="107">
        <v>750</v>
      </c>
      <c r="F41" s="108">
        <v>1000</v>
      </c>
      <c r="G41" s="1" t="s">
        <v>143</v>
      </c>
      <c r="H41" s="106">
        <f>AVERAGE(E41:F41)</f>
        <v>875</v>
      </c>
      <c r="I41" s="1"/>
      <c r="J41" s="1"/>
      <c r="K41" s="1"/>
      <c r="L41" s="1"/>
      <c r="P41" s="2" t="s">
        <v>144</v>
      </c>
      <c r="Q41" s="2" t="s">
        <v>85</v>
      </c>
      <c r="R41" s="2" t="s">
        <v>86</v>
      </c>
      <c r="S41" s="2" t="s">
        <v>87</v>
      </c>
      <c r="T41" s="2">
        <v>1080</v>
      </c>
      <c r="U41" s="59">
        <f t="shared" si="4"/>
        <v>2.564102564102555E-2</v>
      </c>
      <c r="W41" s="22">
        <f t="shared" si="6"/>
        <v>2.564102564102555E-2</v>
      </c>
      <c r="X41" s="105">
        <f t="shared" si="7"/>
        <v>657.80625269249242</v>
      </c>
      <c r="Y41" s="59">
        <f t="shared" ref="Y41:Y55" si="9">X41/X40-1</f>
        <v>2.564102564102555E-2</v>
      </c>
    </row>
    <row r="42" spans="1:25" ht="15" thickBot="1" x14ac:dyDescent="0.35">
      <c r="A42" s="133"/>
      <c r="B42" s="109"/>
      <c r="C42" s="110"/>
      <c r="D42" s="110"/>
      <c r="E42" s="110"/>
      <c r="F42" s="111"/>
      <c r="G42" s="1"/>
      <c r="H42" s="106"/>
      <c r="I42" s="1"/>
      <c r="J42" s="1"/>
      <c r="K42" s="1"/>
      <c r="L42" s="1"/>
      <c r="P42" s="2" t="s">
        <v>145</v>
      </c>
      <c r="Q42" s="2" t="s">
        <v>85</v>
      </c>
      <c r="R42" s="2" t="s">
        <v>86</v>
      </c>
      <c r="S42" s="2" t="s">
        <v>87</v>
      </c>
      <c r="T42" s="2">
        <v>1102</v>
      </c>
      <c r="U42" s="59">
        <f t="shared" si="4"/>
        <v>2.0370370370370372E-2</v>
      </c>
      <c r="W42" s="22">
        <f t="shared" si="6"/>
        <v>2.0370370370370372E-2</v>
      </c>
      <c r="X42" s="105">
        <f t="shared" si="7"/>
        <v>671.20600969178395</v>
      </c>
      <c r="Y42" s="59">
        <f t="shared" si="9"/>
        <v>2.0370370370370372E-2</v>
      </c>
    </row>
    <row r="43" spans="1:25" ht="14.4" thickBot="1" x14ac:dyDescent="0.35">
      <c r="A43" s="2" t="s">
        <v>146</v>
      </c>
      <c r="B43" s="112" t="s">
        <v>69</v>
      </c>
      <c r="C43" s="113" t="s">
        <v>70</v>
      </c>
      <c r="D43" s="113" t="s">
        <v>71</v>
      </c>
      <c r="E43" s="113" t="s">
        <v>72</v>
      </c>
      <c r="F43" s="114" t="s">
        <v>73</v>
      </c>
      <c r="P43" s="2" t="s">
        <v>147</v>
      </c>
      <c r="Q43" s="2" t="s">
        <v>85</v>
      </c>
      <c r="R43" s="2" t="s">
        <v>86</v>
      </c>
      <c r="S43" s="2" t="s">
        <v>87</v>
      </c>
      <c r="T43" s="2">
        <v>1120</v>
      </c>
      <c r="U43" s="59">
        <f t="shared" si="4"/>
        <v>1.6333938294010864E-2</v>
      </c>
      <c r="W43" s="22">
        <f t="shared" si="6"/>
        <v>1.6333938294010864E-2</v>
      </c>
      <c r="X43" s="105">
        <f t="shared" si="7"/>
        <v>682.16944723665881</v>
      </c>
      <c r="Y43" s="59">
        <f t="shared" si="9"/>
        <v>1.6333938294010864E-2</v>
      </c>
    </row>
    <row r="44" spans="1:25" x14ac:dyDescent="0.3">
      <c r="B44" s="112">
        <v>2</v>
      </c>
      <c r="C44" s="113">
        <v>3</v>
      </c>
      <c r="D44" s="113">
        <v>4</v>
      </c>
      <c r="E44" s="113">
        <v>5</v>
      </c>
      <c r="F44" s="114">
        <v>6</v>
      </c>
      <c r="P44" s="2" t="s">
        <v>148</v>
      </c>
      <c r="Q44" s="2" t="s">
        <v>85</v>
      </c>
      <c r="R44" s="2" t="s">
        <v>86</v>
      </c>
      <c r="S44" s="2" t="s">
        <v>87</v>
      </c>
      <c r="T44" s="2">
        <v>1168</v>
      </c>
      <c r="U44" s="59">
        <f t="shared" si="4"/>
        <v>4.2857142857142927E-2</v>
      </c>
      <c r="W44" s="22">
        <f t="shared" si="6"/>
        <v>4.2857142857142927E-2</v>
      </c>
      <c r="X44" s="105">
        <f t="shared" si="7"/>
        <v>711.40528068965853</v>
      </c>
      <c r="Y44" s="59">
        <f t="shared" si="9"/>
        <v>4.2857142857142927E-2</v>
      </c>
    </row>
    <row r="45" spans="1:25" x14ac:dyDescent="0.3">
      <c r="P45" s="2" t="s">
        <v>149</v>
      </c>
      <c r="Q45" s="2" t="s">
        <v>85</v>
      </c>
      <c r="R45" s="2" t="s">
        <v>86</v>
      </c>
      <c r="S45" s="2" t="s">
        <v>87</v>
      </c>
      <c r="T45" s="2">
        <v>1207</v>
      </c>
      <c r="U45" s="59">
        <f t="shared" si="4"/>
        <v>3.3390410958904049E-2</v>
      </c>
      <c r="W45" s="22">
        <f t="shared" si="6"/>
        <v>3.3390410958904049E-2</v>
      </c>
      <c r="X45" s="105">
        <f t="shared" si="7"/>
        <v>735.15939537022075</v>
      </c>
      <c r="Y45" s="59">
        <f t="shared" si="9"/>
        <v>3.3390410958904049E-2</v>
      </c>
    </row>
    <row r="46" spans="1:25" x14ac:dyDescent="0.3">
      <c r="P46" s="2" t="s">
        <v>150</v>
      </c>
      <c r="Q46" s="2" t="s">
        <v>85</v>
      </c>
      <c r="R46" s="2" t="s">
        <v>86</v>
      </c>
      <c r="S46" s="2" t="s">
        <v>87</v>
      </c>
      <c r="T46" s="2">
        <v>1247</v>
      </c>
      <c r="U46" s="59">
        <f t="shared" si="4"/>
        <v>3.3140016570008202E-2</v>
      </c>
      <c r="W46" s="22">
        <f t="shared" si="6"/>
        <v>3.3140016570008202E-2</v>
      </c>
      <c r="X46" s="105">
        <f t="shared" si="7"/>
        <v>759.52258991438703</v>
      </c>
      <c r="Y46" s="59">
        <f t="shared" si="9"/>
        <v>3.3140016570008202E-2</v>
      </c>
    </row>
    <row r="47" spans="1:25" x14ac:dyDescent="0.3">
      <c r="P47" s="2" t="s">
        <v>151</v>
      </c>
      <c r="Q47" s="2" t="s">
        <v>85</v>
      </c>
      <c r="R47" s="2" t="s">
        <v>86</v>
      </c>
      <c r="S47" s="2" t="s">
        <v>87</v>
      </c>
      <c r="T47" s="2">
        <v>1286</v>
      </c>
      <c r="U47" s="59">
        <f t="shared" si="4"/>
        <v>3.1275060144346334E-2</v>
      </c>
      <c r="W47" s="22">
        <f>U47</f>
        <v>3.1275060144346334E-2</v>
      </c>
      <c r="X47" s="105">
        <f t="shared" si="7"/>
        <v>783.27670459494914</v>
      </c>
      <c r="Y47" s="59">
        <f t="shared" si="9"/>
        <v>3.1275060144346334E-2</v>
      </c>
    </row>
    <row r="48" spans="1:25" x14ac:dyDescent="0.3">
      <c r="P48" s="2" t="s">
        <v>152</v>
      </c>
      <c r="Q48" s="2" t="s">
        <v>85</v>
      </c>
      <c r="R48" s="2" t="s">
        <v>86</v>
      </c>
      <c r="S48" s="2" t="s">
        <v>87</v>
      </c>
      <c r="T48" s="2">
        <v>1332</v>
      </c>
      <c r="U48" s="59">
        <f t="shared" si="4"/>
        <v>3.5769828926905056E-2</v>
      </c>
      <c r="V48" s="2" t="str">
        <f>B5</f>
        <v>2020/2021</v>
      </c>
      <c r="W48" s="88">
        <f>B7</f>
        <v>3.1E-2</v>
      </c>
      <c r="X48" s="105">
        <f t="shared" si="7"/>
        <v>807.55828243739245</v>
      </c>
      <c r="Y48" s="134">
        <f t="shared" si="9"/>
        <v>3.0999999999999917E-2</v>
      </c>
    </row>
    <row r="49" spans="1:30" x14ac:dyDescent="0.3">
      <c r="P49" s="2" t="s">
        <v>153</v>
      </c>
      <c r="Q49" s="2" t="s">
        <v>85</v>
      </c>
      <c r="R49" s="2" t="s">
        <v>86</v>
      </c>
      <c r="S49" s="2" t="s">
        <v>87</v>
      </c>
      <c r="T49" s="2">
        <v>1470</v>
      </c>
      <c r="U49" s="59">
        <f>T49/T48-1</f>
        <v>0.10360360360360366</v>
      </c>
      <c r="V49" s="2" t="str">
        <f>C5</f>
        <v>2021/2022</v>
      </c>
      <c r="W49" s="88">
        <f>C7</f>
        <v>0.127</v>
      </c>
      <c r="X49" s="105">
        <f t="shared" si="7"/>
        <v>910.11818430694132</v>
      </c>
      <c r="Y49" s="134">
        <f t="shared" si="9"/>
        <v>0.127</v>
      </c>
    </row>
    <row r="50" spans="1:30" x14ac:dyDescent="0.3">
      <c r="V50" s="2" t="str">
        <f>D5</f>
        <v>2022/23</v>
      </c>
      <c r="W50" s="88">
        <f>D7</f>
        <v>6.8000000000000005E-2</v>
      </c>
      <c r="X50" s="105">
        <f>X51/(1+W51)</f>
        <v>972.00622083981341</v>
      </c>
      <c r="Y50" s="134">
        <f t="shared" si="9"/>
        <v>6.800000000000006E-2</v>
      </c>
      <c r="AC50" s="88"/>
      <c r="AD50" s="88"/>
    </row>
    <row r="51" spans="1:30" x14ac:dyDescent="0.3">
      <c r="V51" s="2" t="str">
        <f>E5</f>
        <v>2023/24</v>
      </c>
      <c r="W51" s="88">
        <f>E7</f>
        <v>2.8799999999999999E-2</v>
      </c>
      <c r="X51" s="105">
        <v>1000</v>
      </c>
      <c r="Y51" s="134">
        <f t="shared" si="9"/>
        <v>2.8799999999999937E-2</v>
      </c>
    </row>
    <row r="52" spans="1:30" x14ac:dyDescent="0.3">
      <c r="B52" s="3"/>
      <c r="C52" s="3"/>
      <c r="V52" s="2" t="str">
        <f>F5</f>
        <v>2024/25</v>
      </c>
      <c r="W52" s="88">
        <f>F7</f>
        <v>2.76E-2</v>
      </c>
      <c r="X52" s="2">
        <f>X51*(1+W52)</f>
        <v>1027.6000000000001</v>
      </c>
      <c r="Y52" s="134">
        <f t="shared" si="9"/>
        <v>2.7600000000000069E-2</v>
      </c>
    </row>
    <row r="53" spans="1:30" x14ac:dyDescent="0.3">
      <c r="B53" s="22"/>
      <c r="V53" s="2" t="str">
        <f>G5</f>
        <v>2025/26</v>
      </c>
      <c r="W53" s="88">
        <f>G7</f>
        <v>2.87E-2</v>
      </c>
      <c r="X53" s="105">
        <f t="shared" ref="X53:X55" si="10">X52*(1+W53)</f>
        <v>1057.09212</v>
      </c>
      <c r="Y53" s="134">
        <f t="shared" si="9"/>
        <v>2.8699999999999948E-2</v>
      </c>
    </row>
    <row r="54" spans="1:30" x14ac:dyDescent="0.3">
      <c r="V54" s="2" t="str">
        <f>H5</f>
        <v>2026/27</v>
      </c>
      <c r="W54" s="88">
        <f>H7</f>
        <v>2.98E-2</v>
      </c>
      <c r="X54" s="105">
        <f t="shared" si="10"/>
        <v>1088.5934651760001</v>
      </c>
      <c r="Y54" s="134">
        <f t="shared" si="9"/>
        <v>2.9800000000000049E-2</v>
      </c>
    </row>
    <row r="55" spans="1:30" x14ac:dyDescent="0.3">
      <c r="V55" s="2" t="str">
        <f>I5</f>
        <v>Long-run projection</v>
      </c>
      <c r="W55" s="88">
        <f>I7</f>
        <v>3.1E-2</v>
      </c>
      <c r="X55" s="105">
        <f t="shared" si="10"/>
        <v>1122.339862596456</v>
      </c>
      <c r="Y55" s="134">
        <f t="shared" si="9"/>
        <v>3.0999999999999917E-2</v>
      </c>
    </row>
    <row r="57" spans="1:30" x14ac:dyDescent="0.3">
      <c r="A57" s="2" t="s">
        <v>154</v>
      </c>
    </row>
    <row r="58" spans="1:30" x14ac:dyDescent="0.3">
      <c r="A58" s="2" t="s">
        <v>155</v>
      </c>
      <c r="B58" s="2" t="s">
        <v>156</v>
      </c>
    </row>
    <row r="59" spans="1:30" x14ac:dyDescent="0.3">
      <c r="A59" s="2" t="s">
        <v>157</v>
      </c>
      <c r="B59" s="115">
        <v>725.91405521770662</v>
      </c>
    </row>
    <row r="60" spans="1:30" x14ac:dyDescent="0.3">
      <c r="A60" s="2" t="s">
        <v>158</v>
      </c>
      <c r="B60" s="115">
        <v>692.89877611904012</v>
      </c>
    </row>
    <row r="61" spans="1:30" x14ac:dyDescent="0.3">
      <c r="A61" s="2" t="s">
        <v>159</v>
      </c>
      <c r="B61" s="115">
        <v>131.33719736248318</v>
      </c>
    </row>
    <row r="62" spans="1:30" x14ac:dyDescent="0.3">
      <c r="A62" s="2" t="s">
        <v>160</v>
      </c>
      <c r="B62" s="115">
        <v>275.51688604689923</v>
      </c>
    </row>
    <row r="63" spans="1:30" x14ac:dyDescent="0.3">
      <c r="A63" s="2" t="s">
        <v>161</v>
      </c>
    </row>
    <row r="67" spans="1:7" x14ac:dyDescent="0.3">
      <c r="A67" s="2" t="s">
        <v>939</v>
      </c>
      <c r="C67" s="3">
        <v>0.3</v>
      </c>
      <c r="D67" s="2" t="s">
        <v>863</v>
      </c>
      <c r="E67" s="3">
        <f>1-C67</f>
        <v>0.7</v>
      </c>
    </row>
    <row r="68" spans="1:7" x14ac:dyDescent="0.3">
      <c r="A68" s="2" t="s">
        <v>162</v>
      </c>
    </row>
    <row r="70" spans="1:7" x14ac:dyDescent="0.3">
      <c r="A70" s="5" t="s">
        <v>163</v>
      </c>
      <c r="B70" s="8" t="s">
        <v>164</v>
      </c>
    </row>
    <row r="71" spans="1:7" x14ac:dyDescent="0.3">
      <c r="A71" s="2" t="s">
        <v>165</v>
      </c>
      <c r="B71" s="6">
        <v>4000</v>
      </c>
    </row>
    <row r="72" spans="1:7" x14ac:dyDescent="0.3">
      <c r="A72" s="2" t="s">
        <v>166</v>
      </c>
      <c r="B72" s="6">
        <v>51440</v>
      </c>
    </row>
    <row r="73" spans="1:7" x14ac:dyDescent="0.3">
      <c r="A73" s="2" t="s">
        <v>167</v>
      </c>
      <c r="B73" s="6">
        <v>823040</v>
      </c>
      <c r="C73" s="2" t="s">
        <v>168</v>
      </c>
      <c r="E73" s="6">
        <f>600000*(1+$E$7)</f>
        <v>617280</v>
      </c>
      <c r="F73" s="6">
        <f>800000*(1+$E$7)</f>
        <v>823040</v>
      </c>
      <c r="G73" s="6">
        <f>1200000*(1+$E$7)</f>
        <v>1234560</v>
      </c>
    </row>
    <row r="74" spans="1:7" x14ac:dyDescent="0.3">
      <c r="A74" s="2" t="s">
        <v>169</v>
      </c>
      <c r="B74" s="6">
        <v>102880</v>
      </c>
    </row>
    <row r="75" spans="1:7" x14ac:dyDescent="0.3">
      <c r="A75" s="2" t="s">
        <v>170</v>
      </c>
      <c r="B75" s="6">
        <v>61727.999999999993</v>
      </c>
    </row>
    <row r="76" spans="1:7" x14ac:dyDescent="0.3">
      <c r="A76" s="2" t="s">
        <v>171</v>
      </c>
      <c r="B76" s="6">
        <v>190122.23999999999</v>
      </c>
    </row>
    <row r="77" spans="1:7" x14ac:dyDescent="0.3">
      <c r="A77" s="2" t="s">
        <v>172</v>
      </c>
      <c r="B77" s="6">
        <v>308640</v>
      </c>
    </row>
    <row r="78" spans="1:7" x14ac:dyDescent="0.3">
      <c r="A78" s="2" t="s">
        <v>173</v>
      </c>
      <c r="B78" s="6">
        <v>82304</v>
      </c>
    </row>
    <row r="79" spans="1:7" x14ac:dyDescent="0.3">
      <c r="A79" s="2" t="s">
        <v>174</v>
      </c>
      <c r="B79" s="6">
        <v>88476.799999999988</v>
      </c>
    </row>
    <row r="80" spans="1:7" x14ac:dyDescent="0.3">
      <c r="A80" s="2" t="s">
        <v>175</v>
      </c>
      <c r="B80" s="6">
        <v>154320</v>
      </c>
    </row>
    <row r="81" spans="1:3" x14ac:dyDescent="0.3">
      <c r="A81" s="2" t="s">
        <v>176</v>
      </c>
      <c r="B81" s="6">
        <v>1862951.04</v>
      </c>
    </row>
    <row r="82" spans="1:3" x14ac:dyDescent="0.3">
      <c r="A82" s="2" t="s">
        <v>177</v>
      </c>
      <c r="B82" s="6">
        <v>2771595.1044761599</v>
      </c>
      <c r="C82" s="116">
        <f>B82/B81-1</f>
        <v>0.48774446830130325</v>
      </c>
    </row>
    <row r="83" spans="1:3" x14ac:dyDescent="0.3">
      <c r="A83" s="2" t="s">
        <v>178</v>
      </c>
      <c r="B83" s="6">
        <v>692.89877611904001</v>
      </c>
    </row>
    <row r="84" spans="1:3" x14ac:dyDescent="0.3">
      <c r="A84" s="2" t="s">
        <v>179</v>
      </c>
      <c r="B84" s="6"/>
      <c r="C84" s="3">
        <v>0.1</v>
      </c>
    </row>
    <row r="85" spans="1:3" x14ac:dyDescent="0.3">
      <c r="A85" s="2" t="s">
        <v>180</v>
      </c>
      <c r="B85" s="6"/>
      <c r="C85" s="3">
        <v>0.1</v>
      </c>
    </row>
    <row r="87" spans="1:3" x14ac:dyDescent="0.3">
      <c r="A87" s="2" t="s">
        <v>181</v>
      </c>
    </row>
    <row r="88" spans="1:3" x14ac:dyDescent="0.3">
      <c r="A88" s="2" t="s">
        <v>182</v>
      </c>
      <c r="B88" s="6">
        <v>306.11830179767617</v>
      </c>
      <c r="C88" s="2" t="s">
        <v>183</v>
      </c>
    </row>
    <row r="89" spans="1:3" x14ac:dyDescent="0.3">
      <c r="A89" s="2" t="s">
        <v>184</v>
      </c>
      <c r="B89" s="6">
        <v>765.29575449419042</v>
      </c>
    </row>
    <row r="90" spans="1:3" x14ac:dyDescent="0.3">
      <c r="A90" s="2" t="s">
        <v>185</v>
      </c>
      <c r="B90" s="6">
        <v>1602.0476952156625</v>
      </c>
    </row>
  </sheetData>
  <sheetProtection algorithmName="SHA-512" hashValue="RvE5tJMFS6W3J8YUiSUuraqmrFKA2wwDlk8iYv6FAmCSz1cZDoU8QftjfT4Jsev7u7Gwh9PX0xmZW8FB9PfsHA==" saltValue="EYMm+eTPQKdZu2Y+NwIJjg==" spinCount="100000" sheet="1" objects="1" scenarios="1"/>
  <phoneticPr fontId="1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7561C-868F-41A4-8911-788C4864A605}">
  <dimension ref="A1:F17"/>
  <sheetViews>
    <sheetView workbookViewId="0">
      <selection activeCell="H8" sqref="H8"/>
    </sheetView>
  </sheetViews>
  <sheetFormatPr defaultRowHeight="14.4" x14ac:dyDescent="0.3"/>
  <cols>
    <col min="1" max="1" width="16.5546875" customWidth="1"/>
    <col min="8" max="8" width="10.109375" customWidth="1"/>
    <col min="12" max="12" width="8.33203125" customWidth="1"/>
  </cols>
  <sheetData>
    <row r="1" spans="1:6" ht="15" thickBot="1" x14ac:dyDescent="0.35"/>
    <row r="2" spans="1:6" ht="15" thickBot="1" x14ac:dyDescent="0.35">
      <c r="A2" s="153" t="s">
        <v>212</v>
      </c>
      <c r="B2" s="154" t="s">
        <v>213</v>
      </c>
    </row>
    <row r="3" spans="1:6" x14ac:dyDescent="0.3">
      <c r="A3" s="155" t="s">
        <v>214</v>
      </c>
      <c r="B3" s="156">
        <v>30000</v>
      </c>
    </row>
    <row r="4" spans="1:6" ht="27.6" x14ac:dyDescent="0.3">
      <c r="A4" s="157" t="s">
        <v>215</v>
      </c>
      <c r="B4" s="158">
        <v>4000</v>
      </c>
    </row>
    <row r="5" spans="1:6" x14ac:dyDescent="0.3">
      <c r="A5" s="159" t="s">
        <v>216</v>
      </c>
      <c r="B5" s="158">
        <v>100000</v>
      </c>
    </row>
    <row r="6" spans="1:6" x14ac:dyDescent="0.3">
      <c r="A6" s="159" t="s">
        <v>217</v>
      </c>
      <c r="B6" s="158">
        <v>1000</v>
      </c>
    </row>
    <row r="7" spans="1:6" ht="15" thickBot="1" x14ac:dyDescent="0.35">
      <c r="A7" s="160" t="s">
        <v>218</v>
      </c>
      <c r="B7" s="161">
        <v>2000</v>
      </c>
    </row>
    <row r="8" spans="1:6" x14ac:dyDescent="0.3">
      <c r="A8" s="2"/>
      <c r="B8" s="2"/>
    </row>
    <row r="9" spans="1:6" x14ac:dyDescent="0.3">
      <c r="A9" s="2"/>
      <c r="B9" s="2"/>
    </row>
    <row r="10" spans="1:6" x14ac:dyDescent="0.3">
      <c r="A10" s="4" t="s">
        <v>219</v>
      </c>
    </row>
    <row r="11" spans="1:6" x14ac:dyDescent="0.3">
      <c r="A11" s="135" t="s">
        <v>220</v>
      </c>
      <c r="B11" s="136" t="s">
        <v>221</v>
      </c>
      <c r="C11" s="137" t="s">
        <v>222</v>
      </c>
      <c r="D11" s="138" t="s">
        <v>223</v>
      </c>
      <c r="E11" s="139" t="s">
        <v>224</v>
      </c>
      <c r="F11" s="140" t="s">
        <v>225</v>
      </c>
    </row>
    <row r="12" spans="1:6" x14ac:dyDescent="0.3">
      <c r="A12" s="141" t="s">
        <v>226</v>
      </c>
      <c r="B12" s="261" t="s">
        <v>227</v>
      </c>
      <c r="C12" s="142">
        <v>0.1</v>
      </c>
      <c r="D12" s="143">
        <v>0.1</v>
      </c>
      <c r="E12" s="144">
        <v>0.4</v>
      </c>
      <c r="F12" s="145">
        <v>0.4</v>
      </c>
    </row>
    <row r="13" spans="1:6" x14ac:dyDescent="0.3">
      <c r="A13" s="141" t="s">
        <v>228</v>
      </c>
      <c r="B13" s="261"/>
      <c r="C13" s="142">
        <v>0.1</v>
      </c>
      <c r="D13" s="143">
        <v>0.9</v>
      </c>
      <c r="E13" s="146"/>
      <c r="F13" s="147"/>
    </row>
    <row r="14" spans="1:6" x14ac:dyDescent="0.3">
      <c r="A14" s="141" t="s">
        <v>229</v>
      </c>
      <c r="B14" s="261"/>
      <c r="C14" s="142">
        <f>C12</f>
        <v>0.1</v>
      </c>
      <c r="D14" s="143">
        <f t="shared" ref="D14:F14" si="0">D12</f>
        <v>0.1</v>
      </c>
      <c r="E14" s="144">
        <f t="shared" si="0"/>
        <v>0.4</v>
      </c>
      <c r="F14" s="145">
        <f t="shared" si="0"/>
        <v>0.4</v>
      </c>
    </row>
    <row r="15" spans="1:6" x14ac:dyDescent="0.3">
      <c r="A15" s="141" t="s">
        <v>230</v>
      </c>
      <c r="B15" s="261"/>
      <c r="C15" s="142">
        <f>C13</f>
        <v>0.1</v>
      </c>
      <c r="D15" s="143">
        <f>D13</f>
        <v>0.9</v>
      </c>
      <c r="E15" s="146"/>
      <c r="F15" s="147"/>
    </row>
    <row r="16" spans="1:6" x14ac:dyDescent="0.3">
      <c r="A16" s="148" t="s">
        <v>231</v>
      </c>
      <c r="B16" s="262"/>
      <c r="C16" s="149">
        <f>C15</f>
        <v>0.1</v>
      </c>
      <c r="D16" s="150">
        <f>D15</f>
        <v>0.9</v>
      </c>
      <c r="E16" s="151"/>
      <c r="F16" s="152"/>
    </row>
    <row r="17" spans="2:2" x14ac:dyDescent="0.3">
      <c r="B17" t="s">
        <v>232</v>
      </c>
    </row>
  </sheetData>
  <sheetProtection algorithmName="SHA-512" hashValue="iudrcRxY3juE0oKDzn4xgf/pTWvRx8p7VnD0WlaLMPk2WLbOez62ZwxozJip0QaB/Qq4jMvtCXLEXnwzI5PIjQ==" saltValue="NUZUXwQd+1uTBGiFEbZ2AA==" spinCount="100000" sheet="1" objects="1" scenarios="1"/>
  <mergeCells count="1">
    <mergeCell ref="B12:B1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A1A52-7671-417E-917B-DBEBFF72C993}">
  <dimension ref="A1:G110"/>
  <sheetViews>
    <sheetView workbookViewId="0">
      <selection activeCell="E32" sqref="E32"/>
    </sheetView>
  </sheetViews>
  <sheetFormatPr defaultColWidth="64" defaultRowHeight="13.8" x14ac:dyDescent="0.3"/>
  <cols>
    <col min="1" max="1" width="16.5546875" style="213" customWidth="1"/>
    <col min="2" max="2" width="25.5546875" style="213" customWidth="1"/>
    <col min="3" max="6" width="9.5546875" style="213" customWidth="1"/>
    <col min="7" max="7" width="39.5546875" style="213" customWidth="1"/>
    <col min="8" max="8" width="6.5546875" style="213" customWidth="1"/>
    <col min="9" max="9" width="7.6640625" style="213" customWidth="1"/>
    <col min="10" max="32" width="6.5546875" style="213" customWidth="1"/>
    <col min="33" max="16384" width="64" style="213"/>
  </cols>
  <sheetData>
    <row r="1" spans="1:7" x14ac:dyDescent="0.3">
      <c r="A1" s="213" t="s">
        <v>942</v>
      </c>
    </row>
    <row r="2" spans="1:7" x14ac:dyDescent="0.3">
      <c r="A2" s="221"/>
      <c r="B2" s="263"/>
      <c r="C2" s="263"/>
      <c r="D2" s="263"/>
      <c r="E2" s="263"/>
      <c r="F2" s="263"/>
      <c r="G2" s="264"/>
    </row>
    <row r="3" spans="1:7" x14ac:dyDescent="0.3">
      <c r="A3" s="221"/>
      <c r="B3" s="222"/>
      <c r="C3" s="223"/>
      <c r="D3" s="223"/>
      <c r="E3" s="223"/>
      <c r="F3" s="224"/>
      <c r="G3" s="225"/>
    </row>
    <row r="4" spans="1:7" x14ac:dyDescent="0.3">
      <c r="A4" s="221" t="s">
        <v>233</v>
      </c>
      <c r="B4" s="226"/>
      <c r="C4" s="227"/>
      <c r="D4" s="227"/>
      <c r="E4" s="227"/>
      <c r="F4" s="227"/>
      <c r="G4" s="228"/>
    </row>
    <row r="5" spans="1:7" x14ac:dyDescent="0.3">
      <c r="A5" s="221" t="s">
        <v>233</v>
      </c>
      <c r="B5" s="226"/>
      <c r="C5" s="227"/>
      <c r="D5" s="227"/>
      <c r="E5" s="227"/>
      <c r="F5" s="227"/>
      <c r="G5" s="229"/>
    </row>
    <row r="6" spans="1:7" x14ac:dyDescent="0.3">
      <c r="A6" s="221" t="s">
        <v>233</v>
      </c>
      <c r="B6" s="226"/>
      <c r="C6" s="227"/>
      <c r="D6" s="227"/>
      <c r="E6" s="227"/>
      <c r="F6" s="227"/>
      <c r="G6" s="229"/>
    </row>
    <row r="7" spans="1:7" x14ac:dyDescent="0.3">
      <c r="A7" s="221" t="str">
        <f>A6</f>
        <v>Inner North-West</v>
      </c>
      <c r="B7" s="226"/>
      <c r="C7" s="227"/>
      <c r="D7" s="227"/>
      <c r="E7" s="227"/>
      <c r="F7" s="227"/>
      <c r="G7" s="229"/>
    </row>
    <row r="8" spans="1:7" x14ac:dyDescent="0.3">
      <c r="A8" s="221" t="s">
        <v>233</v>
      </c>
      <c r="B8" s="226"/>
      <c r="C8" s="227"/>
      <c r="D8" s="227"/>
      <c r="E8" s="227"/>
      <c r="F8" s="227"/>
      <c r="G8" s="229"/>
    </row>
    <row r="9" spans="1:7" x14ac:dyDescent="0.3">
      <c r="A9" s="221" t="s">
        <v>233</v>
      </c>
      <c r="B9" s="226"/>
      <c r="C9" s="227"/>
      <c r="D9" s="227"/>
      <c r="E9" s="227"/>
      <c r="F9" s="227"/>
      <c r="G9" s="229"/>
    </row>
    <row r="10" spans="1:7" x14ac:dyDescent="0.3">
      <c r="A10" s="221" t="s">
        <v>233</v>
      </c>
      <c r="B10" s="226"/>
      <c r="C10" s="227"/>
      <c r="D10" s="227"/>
      <c r="E10" s="227"/>
      <c r="F10" s="227"/>
      <c r="G10" s="229"/>
    </row>
    <row r="11" spans="1:7" x14ac:dyDescent="0.3">
      <c r="A11" s="221" t="s">
        <v>233</v>
      </c>
      <c r="B11" s="226"/>
      <c r="C11" s="227"/>
      <c r="D11" s="227"/>
      <c r="E11" s="227"/>
      <c r="F11" s="227"/>
      <c r="G11" s="228"/>
    </row>
    <row r="12" spans="1:7" x14ac:dyDescent="0.3">
      <c r="A12" s="221" t="s">
        <v>233</v>
      </c>
      <c r="B12" s="226"/>
      <c r="C12" s="230"/>
      <c r="D12" s="231"/>
      <c r="E12" s="231"/>
      <c r="F12" s="232"/>
      <c r="G12" s="228"/>
    </row>
    <row r="13" spans="1:7" x14ac:dyDescent="0.3">
      <c r="A13" s="221" t="s">
        <v>240</v>
      </c>
      <c r="B13" s="226"/>
      <c r="C13" s="227"/>
      <c r="D13" s="227"/>
      <c r="E13" s="227"/>
      <c r="F13" s="233"/>
      <c r="G13" s="229"/>
    </row>
    <row r="14" spans="1:7" x14ac:dyDescent="0.3">
      <c r="A14" s="221" t="s">
        <v>240</v>
      </c>
      <c r="B14" s="226"/>
      <c r="C14" s="227"/>
      <c r="D14" s="227"/>
      <c r="E14" s="227"/>
      <c r="F14" s="233"/>
      <c r="G14" s="229"/>
    </row>
    <row r="15" spans="1:7" x14ac:dyDescent="0.3">
      <c r="A15" s="234" t="s">
        <v>88</v>
      </c>
      <c r="B15" s="235"/>
      <c r="C15" s="236"/>
      <c r="D15" s="236"/>
      <c r="E15" s="236"/>
      <c r="F15" s="236"/>
      <c r="G15" s="237"/>
    </row>
    <row r="16" spans="1:7" x14ac:dyDescent="0.3">
      <c r="A16" s="234" t="s">
        <v>88</v>
      </c>
      <c r="B16" s="235"/>
      <c r="C16" s="236"/>
      <c r="D16" s="236"/>
      <c r="E16" s="236"/>
      <c r="F16" s="236"/>
      <c r="G16" s="237"/>
    </row>
    <row r="17" spans="1:7" x14ac:dyDescent="0.3">
      <c r="A17" s="234" t="s">
        <v>88</v>
      </c>
      <c r="B17" s="235"/>
      <c r="C17" s="236"/>
      <c r="D17" s="236"/>
      <c r="E17" s="236"/>
      <c r="F17" s="236"/>
      <c r="G17" s="237"/>
    </row>
    <row r="18" spans="1:7" x14ac:dyDescent="0.3">
      <c r="A18" s="234" t="s">
        <v>88</v>
      </c>
      <c r="B18" s="235"/>
      <c r="C18" s="236"/>
      <c r="D18" s="236"/>
      <c r="E18" s="236"/>
      <c r="F18" s="236"/>
      <c r="G18" s="237"/>
    </row>
    <row r="19" spans="1:7" x14ac:dyDescent="0.3">
      <c r="A19" s="234" t="s">
        <v>88</v>
      </c>
      <c r="B19" s="235"/>
      <c r="C19" s="236"/>
      <c r="D19" s="236"/>
      <c r="E19" s="236"/>
      <c r="F19" s="236"/>
      <c r="G19" s="237"/>
    </row>
    <row r="20" spans="1:7" x14ac:dyDescent="0.3">
      <c r="A20" s="234" t="str">
        <f>A19</f>
        <v>Warkworth</v>
      </c>
      <c r="B20" s="235"/>
      <c r="C20" s="236"/>
      <c r="D20" s="236"/>
      <c r="E20" s="236"/>
      <c r="F20" s="236"/>
      <c r="G20" s="237"/>
    </row>
    <row r="21" spans="1:7" x14ac:dyDescent="0.3">
      <c r="A21" s="234" t="str">
        <f>A20</f>
        <v>Warkworth</v>
      </c>
      <c r="B21" s="235"/>
      <c r="C21" s="236"/>
      <c r="D21" s="236"/>
      <c r="E21" s="236"/>
      <c r="F21" s="236"/>
      <c r="G21" s="237"/>
    </row>
    <row r="22" spans="1:7" x14ac:dyDescent="0.3">
      <c r="A22" s="234" t="s">
        <v>247</v>
      </c>
      <c r="B22" s="235"/>
      <c r="C22" s="236"/>
      <c r="D22" s="236"/>
      <c r="E22" s="236"/>
      <c r="F22" s="236"/>
      <c r="G22" s="237"/>
    </row>
    <row r="23" spans="1:7" x14ac:dyDescent="0.3">
      <c r="A23" s="234" t="s">
        <v>247</v>
      </c>
      <c r="B23" s="235"/>
      <c r="C23" s="236"/>
      <c r="D23" s="236"/>
      <c r="E23" s="236"/>
      <c r="F23" s="236"/>
      <c r="G23" s="237"/>
    </row>
    <row r="24" spans="1:7" x14ac:dyDescent="0.3">
      <c r="A24" s="234" t="s">
        <v>247</v>
      </c>
      <c r="B24" s="235"/>
      <c r="C24" s="236"/>
      <c r="D24" s="236"/>
      <c r="E24" s="236"/>
      <c r="F24" s="236"/>
      <c r="G24" s="237"/>
    </row>
    <row r="25" spans="1:7" x14ac:dyDescent="0.3">
      <c r="A25" s="234" t="s">
        <v>247</v>
      </c>
      <c r="B25" s="235"/>
      <c r="C25" s="236"/>
      <c r="D25" s="236"/>
      <c r="E25" s="236"/>
      <c r="F25" s="236"/>
      <c r="G25" s="237"/>
    </row>
    <row r="26" spans="1:7" x14ac:dyDescent="0.3">
      <c r="A26" s="234" t="s">
        <v>247</v>
      </c>
      <c r="B26" s="235"/>
      <c r="C26" s="236"/>
      <c r="D26" s="236"/>
      <c r="E26" s="236"/>
      <c r="F26" s="236"/>
      <c r="G26" s="237"/>
    </row>
    <row r="27" spans="1:7" x14ac:dyDescent="0.3">
      <c r="A27" s="234" t="s">
        <v>247</v>
      </c>
      <c r="B27" s="235"/>
      <c r="C27" s="238"/>
      <c r="D27" s="236"/>
      <c r="E27" s="236"/>
      <c r="F27" s="236"/>
      <c r="G27" s="229"/>
    </row>
    <row r="28" spans="1:7" x14ac:dyDescent="0.3">
      <c r="A28" s="234" t="s">
        <v>247</v>
      </c>
      <c r="B28" s="235"/>
      <c r="C28" s="227"/>
      <c r="D28" s="236"/>
      <c r="E28" s="236"/>
      <c r="F28" s="236"/>
      <c r="G28" s="229"/>
    </row>
    <row r="29" spans="1:7" x14ac:dyDescent="0.3">
      <c r="A29" s="234" t="s">
        <v>130</v>
      </c>
      <c r="B29" s="235"/>
      <c r="C29" s="227"/>
      <c r="D29" s="227"/>
      <c r="E29" s="227"/>
      <c r="F29" s="233"/>
      <c r="G29" s="229"/>
    </row>
    <row r="30" spans="1:7" x14ac:dyDescent="0.3">
      <c r="A30" s="234" t="s">
        <v>250</v>
      </c>
      <c r="B30" s="235"/>
      <c r="C30" s="227"/>
      <c r="D30" s="227"/>
      <c r="E30" s="227"/>
      <c r="F30" s="233"/>
      <c r="G30" s="229"/>
    </row>
    <row r="31" spans="1:7" x14ac:dyDescent="0.3">
      <c r="A31" s="234" t="s">
        <v>251</v>
      </c>
      <c r="B31" s="239"/>
      <c r="C31" s="227"/>
      <c r="D31" s="227"/>
      <c r="E31" s="227"/>
      <c r="F31" s="227"/>
      <c r="G31" s="229"/>
    </row>
    <row r="32" spans="1:7" x14ac:dyDescent="0.3">
      <c r="A32" s="234" t="s">
        <v>251</v>
      </c>
      <c r="B32" s="239"/>
      <c r="C32" s="227"/>
      <c r="D32" s="227"/>
      <c r="E32" s="227"/>
      <c r="F32" s="227"/>
      <c r="G32" s="229"/>
    </row>
    <row r="33" spans="1:7" x14ac:dyDescent="0.3">
      <c r="A33" s="234" t="s">
        <v>251</v>
      </c>
      <c r="B33" s="239"/>
      <c r="C33" s="227"/>
      <c r="D33" s="227"/>
      <c r="E33" s="227"/>
      <c r="F33" s="227"/>
      <c r="G33" s="229"/>
    </row>
    <row r="34" spans="1:7" x14ac:dyDescent="0.3">
      <c r="A34" s="234" t="s">
        <v>251</v>
      </c>
      <c r="B34" s="239"/>
      <c r="C34" s="227"/>
      <c r="D34" s="227"/>
      <c r="E34" s="227"/>
      <c r="F34" s="227"/>
      <c r="G34" s="229"/>
    </row>
    <row r="35" spans="1:7" x14ac:dyDescent="0.3">
      <c r="A35" s="234" t="s">
        <v>251</v>
      </c>
      <c r="B35" s="239"/>
      <c r="C35" s="227"/>
      <c r="D35" s="227"/>
      <c r="E35" s="227"/>
      <c r="F35" s="227"/>
      <c r="G35" s="229"/>
    </row>
    <row r="36" spans="1:7" x14ac:dyDescent="0.3">
      <c r="A36" s="234" t="s">
        <v>251</v>
      </c>
      <c r="B36" s="239"/>
      <c r="C36" s="227"/>
      <c r="D36" s="227"/>
      <c r="E36" s="227"/>
      <c r="F36" s="227"/>
      <c r="G36" s="228"/>
    </row>
    <row r="37" spans="1:7" x14ac:dyDescent="0.3">
      <c r="A37" s="234" t="s">
        <v>251</v>
      </c>
      <c r="B37" s="239"/>
      <c r="C37" s="230"/>
      <c r="D37" s="231"/>
      <c r="E37" s="231"/>
      <c r="F37" s="232"/>
      <c r="G37" s="229"/>
    </row>
    <row r="38" spans="1:7" ht="45" customHeight="1" x14ac:dyDescent="0.3">
      <c r="A38" s="234" t="s">
        <v>251</v>
      </c>
      <c r="B38" s="239"/>
      <c r="C38" s="227"/>
      <c r="D38" s="227"/>
      <c r="E38" s="227"/>
      <c r="F38" s="227"/>
      <c r="G38" s="228"/>
    </row>
    <row r="39" spans="1:7" x14ac:dyDescent="0.3">
      <c r="A39" s="234" t="s">
        <v>251</v>
      </c>
      <c r="B39" s="239"/>
      <c r="C39" s="230"/>
      <c r="D39" s="231"/>
      <c r="E39" s="231"/>
      <c r="F39" s="232"/>
      <c r="G39" s="229"/>
    </row>
    <row r="40" spans="1:7" x14ac:dyDescent="0.3">
      <c r="A40" s="234" t="s">
        <v>260</v>
      </c>
      <c r="B40" s="235"/>
      <c r="C40" s="236"/>
      <c r="D40" s="236"/>
      <c r="E40" s="236"/>
      <c r="F40" s="236"/>
      <c r="G40" s="237"/>
    </row>
    <row r="41" spans="1:7" x14ac:dyDescent="0.3">
      <c r="A41" s="234" t="s">
        <v>260</v>
      </c>
      <c r="B41" s="235"/>
      <c r="C41" s="236"/>
      <c r="D41" s="236"/>
      <c r="E41" s="236"/>
      <c r="F41" s="236"/>
      <c r="G41" s="237"/>
    </row>
    <row r="42" spans="1:7" x14ac:dyDescent="0.3">
      <c r="A42" s="234" t="s">
        <v>260</v>
      </c>
      <c r="B42" s="235"/>
      <c r="C42" s="236"/>
      <c r="D42" s="236"/>
      <c r="E42" s="236"/>
      <c r="F42" s="236"/>
      <c r="G42" s="237"/>
    </row>
    <row r="43" spans="1:7" x14ac:dyDescent="0.3">
      <c r="A43" s="240" t="s">
        <v>264</v>
      </c>
      <c r="B43" s="226"/>
      <c r="C43" s="227"/>
      <c r="D43" s="227"/>
      <c r="E43" s="227"/>
      <c r="F43" s="227"/>
      <c r="G43" s="241"/>
    </row>
    <row r="44" spans="1:7" x14ac:dyDescent="0.3">
      <c r="A44" s="240" t="s">
        <v>264</v>
      </c>
      <c r="B44" s="226"/>
      <c r="C44" s="227"/>
      <c r="D44" s="227"/>
      <c r="E44" s="227"/>
      <c r="F44" s="227"/>
      <c r="G44" s="241"/>
    </row>
    <row r="45" spans="1:7" x14ac:dyDescent="0.3">
      <c r="A45" s="240" t="s">
        <v>264</v>
      </c>
      <c r="B45" s="226"/>
      <c r="C45" s="227"/>
      <c r="D45" s="227"/>
      <c r="E45" s="227"/>
      <c r="F45" s="227"/>
      <c r="G45" s="241"/>
    </row>
    <row r="46" spans="1:7" x14ac:dyDescent="0.3">
      <c r="A46" s="240" t="s">
        <v>264</v>
      </c>
      <c r="B46" s="226"/>
      <c r="C46" s="227"/>
      <c r="D46" s="227"/>
      <c r="E46" s="227"/>
      <c r="F46" s="227"/>
      <c r="G46" s="241"/>
    </row>
    <row r="47" spans="1:7" x14ac:dyDescent="0.3">
      <c r="A47" s="240" t="s">
        <v>264</v>
      </c>
      <c r="B47" s="226"/>
      <c r="C47" s="227"/>
      <c r="D47" s="227"/>
      <c r="E47" s="227"/>
      <c r="F47" s="227"/>
      <c r="G47" s="241"/>
    </row>
    <row r="48" spans="1:7" x14ac:dyDescent="0.3">
      <c r="A48" s="240" t="s">
        <v>264</v>
      </c>
      <c r="B48" s="226"/>
      <c r="C48" s="227"/>
      <c r="D48" s="227"/>
      <c r="E48" s="227"/>
      <c r="F48" s="227"/>
      <c r="G48" s="241"/>
    </row>
    <row r="49" spans="1:7" x14ac:dyDescent="0.3">
      <c r="A49" s="240" t="s">
        <v>264</v>
      </c>
      <c r="B49" s="226"/>
      <c r="C49" s="227"/>
      <c r="D49" s="227"/>
      <c r="E49" s="227"/>
      <c r="F49" s="227"/>
      <c r="G49" s="241"/>
    </row>
    <row r="50" spans="1:7" x14ac:dyDescent="0.3">
      <c r="A50" s="240" t="s">
        <v>264</v>
      </c>
      <c r="B50" s="244"/>
      <c r="C50" s="227"/>
      <c r="D50" s="227"/>
      <c r="E50" s="227"/>
      <c r="F50" s="227"/>
      <c r="G50" s="241"/>
    </row>
    <row r="51" spans="1:7" x14ac:dyDescent="0.3">
      <c r="G51" s="242"/>
    </row>
    <row r="52" spans="1:7" x14ac:dyDescent="0.3">
      <c r="A52" s="221" t="s">
        <v>271</v>
      </c>
      <c r="G52" s="242"/>
    </row>
    <row r="53" spans="1:7" x14ac:dyDescent="0.3">
      <c r="A53" s="213" t="s">
        <v>233</v>
      </c>
      <c r="G53" s="242"/>
    </row>
    <row r="54" spans="1:7" x14ac:dyDescent="0.3">
      <c r="A54" s="213" t="s">
        <v>233</v>
      </c>
      <c r="G54" s="242"/>
    </row>
    <row r="55" spans="1:7" x14ac:dyDescent="0.3">
      <c r="A55" s="213" t="s">
        <v>233</v>
      </c>
      <c r="B55" s="226"/>
      <c r="G55" s="242"/>
    </row>
    <row r="58" spans="1:7" x14ac:dyDescent="0.3">
      <c r="A58" s="243" t="s">
        <v>272</v>
      </c>
      <c r="B58" s="243"/>
      <c r="C58" s="243"/>
      <c r="D58" s="243"/>
      <c r="E58" s="243"/>
      <c r="F58" s="243"/>
    </row>
    <row r="59" spans="1:7" x14ac:dyDescent="0.3">
      <c r="A59" s="213" t="str">
        <f t="shared" ref="A59:A68" si="0">A4</f>
        <v>Inner North-West</v>
      </c>
    </row>
    <row r="60" spans="1:7" x14ac:dyDescent="0.3">
      <c r="A60" s="213" t="str">
        <f t="shared" si="0"/>
        <v>Inner North-West</v>
      </c>
    </row>
    <row r="61" spans="1:7" x14ac:dyDescent="0.3">
      <c r="A61" s="213" t="str">
        <f t="shared" si="0"/>
        <v>Inner North-West</v>
      </c>
    </row>
    <row r="62" spans="1:7" x14ac:dyDescent="0.3">
      <c r="A62" s="213" t="str">
        <f t="shared" si="0"/>
        <v>Inner North-West</v>
      </c>
    </row>
    <row r="63" spans="1:7" x14ac:dyDescent="0.3">
      <c r="A63" s="213" t="str">
        <f t="shared" si="0"/>
        <v>Inner North-West</v>
      </c>
    </row>
    <row r="64" spans="1:7" x14ac:dyDescent="0.3">
      <c r="A64" s="213" t="str">
        <f t="shared" si="0"/>
        <v>Inner North-West</v>
      </c>
    </row>
    <row r="65" spans="1:1" x14ac:dyDescent="0.3">
      <c r="A65" s="213" t="str">
        <f t="shared" si="0"/>
        <v>Inner North-West</v>
      </c>
    </row>
    <row r="66" spans="1:1" x14ac:dyDescent="0.3">
      <c r="A66" s="213" t="str">
        <f t="shared" si="0"/>
        <v>Inner North-West</v>
      </c>
    </row>
    <row r="67" spans="1:1" x14ac:dyDescent="0.3">
      <c r="A67" s="213" t="str">
        <f t="shared" si="0"/>
        <v>Inner North-West</v>
      </c>
    </row>
    <row r="68" spans="1:1" x14ac:dyDescent="0.3">
      <c r="A68" s="213" t="str">
        <f t="shared" si="0"/>
        <v>Northwest</v>
      </c>
    </row>
    <row r="69" spans="1:1" x14ac:dyDescent="0.3">
      <c r="A69" s="213" t="str">
        <f t="shared" ref="A69:A74" si="1">A14</f>
        <v>Northwest</v>
      </c>
    </row>
    <row r="70" spans="1:1" x14ac:dyDescent="0.3">
      <c r="A70" s="213" t="str">
        <f t="shared" si="1"/>
        <v>Warkworth</v>
      </c>
    </row>
    <row r="71" spans="1:1" x14ac:dyDescent="0.3">
      <c r="A71" s="213" t="str">
        <f t="shared" si="1"/>
        <v>Warkworth</v>
      </c>
    </row>
    <row r="72" spans="1:1" x14ac:dyDescent="0.3">
      <c r="A72" s="213" t="str">
        <f t="shared" si="1"/>
        <v>Warkworth</v>
      </c>
    </row>
    <row r="73" spans="1:1" x14ac:dyDescent="0.3">
      <c r="A73" s="213" t="str">
        <f t="shared" si="1"/>
        <v>Warkworth</v>
      </c>
    </row>
    <row r="74" spans="1:1" x14ac:dyDescent="0.3">
      <c r="A74" s="213" t="str">
        <f t="shared" si="1"/>
        <v>Warkworth</v>
      </c>
    </row>
    <row r="75" spans="1:1" x14ac:dyDescent="0.3">
      <c r="A75" s="213" t="str">
        <f t="shared" ref="A75" si="2">A20</f>
        <v>Warkworth</v>
      </c>
    </row>
    <row r="76" spans="1:1" x14ac:dyDescent="0.3">
      <c r="A76" s="213" t="str">
        <f t="shared" ref="A76" si="3">A21</f>
        <v>Warkworth</v>
      </c>
    </row>
    <row r="77" spans="1:1" x14ac:dyDescent="0.3">
      <c r="A77" s="213" t="str">
        <f t="shared" ref="A77:A86" si="4">A22</f>
        <v>North</v>
      </c>
    </row>
    <row r="78" spans="1:1" x14ac:dyDescent="0.3">
      <c r="A78" s="213" t="str">
        <f t="shared" si="4"/>
        <v>North</v>
      </c>
    </row>
    <row r="79" spans="1:1" x14ac:dyDescent="0.3">
      <c r="A79" s="213" t="str">
        <f t="shared" si="4"/>
        <v>North</v>
      </c>
    </row>
    <row r="80" spans="1:1" x14ac:dyDescent="0.3">
      <c r="A80" s="213" t="str">
        <f t="shared" si="4"/>
        <v>North</v>
      </c>
    </row>
    <row r="81" spans="1:1" x14ac:dyDescent="0.3">
      <c r="A81" s="213" t="str">
        <f t="shared" si="4"/>
        <v>North</v>
      </c>
    </row>
    <row r="82" spans="1:1" x14ac:dyDescent="0.3">
      <c r="A82" s="213" t="str">
        <f t="shared" si="4"/>
        <v>North</v>
      </c>
    </row>
    <row r="83" spans="1:1" x14ac:dyDescent="0.3">
      <c r="A83" s="213" t="str">
        <f t="shared" si="4"/>
        <v>North</v>
      </c>
    </row>
    <row r="84" spans="1:1" x14ac:dyDescent="0.3">
      <c r="A84" s="213" t="str">
        <f t="shared" si="4"/>
        <v>Puhinui</v>
      </c>
    </row>
    <row r="85" spans="1:1" x14ac:dyDescent="0.3">
      <c r="A85" s="213" t="str">
        <f t="shared" si="4"/>
        <v>Takaanini &amp; Cosgrave Road</v>
      </c>
    </row>
    <row r="86" spans="1:1" x14ac:dyDescent="0.3">
      <c r="A86" s="213" t="str">
        <f t="shared" si="4"/>
        <v>Drury-Opaheke 2024</v>
      </c>
    </row>
    <row r="87" spans="1:1" x14ac:dyDescent="0.3">
      <c r="A87" s="213" t="str">
        <f t="shared" ref="A87:A96" si="5">A32</f>
        <v>Drury-Opaheke 2024</v>
      </c>
    </row>
    <row r="88" spans="1:1" x14ac:dyDescent="0.3">
      <c r="A88" s="213" t="str">
        <f t="shared" si="5"/>
        <v>Drury-Opaheke 2024</v>
      </c>
    </row>
    <row r="89" spans="1:1" x14ac:dyDescent="0.3">
      <c r="A89" s="213" t="str">
        <f t="shared" si="5"/>
        <v>Drury-Opaheke 2024</v>
      </c>
    </row>
    <row r="90" spans="1:1" x14ac:dyDescent="0.3">
      <c r="A90" s="213" t="str">
        <f t="shared" si="5"/>
        <v>Drury-Opaheke 2024</v>
      </c>
    </row>
    <row r="91" spans="1:1" x14ac:dyDescent="0.3">
      <c r="A91" s="213" t="str">
        <f t="shared" si="5"/>
        <v>Drury-Opaheke 2024</v>
      </c>
    </row>
    <row r="92" spans="1:1" x14ac:dyDescent="0.3">
      <c r="A92" s="213" t="str">
        <f t="shared" si="5"/>
        <v>Drury-Opaheke 2024</v>
      </c>
    </row>
    <row r="93" spans="1:1" x14ac:dyDescent="0.3">
      <c r="A93" s="213" t="str">
        <f t="shared" si="5"/>
        <v>Drury-Opaheke 2024</v>
      </c>
    </row>
    <row r="94" spans="1:1" x14ac:dyDescent="0.3">
      <c r="A94" s="213" t="str">
        <f t="shared" si="5"/>
        <v>Drury-Opaheke 2024</v>
      </c>
    </row>
    <row r="95" spans="1:1" x14ac:dyDescent="0.3">
      <c r="A95" s="213" t="str">
        <f t="shared" si="5"/>
        <v>Pukekohe &amp; Paerata</v>
      </c>
    </row>
    <row r="96" spans="1:1" x14ac:dyDescent="0.3">
      <c r="A96" s="213" t="str">
        <f t="shared" si="5"/>
        <v>Pukekohe &amp; Paerata</v>
      </c>
    </row>
    <row r="97" spans="1:1" x14ac:dyDescent="0.3">
      <c r="A97" s="213" t="str">
        <f t="shared" ref="A97:A105" si="6">A42</f>
        <v>Pukekohe &amp; Paerata</v>
      </c>
    </row>
    <row r="98" spans="1:1" x14ac:dyDescent="0.3">
      <c r="A98" s="213" t="str">
        <f t="shared" si="6"/>
        <v>Other</v>
      </c>
    </row>
    <row r="99" spans="1:1" x14ac:dyDescent="0.3">
      <c r="A99" s="213" t="str">
        <f t="shared" si="6"/>
        <v>Other</v>
      </c>
    </row>
    <row r="100" spans="1:1" x14ac:dyDescent="0.3">
      <c r="A100" s="213" t="str">
        <f t="shared" si="6"/>
        <v>Other</v>
      </c>
    </row>
    <row r="101" spans="1:1" x14ac:dyDescent="0.3">
      <c r="A101" s="213" t="str">
        <f t="shared" si="6"/>
        <v>Other</v>
      </c>
    </row>
    <row r="102" spans="1:1" x14ac:dyDescent="0.3">
      <c r="A102" s="213" t="str">
        <f t="shared" si="6"/>
        <v>Other</v>
      </c>
    </row>
    <row r="103" spans="1:1" x14ac:dyDescent="0.3">
      <c r="A103" s="213" t="str">
        <f t="shared" si="6"/>
        <v>Other</v>
      </c>
    </row>
    <row r="104" spans="1:1" x14ac:dyDescent="0.3">
      <c r="A104" s="213" t="str">
        <f t="shared" si="6"/>
        <v>Other</v>
      </c>
    </row>
    <row r="105" spans="1:1" x14ac:dyDescent="0.3">
      <c r="A105" s="213" t="str">
        <f t="shared" si="6"/>
        <v>Other</v>
      </c>
    </row>
    <row r="107" spans="1:1" x14ac:dyDescent="0.3">
      <c r="A107" s="213" t="str">
        <f>A52</f>
        <v>Scenario 2 differences</v>
      </c>
    </row>
    <row r="108" spans="1:1" x14ac:dyDescent="0.3">
      <c r="A108" s="213" t="str">
        <f>A53</f>
        <v>Inner North-West</v>
      </c>
    </row>
    <row r="109" spans="1:1" x14ac:dyDescent="0.3">
      <c r="A109" s="213" t="str">
        <f>A54</f>
        <v>Inner North-West</v>
      </c>
    </row>
    <row r="110" spans="1:1" x14ac:dyDescent="0.3">
      <c r="A110" s="213" t="str">
        <f>A55</f>
        <v>Inner North-West</v>
      </c>
    </row>
  </sheetData>
  <mergeCells count="1">
    <mergeCell ref="B2:G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EE0D2-69BA-4ED1-AE48-621339FDA2F8}">
  <dimension ref="A1:S161"/>
  <sheetViews>
    <sheetView workbookViewId="0"/>
  </sheetViews>
  <sheetFormatPr defaultRowHeight="14.4" x14ac:dyDescent="0.3"/>
  <cols>
    <col min="1" max="1" width="17.5546875" customWidth="1"/>
    <col min="2" max="2" width="71" bestFit="1" customWidth="1"/>
    <col min="3" max="3" width="23.33203125" bestFit="1" customWidth="1"/>
    <col min="4" max="4" width="57.33203125" customWidth="1"/>
    <col min="5" max="5" width="15.109375" bestFit="1" customWidth="1"/>
    <col min="6" max="6" width="23.5546875" bestFit="1" customWidth="1"/>
    <col min="7" max="11" width="20.5546875" bestFit="1" customWidth="1"/>
    <col min="12" max="12" width="17.33203125" customWidth="1"/>
    <col min="13" max="13" width="16.44140625" customWidth="1"/>
    <col min="14" max="14" width="15.5546875" customWidth="1"/>
    <col min="15" max="15" width="11" bestFit="1" customWidth="1"/>
  </cols>
  <sheetData>
    <row r="1" spans="1:19" x14ac:dyDescent="0.3">
      <c r="B1" s="4"/>
    </row>
    <row r="2" spans="1:19" x14ac:dyDescent="0.3">
      <c r="B2" s="4"/>
    </row>
    <row r="3" spans="1:19" s="11" customFormat="1" x14ac:dyDescent="0.3">
      <c r="A3" t="s">
        <v>274</v>
      </c>
      <c r="B3" s="12" t="s">
        <v>275</v>
      </c>
      <c r="C3" s="12" t="s">
        <v>276</v>
      </c>
      <c r="D3" s="12" t="s">
        <v>277</v>
      </c>
      <c r="E3" s="13" t="s">
        <v>278</v>
      </c>
      <c r="F3" s="12" t="s">
        <v>279</v>
      </c>
      <c r="G3" s="12" t="s">
        <v>280</v>
      </c>
      <c r="H3" s="12" t="s">
        <v>281</v>
      </c>
      <c r="I3" s="12" t="s">
        <v>282</v>
      </c>
      <c r="J3" s="12" t="s">
        <v>283</v>
      </c>
      <c r="K3" s="12" t="s">
        <v>284</v>
      </c>
      <c r="L3" s="12" t="s">
        <v>285</v>
      </c>
      <c r="M3" s="12" t="s">
        <v>286</v>
      </c>
      <c r="N3" s="12" t="s">
        <v>287</v>
      </c>
      <c r="Q3" s="35" t="str">
        <f>B3</f>
        <v>Project</v>
      </c>
      <c r="R3" s="35" t="str">
        <f>D3</f>
        <v>Cost Object</v>
      </c>
      <c r="S3" s="35" t="str">
        <f>Q3</f>
        <v>Project</v>
      </c>
    </row>
    <row r="4" spans="1:19" s="14" customFormat="1" x14ac:dyDescent="0.3">
      <c r="A4" s="15">
        <f t="shared" ref="A4:A35" si="0">SUM(E4:N4)</f>
        <v>4071872.66</v>
      </c>
      <c r="B4" s="16" t="s">
        <v>288</v>
      </c>
      <c r="C4" s="17" t="s">
        <v>289</v>
      </c>
      <c r="D4" s="17" t="s">
        <v>290</v>
      </c>
      <c r="E4" s="17">
        <v>4071872.66</v>
      </c>
      <c r="F4" s="17">
        <v>0</v>
      </c>
      <c r="G4" s="17">
        <v>0</v>
      </c>
      <c r="H4" s="17">
        <v>0</v>
      </c>
      <c r="I4" s="17">
        <v>0</v>
      </c>
      <c r="J4" s="17">
        <v>0</v>
      </c>
      <c r="K4" s="17">
        <v>0</v>
      </c>
      <c r="L4" s="17">
        <v>0</v>
      </c>
      <c r="M4" s="17">
        <v>0</v>
      </c>
      <c r="N4" s="17">
        <v>0</v>
      </c>
      <c r="Q4" s="35" t="str">
        <f t="shared" ref="Q4:Q67" si="1">B4</f>
        <v>PC2312635 - Te Whau pathway</v>
      </c>
      <c r="R4" s="35" t="str">
        <f t="shared" ref="R4:R67" si="2">D4</f>
        <v>N.010152.05.03 - Te Whau Pathwy-Sec 5-develop concrete</v>
      </c>
      <c r="S4" s="35" t="str">
        <f t="shared" ref="S4:S67" si="3">Q4</f>
        <v>PC2312635 - Te Whau pathway</v>
      </c>
    </row>
    <row r="5" spans="1:19" s="14" customFormat="1" x14ac:dyDescent="0.3">
      <c r="A5" s="15">
        <f t="shared" si="0"/>
        <v>15693972.309999999</v>
      </c>
      <c r="B5" s="16" t="s">
        <v>288</v>
      </c>
      <c r="C5" s="17" t="s">
        <v>291</v>
      </c>
      <c r="D5" s="17" t="s">
        <v>292</v>
      </c>
      <c r="E5" s="17">
        <v>2880601.3</v>
      </c>
      <c r="F5" s="17">
        <v>6659994.0099999998</v>
      </c>
      <c r="G5" s="17">
        <v>6153377</v>
      </c>
      <c r="H5" s="17">
        <v>0</v>
      </c>
      <c r="I5" s="17">
        <v>0</v>
      </c>
      <c r="J5" s="17">
        <v>0</v>
      </c>
      <c r="K5" s="17">
        <v>0</v>
      </c>
      <c r="L5" s="17">
        <v>0</v>
      </c>
      <c r="M5" s="17">
        <v>0</v>
      </c>
      <c r="N5" s="17">
        <v>0</v>
      </c>
      <c r="Q5" s="35" t="str">
        <f t="shared" si="1"/>
        <v>PC2312635 - Te Whau pathway</v>
      </c>
      <c r="R5" s="35" t="str">
        <f t="shared" si="2"/>
        <v>N.010152.21.01 - Te Whau PatW Stg 2A - develop brdwlk con</v>
      </c>
      <c r="S5" s="35" t="str">
        <f t="shared" si="3"/>
        <v>PC2312635 - Te Whau pathway</v>
      </c>
    </row>
    <row r="6" spans="1:19" s="14" customFormat="1" x14ac:dyDescent="0.3">
      <c r="A6" s="15">
        <f t="shared" si="0"/>
        <v>2587500</v>
      </c>
      <c r="B6" s="16" t="s">
        <v>293</v>
      </c>
      <c r="C6" s="17" t="s">
        <v>294</v>
      </c>
      <c r="D6" s="17" t="s">
        <v>295</v>
      </c>
      <c r="E6" s="17">
        <v>2587500</v>
      </c>
      <c r="F6" s="17">
        <v>0</v>
      </c>
      <c r="G6" s="17">
        <v>0</v>
      </c>
      <c r="H6" s="17">
        <v>0</v>
      </c>
      <c r="I6" s="17">
        <v>0</v>
      </c>
      <c r="J6" s="17">
        <v>0</v>
      </c>
      <c r="K6" s="17">
        <v>0</v>
      </c>
      <c r="L6" s="17">
        <v>0</v>
      </c>
      <c r="M6" s="17">
        <v>0</v>
      </c>
      <c r="N6" s="17">
        <v>0</v>
      </c>
      <c r="Q6" s="35" t="str">
        <f t="shared" si="1"/>
        <v>PC2312667 - Tamaki Path - Stage 2</v>
      </c>
      <c r="R6" s="35" t="str">
        <f t="shared" si="2"/>
        <v>N.011182.01 - Tamaki Path - Stage 2</v>
      </c>
      <c r="S6" s="35" t="str">
        <f t="shared" si="3"/>
        <v>PC2312667 - Tamaki Path - Stage 2</v>
      </c>
    </row>
    <row r="7" spans="1:19" s="14" customFormat="1" x14ac:dyDescent="0.3">
      <c r="A7" s="15">
        <f t="shared" si="0"/>
        <v>697137</v>
      </c>
      <c r="B7" s="16" t="s">
        <v>296</v>
      </c>
      <c r="C7" s="17" t="s">
        <v>297</v>
      </c>
      <c r="D7" s="17" t="s">
        <v>298</v>
      </c>
      <c r="E7" s="17">
        <v>0</v>
      </c>
      <c r="F7" s="17">
        <v>70000</v>
      </c>
      <c r="G7" s="17">
        <v>627137</v>
      </c>
      <c r="H7" s="17">
        <v>0</v>
      </c>
      <c r="I7" s="17">
        <v>0</v>
      </c>
      <c r="J7" s="17">
        <v>0</v>
      </c>
      <c r="K7" s="17">
        <v>0</v>
      </c>
      <c r="L7" s="17">
        <v>0</v>
      </c>
      <c r="M7" s="17">
        <v>0</v>
      </c>
      <c r="N7" s="17">
        <v>0</v>
      </c>
      <c r="Q7" s="35" t="str">
        <f t="shared" si="1"/>
        <v>PC3200693 - Walkway and cycleway paths (Flat Bush)</v>
      </c>
      <c r="R7" s="35" t="str">
        <f t="shared" si="2"/>
        <v>N.005640.01.01 - Flat Bush Norwood Bridge</v>
      </c>
      <c r="S7" s="35" t="str">
        <f t="shared" si="3"/>
        <v>PC3200693 - Walkway and cycleway paths (Flat Bush)</v>
      </c>
    </row>
    <row r="8" spans="1:19" s="14" customFormat="1" x14ac:dyDescent="0.3">
      <c r="A8" s="15">
        <f t="shared" si="0"/>
        <v>25143004</v>
      </c>
      <c r="B8" s="16" t="s">
        <v>299</v>
      </c>
      <c r="C8" s="17" t="s">
        <v>291</v>
      </c>
      <c r="D8" s="17" t="s">
        <v>300</v>
      </c>
      <c r="E8" s="17">
        <v>2971560.64</v>
      </c>
      <c r="F8" s="17">
        <v>14000000</v>
      </c>
      <c r="G8" s="17">
        <v>8171443.3600000003</v>
      </c>
      <c r="H8" s="17">
        <v>0</v>
      </c>
      <c r="I8" s="17">
        <v>0</v>
      </c>
      <c r="J8" s="17">
        <v>0</v>
      </c>
      <c r="K8" s="17">
        <v>0</v>
      </c>
      <c r="L8" s="17">
        <v>0</v>
      </c>
      <c r="M8" s="17">
        <v>0</v>
      </c>
      <c r="N8" s="17">
        <v>0</v>
      </c>
      <c r="Q8" s="35" t="str">
        <f t="shared" si="1"/>
        <v>PC3200792 - Community centre replacement (Avondale)</v>
      </c>
      <c r="R8" s="35" t="str">
        <f t="shared" si="2"/>
        <v>N.009988.21.01 - Avondale - dev new community centre and</v>
      </c>
      <c r="S8" s="35" t="str">
        <f t="shared" si="3"/>
        <v>PC3200792 - Community centre replacement (Avondale)</v>
      </c>
    </row>
    <row r="9" spans="1:19" s="14" customFormat="1" x14ac:dyDescent="0.3">
      <c r="A9" s="15">
        <f t="shared" si="0"/>
        <v>1703652</v>
      </c>
      <c r="B9" s="16" t="s">
        <v>301</v>
      </c>
      <c r="C9" s="17" t="s">
        <v>294</v>
      </c>
      <c r="D9" s="17" t="s">
        <v>302</v>
      </c>
      <c r="E9" s="17">
        <v>500000</v>
      </c>
      <c r="F9" s="17">
        <v>1203652</v>
      </c>
      <c r="G9" s="17">
        <v>0</v>
      </c>
      <c r="H9" s="17">
        <v>0</v>
      </c>
      <c r="I9" s="17">
        <v>0</v>
      </c>
      <c r="J9" s="17">
        <v>0</v>
      </c>
      <c r="K9" s="17">
        <v>0</v>
      </c>
      <c r="L9" s="17">
        <v>0</v>
      </c>
      <c r="M9" s="17">
        <v>0</v>
      </c>
      <c r="N9" s="17">
        <v>0</v>
      </c>
      <c r="Q9" s="35" t="str">
        <f t="shared" si="1"/>
        <v>PC3200889 - Sportspark Development (Waikaraka Park)</v>
      </c>
      <c r="R9" s="35" t="str">
        <f t="shared" si="2"/>
        <v>N.010011.11.01 - Waikaraka Park - improve and extnd field</v>
      </c>
      <c r="S9" s="35" t="str">
        <f t="shared" si="3"/>
        <v>PC3200889 - Sportspark Development (Waikaraka Park)</v>
      </c>
    </row>
    <row r="10" spans="1:19" s="14" customFormat="1" x14ac:dyDescent="0.3">
      <c r="A10" s="15">
        <f t="shared" si="0"/>
        <v>5199922</v>
      </c>
      <c r="B10" s="16" t="s">
        <v>303</v>
      </c>
      <c r="C10" s="17" t="s">
        <v>291</v>
      </c>
      <c r="D10" s="17" t="s">
        <v>304</v>
      </c>
      <c r="E10" s="17">
        <v>0</v>
      </c>
      <c r="F10" s="17">
        <v>0</v>
      </c>
      <c r="G10" s="17">
        <v>0</v>
      </c>
      <c r="H10" s="17">
        <v>0</v>
      </c>
      <c r="I10" s="17">
        <v>1687882</v>
      </c>
      <c r="J10" s="17">
        <v>512040</v>
      </c>
      <c r="K10" s="17">
        <v>3000000</v>
      </c>
      <c r="L10" s="17">
        <v>0</v>
      </c>
      <c r="M10" s="17">
        <v>0</v>
      </c>
      <c r="N10" s="17">
        <v>0</v>
      </c>
      <c r="Q10" s="35" t="str">
        <f t="shared" si="1"/>
        <v>PC3200916 - Play space, walkway and landscaping (Crown Lynn)</v>
      </c>
      <c r="R10" s="35" t="str">
        <f t="shared" si="2"/>
        <v>N.002934.03.02 - Crown Lynn Park Development</v>
      </c>
      <c r="S10" s="35" t="str">
        <f t="shared" si="3"/>
        <v>PC3200916 - Play space, walkway and landscaping (Crown Lynn)</v>
      </c>
    </row>
    <row r="11" spans="1:19" s="14" customFormat="1" x14ac:dyDescent="0.3">
      <c r="A11" s="15">
        <f t="shared" si="0"/>
        <v>444134952.80999994</v>
      </c>
      <c r="B11" s="16" t="s">
        <v>305</v>
      </c>
      <c r="C11" s="17" t="s">
        <v>306</v>
      </c>
      <c r="D11" s="17" t="s">
        <v>307</v>
      </c>
      <c r="E11" s="17">
        <v>5211463.54</v>
      </c>
      <c r="F11" s="17">
        <v>10048681.310000001</v>
      </c>
      <c r="G11" s="17">
        <v>16246111.6</v>
      </c>
      <c r="H11" s="17">
        <v>25240733.039999999</v>
      </c>
      <c r="I11" s="17">
        <v>27157254.32</v>
      </c>
      <c r="J11" s="17">
        <v>28526848.18</v>
      </c>
      <c r="K11" s="17">
        <v>43385629.579999998</v>
      </c>
      <c r="L11" s="17">
        <v>82456004.640000001</v>
      </c>
      <c r="M11" s="17">
        <v>101662338</v>
      </c>
      <c r="N11" s="17">
        <v>104199888.59999999</v>
      </c>
      <c r="Q11" s="35" t="str">
        <f t="shared" si="1"/>
        <v>PC3201000 - Sports and Local park development</v>
      </c>
      <c r="R11" s="35" t="str">
        <f t="shared" si="2"/>
        <v>N.009995.30 - Sports and Local park development</v>
      </c>
      <c r="S11" s="35" t="str">
        <f t="shared" si="3"/>
        <v>PC3201000 - Sports and Local park development</v>
      </c>
    </row>
    <row r="12" spans="1:19" s="14" customFormat="1" x14ac:dyDescent="0.3">
      <c r="A12" s="15">
        <f t="shared" si="0"/>
        <v>1364480</v>
      </c>
      <c r="B12" s="16" t="s">
        <v>308</v>
      </c>
      <c r="C12" s="17" t="s">
        <v>309</v>
      </c>
      <c r="D12" s="17" t="s">
        <v>310</v>
      </c>
      <c r="E12" s="17">
        <v>100000</v>
      </c>
      <c r="F12" s="17">
        <v>1264480</v>
      </c>
      <c r="G12" s="17">
        <v>0</v>
      </c>
      <c r="H12" s="17">
        <v>0</v>
      </c>
      <c r="I12" s="17">
        <v>0</v>
      </c>
      <c r="J12" s="17">
        <v>0</v>
      </c>
      <c r="K12" s="17">
        <v>0</v>
      </c>
      <c r="L12" s="17">
        <v>0</v>
      </c>
      <c r="M12" s="17">
        <v>0</v>
      </c>
      <c r="N12" s="17">
        <v>0</v>
      </c>
      <c r="Q12" s="35" t="str">
        <f t="shared" si="1"/>
        <v>PC3201336 - Development (Purchase Hill)</v>
      </c>
      <c r="R12" s="35" t="str">
        <f t="shared" si="2"/>
        <v>N.010032.22.01 - Purchas Hill/TT Res-dvlp of green O S</v>
      </c>
      <c r="S12" s="35" t="str">
        <f t="shared" si="3"/>
        <v>PC3201336 - Development (Purchase Hill)</v>
      </c>
    </row>
    <row r="13" spans="1:19" s="14" customFormat="1" x14ac:dyDescent="0.3">
      <c r="A13" s="15">
        <f t="shared" si="0"/>
        <v>396734583.21999997</v>
      </c>
      <c r="B13" s="16" t="s">
        <v>311</v>
      </c>
      <c r="C13" s="17" t="s">
        <v>312</v>
      </c>
      <c r="D13" s="17" t="s">
        <v>313</v>
      </c>
      <c r="E13" s="17">
        <v>33453160.579999998</v>
      </c>
      <c r="F13" s="17">
        <v>24039469.84</v>
      </c>
      <c r="G13" s="17">
        <v>25906675.280000001</v>
      </c>
      <c r="H13" s="17">
        <v>30168247.41</v>
      </c>
      <c r="I13" s="17">
        <v>37667599</v>
      </c>
      <c r="J13" s="17">
        <v>61372845.659999996</v>
      </c>
      <c r="K13" s="17">
        <v>51777221.810000002</v>
      </c>
      <c r="L13" s="17">
        <v>50058621.920000002</v>
      </c>
      <c r="M13" s="17">
        <v>45234551.759999998</v>
      </c>
      <c r="N13" s="17">
        <v>37056189.960000001</v>
      </c>
      <c r="Q13" s="35" t="str">
        <f t="shared" si="1"/>
        <v>PC3201413 - Land acquisition - Local parks</v>
      </c>
      <c r="R13" s="35" t="str">
        <f t="shared" si="2"/>
        <v>N.004360.01 - Local park acquisitions</v>
      </c>
      <c r="S13" s="35" t="str">
        <f t="shared" si="3"/>
        <v>PC3201413 - Land acquisition - Local parks</v>
      </c>
    </row>
    <row r="14" spans="1:19" s="14" customFormat="1" x14ac:dyDescent="0.3">
      <c r="A14" s="15">
        <f t="shared" si="0"/>
        <v>2799999.92</v>
      </c>
      <c r="B14" s="16" t="s">
        <v>314</v>
      </c>
      <c r="C14" s="17" t="s">
        <v>312</v>
      </c>
      <c r="D14" s="17" t="s">
        <v>315</v>
      </c>
      <c r="E14" s="17">
        <v>1000000</v>
      </c>
      <c r="F14" s="17">
        <v>999999.97</v>
      </c>
      <c r="G14" s="17">
        <v>799999.95</v>
      </c>
      <c r="H14" s="17">
        <v>0</v>
      </c>
      <c r="I14" s="17">
        <v>0</v>
      </c>
      <c r="J14" s="17">
        <v>0</v>
      </c>
      <c r="K14" s="17">
        <v>0</v>
      </c>
      <c r="L14" s="17">
        <v>0</v>
      </c>
      <c r="M14" s="17">
        <v>0</v>
      </c>
      <c r="N14" s="17">
        <v>0</v>
      </c>
      <c r="Q14" s="35" t="str">
        <f t="shared" si="1"/>
        <v>PC3201414 - Land acquisition - Minor regional</v>
      </c>
      <c r="R14" s="35" t="str">
        <f t="shared" si="2"/>
        <v>N.004361.01 - Regional parks aquisitions</v>
      </c>
      <c r="S14" s="35" t="str">
        <f t="shared" si="3"/>
        <v>PC3201414 - Land acquisition - Minor regional</v>
      </c>
    </row>
    <row r="15" spans="1:19" s="14" customFormat="1" x14ac:dyDescent="0.3">
      <c r="A15" s="15">
        <f t="shared" si="0"/>
        <v>604843</v>
      </c>
      <c r="B15" s="16" t="s">
        <v>316</v>
      </c>
      <c r="C15" s="17" t="s">
        <v>297</v>
      </c>
      <c r="D15" s="17" t="s">
        <v>317</v>
      </c>
      <c r="E15" s="17">
        <v>0</v>
      </c>
      <c r="F15" s="17">
        <v>604843</v>
      </c>
      <c r="G15" s="17">
        <v>0</v>
      </c>
      <c r="H15" s="17">
        <v>0</v>
      </c>
      <c r="I15" s="17">
        <v>0</v>
      </c>
      <c r="J15" s="17">
        <v>0</v>
      </c>
      <c r="K15" s="17">
        <v>0</v>
      </c>
      <c r="L15" s="17">
        <v>0</v>
      </c>
      <c r="M15" s="17">
        <v>0</v>
      </c>
      <c r="N15" s="17">
        <v>0</v>
      </c>
      <c r="Q15" s="35" t="str">
        <f t="shared" si="1"/>
        <v>PC3201441 - Playspace (Flat Bush)</v>
      </c>
      <c r="R15" s="35" t="str">
        <f t="shared" si="2"/>
        <v>N.010035.07.01 - Flat Bush - develop playspace</v>
      </c>
      <c r="S15" s="35" t="str">
        <f t="shared" si="3"/>
        <v>PC3201441 - Playspace (Flat Bush)</v>
      </c>
    </row>
    <row r="16" spans="1:19" s="14" customFormat="1" x14ac:dyDescent="0.3">
      <c r="A16" s="15">
        <f t="shared" si="0"/>
        <v>6348175.0800000001</v>
      </c>
      <c r="B16" s="16" t="s">
        <v>318</v>
      </c>
      <c r="C16" s="17" t="s">
        <v>297</v>
      </c>
      <c r="D16" s="17" t="s">
        <v>319</v>
      </c>
      <c r="E16" s="17">
        <v>11160.08</v>
      </c>
      <c r="F16" s="17">
        <v>0</v>
      </c>
      <c r="G16" s="17">
        <v>2152800</v>
      </c>
      <c r="H16" s="17">
        <v>4184215</v>
      </c>
      <c r="I16" s="17">
        <v>0</v>
      </c>
      <c r="J16" s="17">
        <v>0</v>
      </c>
      <c r="K16" s="17">
        <v>0</v>
      </c>
      <c r="L16" s="17">
        <v>0</v>
      </c>
      <c r="M16" s="17">
        <v>0</v>
      </c>
      <c r="N16" s="17">
        <v>0</v>
      </c>
      <c r="Q16" s="35" t="str">
        <f t="shared" si="1"/>
        <v>PC3201442 - Sportsfields development (Ostrich Farm)</v>
      </c>
      <c r="R16" s="35" t="str">
        <f t="shared" si="2"/>
        <v>N.010036.07.01 - Ostrich Farm - sand slits, drain, irrig</v>
      </c>
      <c r="S16" s="35" t="str">
        <f t="shared" si="3"/>
        <v>PC3201442 - Sportsfields development (Ostrich Farm)</v>
      </c>
    </row>
    <row r="17" spans="1:19" s="14" customFormat="1" x14ac:dyDescent="0.3">
      <c r="A17" s="15">
        <f t="shared" si="0"/>
        <v>16543794</v>
      </c>
      <c r="B17" s="16" t="s">
        <v>320</v>
      </c>
      <c r="C17" s="17" t="s">
        <v>306</v>
      </c>
      <c r="D17" s="17" t="s">
        <v>321</v>
      </c>
      <c r="E17" s="17">
        <v>0</v>
      </c>
      <c r="F17" s="17">
        <v>0</v>
      </c>
      <c r="G17" s="17">
        <v>0</v>
      </c>
      <c r="H17" s="17">
        <v>0</v>
      </c>
      <c r="I17" s="17">
        <v>0</v>
      </c>
      <c r="J17" s="17">
        <v>0</v>
      </c>
      <c r="K17" s="17">
        <v>0</v>
      </c>
      <c r="L17" s="17">
        <v>4500000</v>
      </c>
      <c r="M17" s="17">
        <v>5499999.96</v>
      </c>
      <c r="N17" s="17">
        <v>6543794.04</v>
      </c>
      <c r="Q17" s="35" t="str">
        <f t="shared" si="1"/>
        <v>PC3201491 - Park development and community hall - growth</v>
      </c>
      <c r="R17" s="35" t="str">
        <f t="shared" si="2"/>
        <v>N.010038.30 - Park dev &amp; community hall -growth</v>
      </c>
      <c r="S17" s="35" t="str">
        <f t="shared" si="3"/>
        <v>PC3201491 - Park development and community hall - growth</v>
      </c>
    </row>
    <row r="18" spans="1:19" s="14" customFormat="1" x14ac:dyDescent="0.3">
      <c r="A18" s="15">
        <f t="shared" si="0"/>
        <v>150000</v>
      </c>
      <c r="B18" s="16" t="s">
        <v>322</v>
      </c>
      <c r="C18" s="17" t="s">
        <v>323</v>
      </c>
      <c r="D18" s="17" t="s">
        <v>324</v>
      </c>
      <c r="E18" s="17">
        <v>0</v>
      </c>
      <c r="F18" s="17">
        <v>20000</v>
      </c>
      <c r="G18" s="17">
        <v>130000</v>
      </c>
      <c r="H18" s="17">
        <v>0</v>
      </c>
      <c r="I18" s="17">
        <v>0</v>
      </c>
      <c r="J18" s="17">
        <v>0</v>
      </c>
      <c r="K18" s="17">
        <v>0</v>
      </c>
      <c r="L18" s="17">
        <v>0</v>
      </c>
      <c r="M18" s="17">
        <v>0</v>
      </c>
      <c r="N18" s="17">
        <v>0</v>
      </c>
      <c r="Q18" s="35" t="str">
        <f t="shared" si="1"/>
        <v>PC3201501 - General park development</v>
      </c>
      <c r="R18" s="35" t="str">
        <f t="shared" si="2"/>
        <v>N.009960.03.01 - Beachlands, 6 Angiangi Crescent - develo</v>
      </c>
      <c r="S18" s="35" t="str">
        <f t="shared" si="3"/>
        <v>PC3201501 - General park development</v>
      </c>
    </row>
    <row r="19" spans="1:19" s="10" customFormat="1" x14ac:dyDescent="0.3">
      <c r="A19" s="15">
        <f t="shared" si="0"/>
        <v>550000</v>
      </c>
      <c r="B19" s="16" t="s">
        <v>322</v>
      </c>
      <c r="C19" s="17" t="s">
        <v>323</v>
      </c>
      <c r="D19" s="17" t="s">
        <v>325</v>
      </c>
      <c r="E19" s="17">
        <v>25000</v>
      </c>
      <c r="F19" s="17">
        <v>525000</v>
      </c>
      <c r="G19" s="17">
        <v>0</v>
      </c>
      <c r="H19" s="17">
        <v>0</v>
      </c>
      <c r="I19" s="17">
        <v>0</v>
      </c>
      <c r="J19" s="17">
        <v>0</v>
      </c>
      <c r="K19" s="17">
        <v>0</v>
      </c>
      <c r="L19" s="17">
        <v>0</v>
      </c>
      <c r="M19" s="17">
        <v>0</v>
      </c>
      <c r="N19" s="17">
        <v>0</v>
      </c>
      <c r="Q19" s="35" t="str">
        <f t="shared" si="1"/>
        <v>PC3201501 - General park development</v>
      </c>
      <c r="R19" s="35" t="str">
        <f t="shared" si="2"/>
        <v>N.009960.03.03 - Kahawairahi Drive Res - install O S asts</v>
      </c>
      <c r="S19" s="35" t="str">
        <f t="shared" si="3"/>
        <v>PC3201501 - General park development</v>
      </c>
    </row>
    <row r="20" spans="1:19" s="10" customFormat="1" x14ac:dyDescent="0.3">
      <c r="A20" s="15">
        <f t="shared" si="0"/>
        <v>8885126.0500000007</v>
      </c>
      <c r="B20" s="16" t="s">
        <v>322</v>
      </c>
      <c r="C20" s="17" t="s">
        <v>326</v>
      </c>
      <c r="D20" s="17" t="s">
        <v>327</v>
      </c>
      <c r="E20" s="17">
        <v>0</v>
      </c>
      <c r="F20" s="17">
        <v>885126.05</v>
      </c>
      <c r="G20" s="17">
        <v>2000000</v>
      </c>
      <c r="H20" s="17">
        <v>3000000</v>
      </c>
      <c r="I20" s="17">
        <v>3000000</v>
      </c>
      <c r="J20" s="17">
        <v>0</v>
      </c>
      <c r="K20" s="17">
        <v>0</v>
      </c>
      <c r="L20" s="17">
        <v>0</v>
      </c>
      <c r="M20" s="17">
        <v>0</v>
      </c>
      <c r="N20" s="17">
        <v>0</v>
      </c>
      <c r="Q20" s="35" t="str">
        <f t="shared" si="1"/>
        <v>PC3201501 - General park development</v>
      </c>
      <c r="R20" s="35" t="str">
        <f t="shared" si="2"/>
        <v>N.009960.06.01 - Metro Park West - develop reserve</v>
      </c>
      <c r="S20" s="35" t="str">
        <f t="shared" si="3"/>
        <v>PC3201501 - General park development</v>
      </c>
    </row>
    <row r="21" spans="1:19" s="14" customFormat="1" x14ac:dyDescent="0.3">
      <c r="A21" s="15">
        <f t="shared" si="0"/>
        <v>500000</v>
      </c>
      <c r="B21" s="16" t="s">
        <v>322</v>
      </c>
      <c r="C21" s="17" t="s">
        <v>326</v>
      </c>
      <c r="D21" s="17" t="s">
        <v>328</v>
      </c>
      <c r="E21" s="17">
        <v>500000</v>
      </c>
      <c r="F21" s="17">
        <v>0</v>
      </c>
      <c r="G21" s="17">
        <v>0</v>
      </c>
      <c r="H21" s="17">
        <v>0</v>
      </c>
      <c r="I21" s="17">
        <v>0</v>
      </c>
      <c r="J21" s="17">
        <v>0</v>
      </c>
      <c r="K21" s="17">
        <v>0</v>
      </c>
      <c r="L21" s="17">
        <v>0</v>
      </c>
      <c r="M21" s="17">
        <v>0</v>
      </c>
      <c r="N21" s="17">
        <v>0</v>
      </c>
      <c r="Q21" s="35" t="str">
        <f t="shared" si="1"/>
        <v>PC3201501 - General park development</v>
      </c>
      <c r="R21" s="35" t="str">
        <f t="shared" si="2"/>
        <v>N.009960.06.02 - 86 Harvest Ave, Orewa - develop new neig</v>
      </c>
      <c r="S21" s="35" t="str">
        <f t="shared" si="3"/>
        <v>PC3201501 - General park development</v>
      </c>
    </row>
    <row r="22" spans="1:19" s="14" customFormat="1" x14ac:dyDescent="0.3">
      <c r="A22" s="15">
        <f t="shared" si="0"/>
        <v>942219.75</v>
      </c>
      <c r="B22" s="16" t="s">
        <v>322</v>
      </c>
      <c r="C22" s="17" t="s">
        <v>297</v>
      </c>
      <c r="D22" s="17" t="s">
        <v>329</v>
      </c>
      <c r="E22" s="17">
        <v>0</v>
      </c>
      <c r="F22" s="17">
        <v>349999.75</v>
      </c>
      <c r="G22" s="17">
        <v>592220</v>
      </c>
      <c r="H22" s="17">
        <v>0</v>
      </c>
      <c r="I22" s="17">
        <v>0</v>
      </c>
      <c r="J22" s="17">
        <v>0</v>
      </c>
      <c r="K22" s="17">
        <v>0</v>
      </c>
      <c r="L22" s="17">
        <v>0</v>
      </c>
      <c r="M22" s="17">
        <v>0</v>
      </c>
      <c r="N22" s="17">
        <v>0</v>
      </c>
      <c r="Q22" s="35" t="str">
        <f t="shared" si="1"/>
        <v>PC3201501 - General park development</v>
      </c>
      <c r="R22" s="35" t="str">
        <f t="shared" si="2"/>
        <v>N.009960.07.01 - Thomas Road Recreation Reserve - develop</v>
      </c>
      <c r="S22" s="35" t="str">
        <f t="shared" si="3"/>
        <v>PC3201501 - General park development</v>
      </c>
    </row>
    <row r="23" spans="1:19" s="14" customFormat="1" x14ac:dyDescent="0.3">
      <c r="A23" s="15">
        <f t="shared" si="0"/>
        <v>2150000</v>
      </c>
      <c r="B23" s="16" t="s">
        <v>322</v>
      </c>
      <c r="C23" s="17" t="s">
        <v>330</v>
      </c>
      <c r="D23" s="17" t="s">
        <v>331</v>
      </c>
      <c r="E23" s="17">
        <v>450000</v>
      </c>
      <c r="F23" s="17">
        <v>700000</v>
      </c>
      <c r="G23" s="17">
        <v>1000000</v>
      </c>
      <c r="H23" s="17">
        <v>0</v>
      </c>
      <c r="I23" s="17">
        <v>0</v>
      </c>
      <c r="J23" s="17">
        <v>0</v>
      </c>
      <c r="K23" s="17">
        <v>0</v>
      </c>
      <c r="L23" s="17">
        <v>0</v>
      </c>
      <c r="M23" s="17">
        <v>0</v>
      </c>
      <c r="N23" s="17">
        <v>0</v>
      </c>
      <c r="Q23" s="35" t="str">
        <f t="shared" si="1"/>
        <v>PC3201501 - General park development</v>
      </c>
      <c r="R23" s="35" t="str">
        <f t="shared" si="2"/>
        <v>N.005219.03.06 - David Lange Park - upgrade suburb park</v>
      </c>
      <c r="S23" s="35" t="str">
        <f t="shared" si="3"/>
        <v>PC3201501 - General park development</v>
      </c>
    </row>
    <row r="24" spans="1:19" s="14" customFormat="1" x14ac:dyDescent="0.3">
      <c r="A24" s="15">
        <f t="shared" si="0"/>
        <v>1050000</v>
      </c>
      <c r="B24" s="16" t="s">
        <v>322</v>
      </c>
      <c r="C24" s="17" t="s">
        <v>330</v>
      </c>
      <c r="D24" s="17" t="s">
        <v>332</v>
      </c>
      <c r="E24" s="17">
        <v>0</v>
      </c>
      <c r="F24" s="17">
        <v>50000</v>
      </c>
      <c r="G24" s="17">
        <v>200000</v>
      </c>
      <c r="H24" s="17">
        <v>800000</v>
      </c>
      <c r="I24" s="17">
        <v>0</v>
      </c>
      <c r="J24" s="17">
        <v>0</v>
      </c>
      <c r="K24" s="17">
        <v>0</v>
      </c>
      <c r="L24" s="17">
        <v>0</v>
      </c>
      <c r="M24" s="17">
        <v>0</v>
      </c>
      <c r="N24" s="17">
        <v>0</v>
      </c>
      <c r="Q24" s="35" t="str">
        <f t="shared" si="1"/>
        <v>PC3201501 - General park development</v>
      </c>
      <c r="R24" s="35" t="str">
        <f t="shared" si="2"/>
        <v>N.005219.03.07 - Sturges Park - demolish &amp; upgrade FAC</v>
      </c>
      <c r="S24" s="35" t="str">
        <f t="shared" si="3"/>
        <v>PC3201501 - General park development</v>
      </c>
    </row>
    <row r="25" spans="1:19" s="14" customFormat="1" x14ac:dyDescent="0.3">
      <c r="A25" s="15">
        <f t="shared" si="0"/>
        <v>2944281.58</v>
      </c>
      <c r="B25" s="16" t="s">
        <v>322</v>
      </c>
      <c r="C25" s="17" t="s">
        <v>294</v>
      </c>
      <c r="D25" s="17" t="s">
        <v>333</v>
      </c>
      <c r="E25" s="17">
        <v>1944281.58</v>
      </c>
      <c r="F25" s="17">
        <v>1000000</v>
      </c>
      <c r="G25" s="17">
        <v>0</v>
      </c>
      <c r="H25" s="17">
        <v>0</v>
      </c>
      <c r="I25" s="17">
        <v>0</v>
      </c>
      <c r="J25" s="17">
        <v>0</v>
      </c>
      <c r="K25" s="17">
        <v>0</v>
      </c>
      <c r="L25" s="17">
        <v>0</v>
      </c>
      <c r="M25" s="17">
        <v>0</v>
      </c>
      <c r="N25" s="17">
        <v>0</v>
      </c>
      <c r="Q25" s="35" t="str">
        <f t="shared" si="1"/>
        <v>PC3201501 - General park development</v>
      </c>
      <c r="R25" s="35" t="str">
        <f t="shared" si="2"/>
        <v>N.009960.11.04 - East View Reserve - develop general park</v>
      </c>
      <c r="S25" s="35" t="str">
        <f t="shared" si="3"/>
        <v>PC3201501 - General park development</v>
      </c>
    </row>
    <row r="26" spans="1:19" s="14" customFormat="1" x14ac:dyDescent="0.3">
      <c r="A26" s="15">
        <f t="shared" si="0"/>
        <v>1960000</v>
      </c>
      <c r="B26" s="16" t="s">
        <v>322</v>
      </c>
      <c r="C26" s="17" t="s">
        <v>294</v>
      </c>
      <c r="D26" s="17" t="s">
        <v>334</v>
      </c>
      <c r="E26" s="17">
        <v>460000</v>
      </c>
      <c r="F26" s="17">
        <v>1500000</v>
      </c>
      <c r="G26" s="17">
        <v>0</v>
      </c>
      <c r="H26" s="17">
        <v>0</v>
      </c>
      <c r="I26" s="17">
        <v>0</v>
      </c>
      <c r="J26" s="17">
        <v>0</v>
      </c>
      <c r="K26" s="17">
        <v>0</v>
      </c>
      <c r="L26" s="17">
        <v>0</v>
      </c>
      <c r="M26" s="17">
        <v>0</v>
      </c>
      <c r="N26" s="17">
        <v>0</v>
      </c>
      <c r="Q26" s="35" t="str">
        <f t="shared" si="1"/>
        <v>PC3201501 - General park development</v>
      </c>
      <c r="R26" s="35" t="str">
        <f t="shared" si="2"/>
        <v>N.009960.11.05 - Johnson Reserve - develop general park</v>
      </c>
      <c r="S26" s="35" t="str">
        <f t="shared" si="3"/>
        <v>PC3201501 - General park development</v>
      </c>
    </row>
    <row r="27" spans="1:19" s="14" customFormat="1" x14ac:dyDescent="0.3">
      <c r="A27" s="15">
        <f t="shared" si="0"/>
        <v>580000</v>
      </c>
      <c r="B27" s="16" t="s">
        <v>322</v>
      </c>
      <c r="C27" s="17" t="s">
        <v>294</v>
      </c>
      <c r="D27" s="17" t="s">
        <v>335</v>
      </c>
      <c r="E27" s="17">
        <v>580000</v>
      </c>
      <c r="F27" s="17">
        <v>0</v>
      </c>
      <c r="G27" s="17">
        <v>0</v>
      </c>
      <c r="H27" s="17">
        <v>0</v>
      </c>
      <c r="I27" s="17">
        <v>0</v>
      </c>
      <c r="J27" s="17">
        <v>0</v>
      </c>
      <c r="K27" s="17">
        <v>0</v>
      </c>
      <c r="L27" s="17">
        <v>0</v>
      </c>
      <c r="M27" s="17">
        <v>0</v>
      </c>
      <c r="N27" s="17">
        <v>0</v>
      </c>
      <c r="Q27" s="35" t="str">
        <f t="shared" si="1"/>
        <v>PC3201501 - General park development</v>
      </c>
      <c r="R27" s="35" t="str">
        <f t="shared" si="2"/>
        <v>N.009960.11.06 - Taurima Reserve - develop general park</v>
      </c>
      <c r="S27" s="35" t="str">
        <f t="shared" si="3"/>
        <v>PC3201501 - General park development</v>
      </c>
    </row>
    <row r="28" spans="1:19" s="14" customFormat="1" x14ac:dyDescent="0.3">
      <c r="A28" s="15">
        <f t="shared" si="0"/>
        <v>5950000</v>
      </c>
      <c r="B28" s="16" t="s">
        <v>322</v>
      </c>
      <c r="C28" s="17" t="s">
        <v>294</v>
      </c>
      <c r="D28" s="17" t="s">
        <v>336</v>
      </c>
      <c r="E28" s="17">
        <v>500000</v>
      </c>
      <c r="F28" s="17">
        <v>3950000</v>
      </c>
      <c r="G28" s="17">
        <v>1500000</v>
      </c>
      <c r="H28" s="17">
        <v>0</v>
      </c>
      <c r="I28" s="17">
        <v>0</v>
      </c>
      <c r="J28" s="17">
        <v>0</v>
      </c>
      <c r="K28" s="17">
        <v>0</v>
      </c>
      <c r="L28" s="17">
        <v>0</v>
      </c>
      <c r="M28" s="17">
        <v>0</v>
      </c>
      <c r="N28" s="17">
        <v>0</v>
      </c>
      <c r="Q28" s="35" t="str">
        <f t="shared" si="1"/>
        <v>PC3201501 - General park development</v>
      </c>
      <c r="R28" s="35" t="str">
        <f t="shared" si="2"/>
        <v>N.009960.11.07 - Boundary Res West – develop suburb park</v>
      </c>
      <c r="S28" s="35" t="str">
        <f t="shared" si="3"/>
        <v>PC3201501 - General park development</v>
      </c>
    </row>
    <row r="29" spans="1:19" s="14" customFormat="1" x14ac:dyDescent="0.3">
      <c r="A29" s="15">
        <f t="shared" si="0"/>
        <v>800000</v>
      </c>
      <c r="B29" s="16" t="s">
        <v>322</v>
      </c>
      <c r="C29" s="17" t="s">
        <v>294</v>
      </c>
      <c r="D29" s="17" t="s">
        <v>337</v>
      </c>
      <c r="E29" s="17">
        <v>600000</v>
      </c>
      <c r="F29" s="17">
        <v>200000</v>
      </c>
      <c r="G29" s="17">
        <v>0</v>
      </c>
      <c r="H29" s="17">
        <v>0</v>
      </c>
      <c r="I29" s="17">
        <v>0</v>
      </c>
      <c r="J29" s="17">
        <v>0</v>
      </c>
      <c r="K29" s="17">
        <v>0</v>
      </c>
      <c r="L29" s="17">
        <v>0</v>
      </c>
      <c r="M29" s="17">
        <v>0</v>
      </c>
      <c r="N29" s="17">
        <v>0</v>
      </c>
      <c r="Q29" s="35" t="str">
        <f t="shared" si="1"/>
        <v>PC3201501 - General park development</v>
      </c>
      <c r="R29" s="35" t="str">
        <f t="shared" si="2"/>
        <v>N.009960.11.08 - Dunkirk Res - develop neighbourhood park</v>
      </c>
      <c r="S29" s="35" t="str">
        <f t="shared" si="3"/>
        <v>PC3201501 - General park development</v>
      </c>
    </row>
    <row r="30" spans="1:19" s="14" customFormat="1" x14ac:dyDescent="0.3">
      <c r="A30" s="15">
        <f t="shared" si="0"/>
        <v>600000</v>
      </c>
      <c r="B30" s="16" t="s">
        <v>322</v>
      </c>
      <c r="C30" s="17" t="s">
        <v>294</v>
      </c>
      <c r="D30" s="17" t="s">
        <v>338</v>
      </c>
      <c r="E30" s="17">
        <v>50000</v>
      </c>
      <c r="F30" s="17">
        <v>550000</v>
      </c>
      <c r="G30" s="17">
        <v>0</v>
      </c>
      <c r="H30" s="17">
        <v>0</v>
      </c>
      <c r="I30" s="17">
        <v>0</v>
      </c>
      <c r="J30" s="17">
        <v>0</v>
      </c>
      <c r="K30" s="17">
        <v>0</v>
      </c>
      <c r="L30" s="17">
        <v>0</v>
      </c>
      <c r="M30" s="17">
        <v>0</v>
      </c>
      <c r="N30" s="17">
        <v>0</v>
      </c>
      <c r="Q30" s="35" t="str">
        <f t="shared" si="1"/>
        <v>PC3201501 - General park development</v>
      </c>
      <c r="R30" s="35" t="str">
        <f t="shared" si="2"/>
        <v>N.009960.11.09 - Elstree North Res - develop general park</v>
      </c>
      <c r="S30" s="35" t="str">
        <f t="shared" si="3"/>
        <v>PC3201501 - General park development</v>
      </c>
    </row>
    <row r="31" spans="1:19" s="14" customFormat="1" x14ac:dyDescent="0.3">
      <c r="A31" s="15">
        <f t="shared" si="0"/>
        <v>7200000</v>
      </c>
      <c r="B31" s="16" t="s">
        <v>322</v>
      </c>
      <c r="C31" s="17" t="s">
        <v>294</v>
      </c>
      <c r="D31" s="17" t="s">
        <v>339</v>
      </c>
      <c r="E31" s="17">
        <v>0</v>
      </c>
      <c r="F31" s="17">
        <v>200000</v>
      </c>
      <c r="G31" s="17">
        <v>800000</v>
      </c>
      <c r="H31" s="17">
        <v>1000000</v>
      </c>
      <c r="I31" s="17">
        <v>2500000</v>
      </c>
      <c r="J31" s="17">
        <v>2700000</v>
      </c>
      <c r="K31" s="17">
        <v>0</v>
      </c>
      <c r="L31" s="17">
        <v>0</v>
      </c>
      <c r="M31" s="17">
        <v>0</v>
      </c>
      <c r="N31" s="17">
        <v>0</v>
      </c>
      <c r="Q31" s="35" t="str">
        <f t="shared" si="1"/>
        <v>PC3201501 - General park development</v>
      </c>
      <c r="R31" s="35" t="str">
        <f t="shared" si="2"/>
        <v>N.009960.11.10 - Maybury Res West-develop destination prk</v>
      </c>
      <c r="S31" s="35" t="str">
        <f t="shared" si="3"/>
        <v>PC3201501 - General park development</v>
      </c>
    </row>
    <row r="32" spans="1:19" s="14" customFormat="1" x14ac:dyDescent="0.3">
      <c r="A32" s="15">
        <f t="shared" si="0"/>
        <v>500000</v>
      </c>
      <c r="B32" s="16" t="s">
        <v>322</v>
      </c>
      <c r="C32" s="17" t="s">
        <v>340</v>
      </c>
      <c r="D32" s="17" t="s">
        <v>341</v>
      </c>
      <c r="E32" s="17">
        <v>500000</v>
      </c>
      <c r="F32" s="17">
        <v>0</v>
      </c>
      <c r="G32" s="17">
        <v>0</v>
      </c>
      <c r="H32" s="17">
        <v>0</v>
      </c>
      <c r="I32" s="17">
        <v>0</v>
      </c>
      <c r="J32" s="17">
        <v>0</v>
      </c>
      <c r="K32" s="17">
        <v>0</v>
      </c>
      <c r="L32" s="17">
        <v>0</v>
      </c>
      <c r="M32" s="17">
        <v>0</v>
      </c>
      <c r="N32" s="17">
        <v>0</v>
      </c>
      <c r="Q32" s="35" t="str">
        <f t="shared" si="1"/>
        <v>PC3201501 - General park development</v>
      </c>
      <c r="R32" s="35" t="str">
        <f t="shared" si="2"/>
        <v>N.005219.05.03 - Aorere PK- demolish &amp; rebuild change FAC</v>
      </c>
      <c r="S32" s="35" t="str">
        <f t="shared" si="3"/>
        <v>PC3201501 - General park development</v>
      </c>
    </row>
    <row r="33" spans="1:19" s="14" customFormat="1" x14ac:dyDescent="0.3">
      <c r="A33" s="15">
        <f t="shared" si="0"/>
        <v>1467343.29</v>
      </c>
      <c r="B33" s="16" t="s">
        <v>322</v>
      </c>
      <c r="C33" s="17" t="s">
        <v>342</v>
      </c>
      <c r="D33" s="17" t="s">
        <v>343</v>
      </c>
      <c r="E33" s="17">
        <v>0</v>
      </c>
      <c r="F33" s="17">
        <v>567343.29</v>
      </c>
      <c r="G33" s="17">
        <v>900000</v>
      </c>
      <c r="H33" s="17">
        <v>0</v>
      </c>
      <c r="I33" s="17">
        <v>0</v>
      </c>
      <c r="J33" s="17">
        <v>0</v>
      </c>
      <c r="K33" s="17">
        <v>0</v>
      </c>
      <c r="L33" s="17">
        <v>0</v>
      </c>
      <c r="M33" s="17">
        <v>0</v>
      </c>
      <c r="N33" s="17">
        <v>0</v>
      </c>
      <c r="Q33" s="35" t="str">
        <f t="shared" si="1"/>
        <v>PC3201501 - General park development</v>
      </c>
      <c r="R33" s="35" t="str">
        <f t="shared" si="2"/>
        <v>N.009960.14.03 - 935 Papakura-Clevedon Road subdivision -</v>
      </c>
      <c r="S33" s="35" t="str">
        <f t="shared" si="3"/>
        <v>PC3201501 - General park development</v>
      </c>
    </row>
    <row r="34" spans="1:19" s="14" customFormat="1" x14ac:dyDescent="0.3">
      <c r="A34" s="15">
        <f t="shared" si="0"/>
        <v>799830.02</v>
      </c>
      <c r="B34" s="16" t="s">
        <v>322</v>
      </c>
      <c r="C34" s="17" t="s">
        <v>342</v>
      </c>
      <c r="D34" s="17" t="s">
        <v>344</v>
      </c>
      <c r="E34" s="17">
        <v>799830.02</v>
      </c>
      <c r="F34" s="17">
        <v>0</v>
      </c>
      <c r="G34" s="17">
        <v>0</v>
      </c>
      <c r="H34" s="17">
        <v>0</v>
      </c>
      <c r="I34" s="17">
        <v>0</v>
      </c>
      <c r="J34" s="17">
        <v>0</v>
      </c>
      <c r="K34" s="17">
        <v>0</v>
      </c>
      <c r="L34" s="17">
        <v>0</v>
      </c>
      <c r="M34" s="17">
        <v>0</v>
      </c>
      <c r="N34" s="17">
        <v>0</v>
      </c>
      <c r="Q34" s="35" t="str">
        <f t="shared" si="1"/>
        <v>PC3201501 - General park development</v>
      </c>
      <c r="R34" s="35" t="str">
        <f t="shared" si="2"/>
        <v>N.009960.14.05 - Kirikiri res - dvp new neighbourhood prk</v>
      </c>
      <c r="S34" s="35" t="str">
        <f t="shared" si="3"/>
        <v>PC3201501 - General park development</v>
      </c>
    </row>
    <row r="35" spans="1:19" s="14" customFormat="1" x14ac:dyDescent="0.3">
      <c r="A35" s="15">
        <f t="shared" si="0"/>
        <v>900000</v>
      </c>
      <c r="B35" s="16" t="s">
        <v>322</v>
      </c>
      <c r="C35" s="17" t="s">
        <v>345</v>
      </c>
      <c r="D35" s="17" t="s">
        <v>346</v>
      </c>
      <c r="E35" s="17">
        <v>700000</v>
      </c>
      <c r="F35" s="17">
        <v>200000</v>
      </c>
      <c r="G35" s="17">
        <v>0</v>
      </c>
      <c r="H35" s="17">
        <v>0</v>
      </c>
      <c r="I35" s="17">
        <v>0</v>
      </c>
      <c r="J35" s="17">
        <v>0</v>
      </c>
      <c r="K35" s="17">
        <v>0</v>
      </c>
      <c r="L35" s="17">
        <v>0</v>
      </c>
      <c r="M35" s="17">
        <v>0</v>
      </c>
      <c r="N35" s="17">
        <v>0</v>
      </c>
      <c r="Q35" s="35" t="str">
        <f t="shared" si="1"/>
        <v>PC3201501 - General park development</v>
      </c>
      <c r="R35" s="35" t="str">
        <f t="shared" si="2"/>
        <v>N.009960.15.02 - Turner Res - develop toilet facilities</v>
      </c>
      <c r="S35" s="35" t="str">
        <f t="shared" si="3"/>
        <v>PC3201501 - General park development</v>
      </c>
    </row>
    <row r="36" spans="1:19" s="14" customFormat="1" x14ac:dyDescent="0.3">
      <c r="A36" s="15">
        <f t="shared" ref="A36:A67" si="4">SUM(E36:N36)</f>
        <v>400000</v>
      </c>
      <c r="B36" s="16" t="s">
        <v>322</v>
      </c>
      <c r="C36" s="17" t="s">
        <v>347</v>
      </c>
      <c r="D36" s="17" t="s">
        <v>348</v>
      </c>
      <c r="E36" s="17">
        <v>400000</v>
      </c>
      <c r="F36" s="17">
        <v>0</v>
      </c>
      <c r="G36" s="17">
        <v>0</v>
      </c>
      <c r="H36" s="17">
        <v>0</v>
      </c>
      <c r="I36" s="17">
        <v>0</v>
      </c>
      <c r="J36" s="17">
        <v>0</v>
      </c>
      <c r="K36" s="17">
        <v>0</v>
      </c>
      <c r="L36" s="17">
        <v>0</v>
      </c>
      <c r="M36" s="17">
        <v>0</v>
      </c>
      <c r="N36" s="17">
        <v>0</v>
      </c>
      <c r="Q36" s="35" t="str">
        <f t="shared" si="1"/>
        <v>PC3201501 - General park development</v>
      </c>
      <c r="R36" s="35" t="str">
        <f t="shared" si="2"/>
        <v>N.009960.16.02 - Rodney - develop toilet facilities</v>
      </c>
      <c r="S36" s="35" t="str">
        <f t="shared" si="3"/>
        <v>PC3201501 - General park development</v>
      </c>
    </row>
    <row r="37" spans="1:19" s="14" customFormat="1" x14ac:dyDescent="0.3">
      <c r="A37" s="15">
        <f t="shared" si="4"/>
        <v>498674</v>
      </c>
      <c r="B37" s="16" t="s">
        <v>322</v>
      </c>
      <c r="C37" s="17" t="s">
        <v>347</v>
      </c>
      <c r="D37" s="17" t="s">
        <v>349</v>
      </c>
      <c r="E37" s="17">
        <v>498674</v>
      </c>
      <c r="F37" s="17">
        <v>0</v>
      </c>
      <c r="G37" s="17">
        <v>0</v>
      </c>
      <c r="H37" s="17">
        <v>0</v>
      </c>
      <c r="I37" s="17">
        <v>0</v>
      </c>
      <c r="J37" s="17">
        <v>0</v>
      </c>
      <c r="K37" s="17">
        <v>0</v>
      </c>
      <c r="L37" s="17">
        <v>0</v>
      </c>
      <c r="M37" s="17">
        <v>0</v>
      </c>
      <c r="N37" s="17">
        <v>0</v>
      </c>
      <c r="Q37" s="35" t="str">
        <f t="shared" si="1"/>
        <v>PC3201501 - General park development</v>
      </c>
      <c r="R37" s="35" t="str">
        <f t="shared" si="2"/>
        <v>N.009960.16.03 - Dida Park Drive, Huapai - develop new ne</v>
      </c>
      <c r="S37" s="35" t="str">
        <f t="shared" si="3"/>
        <v>PC3201501 - General park development</v>
      </c>
    </row>
    <row r="38" spans="1:19" s="14" customFormat="1" x14ac:dyDescent="0.3">
      <c r="A38" s="15">
        <f t="shared" si="4"/>
        <v>570000</v>
      </c>
      <c r="B38" s="16" t="s">
        <v>322</v>
      </c>
      <c r="C38" s="17" t="s">
        <v>347</v>
      </c>
      <c r="D38" s="17" t="s">
        <v>350</v>
      </c>
      <c r="E38" s="17">
        <v>570000</v>
      </c>
      <c r="F38" s="17">
        <v>0</v>
      </c>
      <c r="G38" s="17">
        <v>0</v>
      </c>
      <c r="H38" s="17">
        <v>0</v>
      </c>
      <c r="I38" s="17">
        <v>0</v>
      </c>
      <c r="J38" s="17">
        <v>0</v>
      </c>
      <c r="K38" s="17">
        <v>0</v>
      </c>
      <c r="L38" s="17">
        <v>0</v>
      </c>
      <c r="M38" s="17">
        <v>0</v>
      </c>
      <c r="N38" s="17">
        <v>0</v>
      </c>
      <c r="Q38" s="35" t="str">
        <f t="shared" si="1"/>
        <v>PC3201501 - General park development</v>
      </c>
      <c r="R38" s="35" t="str">
        <f t="shared" si="2"/>
        <v>N.009960.16.04 - Glasgow Park - develop toilet facilities</v>
      </c>
      <c r="S38" s="35" t="str">
        <f t="shared" si="3"/>
        <v>PC3201501 - General park development</v>
      </c>
    </row>
    <row r="39" spans="1:19" s="14" customFormat="1" x14ac:dyDescent="0.3">
      <c r="A39" s="15">
        <f t="shared" si="4"/>
        <v>1250000.49</v>
      </c>
      <c r="B39" s="16" t="s">
        <v>322</v>
      </c>
      <c r="C39" s="17" t="s">
        <v>347</v>
      </c>
      <c r="D39" s="17" t="s">
        <v>351</v>
      </c>
      <c r="E39" s="17">
        <v>625000.49</v>
      </c>
      <c r="F39" s="17">
        <v>625000</v>
      </c>
      <c r="G39" s="17">
        <v>0</v>
      </c>
      <c r="H39" s="17">
        <v>0</v>
      </c>
      <c r="I39" s="17">
        <v>0</v>
      </c>
      <c r="J39" s="17">
        <v>0</v>
      </c>
      <c r="K39" s="17">
        <v>0</v>
      </c>
      <c r="L39" s="17">
        <v>0</v>
      </c>
      <c r="M39" s="17">
        <v>0</v>
      </c>
      <c r="N39" s="17">
        <v>0</v>
      </c>
      <c r="Q39" s="35" t="str">
        <f t="shared" si="1"/>
        <v>PC3201501 - General park development</v>
      </c>
      <c r="R39" s="35" t="str">
        <f t="shared" si="2"/>
        <v>N.009960.16.05 - Waterloo res Milldale-dvp new subrb prk</v>
      </c>
      <c r="S39" s="35" t="str">
        <f t="shared" si="3"/>
        <v>PC3201501 - General park development</v>
      </c>
    </row>
    <row r="40" spans="1:19" s="14" customFormat="1" x14ac:dyDescent="0.3">
      <c r="A40" s="15">
        <f t="shared" si="4"/>
        <v>12834114</v>
      </c>
      <c r="B40" s="16" t="s">
        <v>322</v>
      </c>
      <c r="C40" s="17" t="s">
        <v>352</v>
      </c>
      <c r="D40" s="17" t="s">
        <v>353</v>
      </c>
      <c r="E40" s="17">
        <v>4994114</v>
      </c>
      <c r="F40" s="17">
        <v>7840000</v>
      </c>
      <c r="G40" s="17">
        <v>0</v>
      </c>
      <c r="H40" s="17">
        <v>0</v>
      </c>
      <c r="I40" s="17">
        <v>0</v>
      </c>
      <c r="J40" s="17">
        <v>0</v>
      </c>
      <c r="K40" s="17">
        <v>0</v>
      </c>
      <c r="L40" s="17">
        <v>0</v>
      </c>
      <c r="M40" s="17">
        <v>0</v>
      </c>
      <c r="N40" s="17">
        <v>0</v>
      </c>
      <c r="Q40" s="35" t="str">
        <f t="shared" si="1"/>
        <v>PC3201501 - General park development</v>
      </c>
      <c r="R40" s="35" t="str">
        <f t="shared" si="2"/>
        <v>N.009960.17.02 - Scott Point-dvp sus spts prk (Stage 1b)</v>
      </c>
      <c r="S40" s="35" t="str">
        <f t="shared" si="3"/>
        <v>PC3201501 - General park development</v>
      </c>
    </row>
    <row r="41" spans="1:19" s="14" customFormat="1" x14ac:dyDescent="0.3">
      <c r="A41" s="15">
        <f t="shared" si="4"/>
        <v>286598</v>
      </c>
      <c r="B41" s="16" t="s">
        <v>322</v>
      </c>
      <c r="C41" s="17" t="s">
        <v>354</v>
      </c>
      <c r="D41" s="17" t="s">
        <v>355</v>
      </c>
      <c r="E41" s="17">
        <v>286598</v>
      </c>
      <c r="F41" s="17">
        <v>0</v>
      </c>
      <c r="G41" s="17">
        <v>0</v>
      </c>
      <c r="H41" s="17">
        <v>0</v>
      </c>
      <c r="I41" s="17">
        <v>0</v>
      </c>
      <c r="J41" s="17">
        <v>0</v>
      </c>
      <c r="K41" s="17">
        <v>0</v>
      </c>
      <c r="L41" s="17">
        <v>0</v>
      </c>
      <c r="M41" s="17">
        <v>0</v>
      </c>
      <c r="N41" s="17">
        <v>0</v>
      </c>
      <c r="Q41" s="35" t="str">
        <f t="shared" si="1"/>
        <v>PC3201501 - General park development</v>
      </c>
      <c r="R41" s="35" t="str">
        <f t="shared" si="2"/>
        <v>N.009960.19.02 - Koroi /Clayburn Res-dev neighbourhood pk</v>
      </c>
      <c r="S41" s="35" t="str">
        <f t="shared" si="3"/>
        <v>PC3201501 - General park development</v>
      </c>
    </row>
    <row r="42" spans="1:19" s="14" customFormat="1" x14ac:dyDescent="0.3">
      <c r="A42" s="15">
        <f t="shared" si="4"/>
        <v>-3.9999999105930328E-2</v>
      </c>
      <c r="B42" s="16" t="s">
        <v>322</v>
      </c>
      <c r="C42" s="17" t="s">
        <v>306</v>
      </c>
      <c r="D42" s="17" t="s">
        <v>356</v>
      </c>
      <c r="E42" s="17">
        <v>-7000000</v>
      </c>
      <c r="F42" s="17">
        <v>-11000000.039999999</v>
      </c>
      <c r="G42" s="17">
        <v>2000000.04</v>
      </c>
      <c r="H42" s="17">
        <v>5199999.96</v>
      </c>
      <c r="I42" s="17">
        <v>3999999.96</v>
      </c>
      <c r="J42" s="17">
        <v>6800000.04</v>
      </c>
      <c r="K42" s="17">
        <v>0</v>
      </c>
      <c r="L42" s="17">
        <v>0</v>
      </c>
      <c r="M42" s="17">
        <v>0</v>
      </c>
      <c r="N42" s="17">
        <v>0</v>
      </c>
      <c r="Q42" s="35" t="str">
        <f t="shared" si="1"/>
        <v>PC3201501 - General park development</v>
      </c>
      <c r="R42" s="35" t="str">
        <f t="shared" si="2"/>
        <v>N.011836.01 - General park development - unallocated</v>
      </c>
      <c r="S42" s="35" t="str">
        <f t="shared" si="3"/>
        <v>PC3201501 - General park development</v>
      </c>
    </row>
    <row r="43" spans="1:19" s="14" customFormat="1" x14ac:dyDescent="0.3">
      <c r="A43" s="15">
        <f t="shared" si="4"/>
        <v>300000</v>
      </c>
      <c r="B43" s="16" t="s">
        <v>357</v>
      </c>
      <c r="C43" s="17" t="s">
        <v>323</v>
      </c>
      <c r="D43" s="17" t="s">
        <v>358</v>
      </c>
      <c r="E43" s="17">
        <v>300000</v>
      </c>
      <c r="F43" s="17">
        <v>0</v>
      </c>
      <c r="G43" s="17">
        <v>0</v>
      </c>
      <c r="H43" s="17">
        <v>0</v>
      </c>
      <c r="I43" s="17">
        <v>0</v>
      </c>
      <c r="J43" s="17">
        <v>0</v>
      </c>
      <c r="K43" s="17">
        <v>0</v>
      </c>
      <c r="L43" s="17">
        <v>0</v>
      </c>
      <c r="M43" s="17">
        <v>0</v>
      </c>
      <c r="N43" s="17">
        <v>0</v>
      </c>
      <c r="Q43" s="35" t="str">
        <f t="shared" si="1"/>
        <v>PC3201502 - Playscape development</v>
      </c>
      <c r="R43" s="35" t="str">
        <f t="shared" si="2"/>
        <v>N.007135.03.03 - Ray Faussett Nghbhd Park nw park dev PD</v>
      </c>
      <c r="S43" s="35" t="str">
        <f t="shared" si="3"/>
        <v>PC3201502 - Playscape development</v>
      </c>
    </row>
    <row r="44" spans="1:19" s="14" customFormat="1" x14ac:dyDescent="0.3">
      <c r="A44" s="15">
        <f t="shared" si="4"/>
        <v>100000</v>
      </c>
      <c r="B44" s="16" t="s">
        <v>357</v>
      </c>
      <c r="C44" s="17" t="s">
        <v>330</v>
      </c>
      <c r="D44" s="17" t="s">
        <v>359</v>
      </c>
      <c r="E44" s="17">
        <v>100000</v>
      </c>
      <c r="F44" s="17">
        <v>0</v>
      </c>
      <c r="G44" s="17">
        <v>0</v>
      </c>
      <c r="H44" s="17">
        <v>0</v>
      </c>
      <c r="I44" s="17">
        <v>0</v>
      </c>
      <c r="J44" s="17">
        <v>0</v>
      </c>
      <c r="K44" s="17">
        <v>0</v>
      </c>
      <c r="L44" s="17">
        <v>0</v>
      </c>
      <c r="M44" s="17">
        <v>0</v>
      </c>
      <c r="N44" s="17">
        <v>0</v>
      </c>
      <c r="Q44" s="35" t="str">
        <f t="shared" si="1"/>
        <v>PC3201502 - Playscape development</v>
      </c>
      <c r="R44" s="35" t="str">
        <f t="shared" si="2"/>
        <v>N.009961.09.01 - David Lange Park - build new playground</v>
      </c>
      <c r="S44" s="35" t="str">
        <f t="shared" si="3"/>
        <v>PC3201502 - Playscape development</v>
      </c>
    </row>
    <row r="45" spans="1:19" s="14" customFormat="1" x14ac:dyDescent="0.3">
      <c r="A45" s="15">
        <f t="shared" si="4"/>
        <v>1050000</v>
      </c>
      <c r="B45" s="16" t="s">
        <v>357</v>
      </c>
      <c r="C45" s="17" t="s">
        <v>330</v>
      </c>
      <c r="D45" s="17" t="s">
        <v>360</v>
      </c>
      <c r="E45" s="17">
        <v>50000</v>
      </c>
      <c r="F45" s="17">
        <v>250000</v>
      </c>
      <c r="G45" s="17">
        <v>750000</v>
      </c>
      <c r="H45" s="17">
        <v>0</v>
      </c>
      <c r="I45" s="17">
        <v>0</v>
      </c>
      <c r="J45" s="17">
        <v>0</v>
      </c>
      <c r="K45" s="17">
        <v>0</v>
      </c>
      <c r="L45" s="17">
        <v>0</v>
      </c>
      <c r="M45" s="17">
        <v>0</v>
      </c>
      <c r="N45" s="17">
        <v>0</v>
      </c>
      <c r="Q45" s="35" t="str">
        <f t="shared" si="1"/>
        <v>PC3201502 - Playscape development</v>
      </c>
      <c r="R45" s="35" t="str">
        <f t="shared" si="2"/>
        <v>N.009961.09.02 - Imrie Park-upg plyg &amp; insl perimeter pth</v>
      </c>
      <c r="S45" s="35" t="str">
        <f t="shared" si="3"/>
        <v>PC3201502 - Playscape development</v>
      </c>
    </row>
    <row r="46" spans="1:19" s="14" customFormat="1" x14ac:dyDescent="0.3">
      <c r="A46" s="15">
        <f t="shared" si="4"/>
        <v>853315.19</v>
      </c>
      <c r="B46" s="16" t="s">
        <v>357</v>
      </c>
      <c r="C46" s="17" t="s">
        <v>347</v>
      </c>
      <c r="D46" s="17" t="s">
        <v>361</v>
      </c>
      <c r="E46" s="17">
        <v>853315.19</v>
      </c>
      <c r="F46" s="17">
        <v>0</v>
      </c>
      <c r="G46" s="17">
        <v>0</v>
      </c>
      <c r="H46" s="17">
        <v>0</v>
      </c>
      <c r="I46" s="17">
        <v>0</v>
      </c>
      <c r="J46" s="17">
        <v>0</v>
      </c>
      <c r="K46" s="17">
        <v>0</v>
      </c>
      <c r="L46" s="17">
        <v>0</v>
      </c>
      <c r="M46" s="17">
        <v>0</v>
      </c>
      <c r="N46" s="17">
        <v>0</v>
      </c>
      <c r="Q46" s="35" t="str">
        <f t="shared" si="1"/>
        <v>PC3201502 - Playscape development</v>
      </c>
      <c r="R46" s="35" t="str">
        <f t="shared" si="2"/>
        <v>N.009961.16.03 - Riverhead War Mem Pk-optimise playspace</v>
      </c>
      <c r="S46" s="35" t="str">
        <f t="shared" si="3"/>
        <v>PC3201502 - Playscape development</v>
      </c>
    </row>
    <row r="47" spans="1:19" s="14" customFormat="1" x14ac:dyDescent="0.3">
      <c r="A47" s="15">
        <f t="shared" si="4"/>
        <v>2999153.38</v>
      </c>
      <c r="B47" s="16" t="s">
        <v>362</v>
      </c>
      <c r="C47" s="17" t="s">
        <v>363</v>
      </c>
      <c r="D47" s="17" t="s">
        <v>364</v>
      </c>
      <c r="E47" s="17">
        <v>499153.38</v>
      </c>
      <c r="F47" s="17">
        <v>1500000</v>
      </c>
      <c r="G47" s="17">
        <v>1000000</v>
      </c>
      <c r="H47" s="17">
        <v>0</v>
      </c>
      <c r="I47" s="17">
        <v>0</v>
      </c>
      <c r="J47" s="17">
        <v>0</v>
      </c>
      <c r="K47" s="17">
        <v>0</v>
      </c>
      <c r="L47" s="17">
        <v>0</v>
      </c>
      <c r="M47" s="17">
        <v>0</v>
      </c>
      <c r="N47" s="17">
        <v>0</v>
      </c>
      <c r="Q47" s="35" t="str">
        <f t="shared" si="1"/>
        <v>PC3201503 - Greenway and walkway development</v>
      </c>
      <c r="R47" s="35" t="str">
        <f t="shared" si="2"/>
        <v>N.009962.08.01 - Awataha Greenway pln-contb to dvpment</v>
      </c>
      <c r="S47" s="35" t="str">
        <f t="shared" si="3"/>
        <v>PC3201503 - Greenway and walkway development</v>
      </c>
    </row>
    <row r="48" spans="1:19" s="14" customFormat="1" x14ac:dyDescent="0.3">
      <c r="A48" s="15">
        <f t="shared" si="4"/>
        <v>450000</v>
      </c>
      <c r="B48" s="16" t="s">
        <v>362</v>
      </c>
      <c r="C48" s="17" t="s">
        <v>294</v>
      </c>
      <c r="D48" s="17" t="s">
        <v>365</v>
      </c>
      <c r="E48" s="17">
        <v>0</v>
      </c>
      <c r="F48" s="17">
        <v>450000</v>
      </c>
      <c r="G48" s="17">
        <v>0</v>
      </c>
      <c r="H48" s="17">
        <v>0</v>
      </c>
      <c r="I48" s="17">
        <v>0</v>
      </c>
      <c r="J48" s="17">
        <v>0</v>
      </c>
      <c r="K48" s="17">
        <v>0</v>
      </c>
      <c r="L48" s="17">
        <v>0</v>
      </c>
      <c r="M48" s="17">
        <v>0</v>
      </c>
      <c r="N48" s="17">
        <v>0</v>
      </c>
      <c r="Q48" s="35" t="str">
        <f t="shared" si="1"/>
        <v>PC3201503 - Greenway and walkway development</v>
      </c>
      <c r="R48" s="35" t="str">
        <f t="shared" si="2"/>
        <v>N.009962.11.02 - Ruapotaka Res-dvp greenway connection</v>
      </c>
      <c r="S48" s="35" t="str">
        <f t="shared" si="3"/>
        <v>PC3201503 - Greenway and walkway development</v>
      </c>
    </row>
    <row r="49" spans="1:19" s="14" customFormat="1" x14ac:dyDescent="0.3">
      <c r="A49" s="15">
        <f t="shared" si="4"/>
        <v>1200000</v>
      </c>
      <c r="B49" s="16" t="s">
        <v>362</v>
      </c>
      <c r="C49" s="17" t="s">
        <v>347</v>
      </c>
      <c r="D49" s="17" t="s">
        <v>366</v>
      </c>
      <c r="E49" s="17">
        <v>50000</v>
      </c>
      <c r="F49" s="17">
        <v>200000</v>
      </c>
      <c r="G49" s="17">
        <v>950000</v>
      </c>
      <c r="H49" s="17">
        <v>0</v>
      </c>
      <c r="I49" s="17">
        <v>0</v>
      </c>
      <c r="J49" s="17">
        <v>0</v>
      </c>
      <c r="K49" s="17">
        <v>0</v>
      </c>
      <c r="L49" s="17">
        <v>0</v>
      </c>
      <c r="M49" s="17">
        <v>0</v>
      </c>
      <c r="N49" s="17">
        <v>0</v>
      </c>
      <c r="Q49" s="35" t="str">
        <f t="shared" si="1"/>
        <v>PC3201503 - Greenway and walkway development</v>
      </c>
      <c r="R49" s="35" t="str">
        <f t="shared" si="2"/>
        <v>N.009962.16.02 - Kowhai prk-dvp walkway/cycleway-stg 2</v>
      </c>
      <c r="S49" s="35" t="str">
        <f t="shared" si="3"/>
        <v>PC3201503 - Greenway and walkway development</v>
      </c>
    </row>
    <row r="50" spans="1:19" s="14" customFormat="1" x14ac:dyDescent="0.3">
      <c r="A50" s="15">
        <f t="shared" si="4"/>
        <v>800000</v>
      </c>
      <c r="B50" s="16" t="s">
        <v>362</v>
      </c>
      <c r="C50" s="17" t="s">
        <v>352</v>
      </c>
      <c r="D50" s="17" t="s">
        <v>367</v>
      </c>
      <c r="E50" s="17">
        <v>0</v>
      </c>
      <c r="F50" s="17">
        <v>0</v>
      </c>
      <c r="G50" s="17">
        <v>800000</v>
      </c>
      <c r="H50" s="17">
        <v>0</v>
      </c>
      <c r="I50" s="17">
        <v>0</v>
      </c>
      <c r="J50" s="17">
        <v>0</v>
      </c>
      <c r="K50" s="17">
        <v>0</v>
      </c>
      <c r="L50" s="17">
        <v>0</v>
      </c>
      <c r="M50" s="17">
        <v>0</v>
      </c>
      <c r="N50" s="17">
        <v>0</v>
      </c>
      <c r="Q50" s="35" t="str">
        <f t="shared" si="1"/>
        <v>PC3201503 - Greenway and walkway development</v>
      </c>
      <c r="R50" s="35" t="str">
        <f t="shared" si="2"/>
        <v>N.009962.17.01 - Upper Harbour - implement actions from t</v>
      </c>
      <c r="S50" s="35" t="str">
        <f t="shared" si="3"/>
        <v>PC3201503 - Greenway and walkway development</v>
      </c>
    </row>
    <row r="51" spans="1:19" s="14" customFormat="1" x14ac:dyDescent="0.3">
      <c r="A51" s="15">
        <f t="shared" si="4"/>
        <v>5000000</v>
      </c>
      <c r="B51" s="16" t="s">
        <v>368</v>
      </c>
      <c r="C51" s="17" t="s">
        <v>323</v>
      </c>
      <c r="D51" s="17" t="s">
        <v>369</v>
      </c>
      <c r="E51" s="17">
        <v>25000</v>
      </c>
      <c r="F51" s="17">
        <v>200000</v>
      </c>
      <c r="G51" s="17">
        <v>1000000</v>
      </c>
      <c r="H51" s="17">
        <v>1775000</v>
      </c>
      <c r="I51" s="17">
        <v>2000000</v>
      </c>
      <c r="J51" s="17">
        <v>0</v>
      </c>
      <c r="K51" s="17">
        <v>0</v>
      </c>
      <c r="L51" s="17">
        <v>0</v>
      </c>
      <c r="M51" s="17">
        <v>0</v>
      </c>
      <c r="N51" s="17">
        <v>0</v>
      </c>
      <c r="Q51" s="35" t="str">
        <f t="shared" si="1"/>
        <v>PC3201504 - Sport development</v>
      </c>
      <c r="R51" s="35" t="str">
        <f t="shared" si="2"/>
        <v>N.009963.03.05 - Belmont Park - develop sports park</v>
      </c>
      <c r="S51" s="35" t="str">
        <f t="shared" si="3"/>
        <v>PC3201504 - Sport development</v>
      </c>
    </row>
    <row r="52" spans="1:19" s="14" customFormat="1" x14ac:dyDescent="0.3">
      <c r="A52" s="15">
        <f t="shared" si="4"/>
        <v>2500000</v>
      </c>
      <c r="B52" s="16" t="s">
        <v>368</v>
      </c>
      <c r="C52" s="17" t="s">
        <v>330</v>
      </c>
      <c r="D52" s="17" t="s">
        <v>370</v>
      </c>
      <c r="E52" s="17">
        <v>650000</v>
      </c>
      <c r="F52" s="17">
        <v>1850000</v>
      </c>
      <c r="G52" s="17">
        <v>0</v>
      </c>
      <c r="H52" s="17">
        <v>0</v>
      </c>
      <c r="I52" s="17">
        <v>0</v>
      </c>
      <c r="J52" s="17">
        <v>0</v>
      </c>
      <c r="K52" s="17">
        <v>0</v>
      </c>
      <c r="L52" s="17">
        <v>0</v>
      </c>
      <c r="M52" s="17">
        <v>0</v>
      </c>
      <c r="N52" s="17">
        <v>0</v>
      </c>
      <c r="Q52" s="35" t="str">
        <f t="shared" si="1"/>
        <v>PC3201504 - Sport development</v>
      </c>
      <c r="R52" s="35" t="str">
        <f t="shared" si="2"/>
        <v>N.009963.09.02 - WM Park-upg sports fields &amp; lighting</v>
      </c>
      <c r="S52" s="35" t="str">
        <f t="shared" si="3"/>
        <v>PC3201504 - Sport development</v>
      </c>
    </row>
    <row r="53" spans="1:19" s="14" customFormat="1" x14ac:dyDescent="0.3">
      <c r="A53" s="15">
        <f t="shared" si="4"/>
        <v>400000</v>
      </c>
      <c r="B53" s="16" t="s">
        <v>368</v>
      </c>
      <c r="C53" s="17" t="s">
        <v>330</v>
      </c>
      <c r="D53" s="17" t="s">
        <v>371</v>
      </c>
      <c r="E53" s="17">
        <v>0</v>
      </c>
      <c r="F53" s="17">
        <v>400000</v>
      </c>
      <c r="G53" s="17">
        <v>0</v>
      </c>
      <c r="H53" s="17">
        <v>0</v>
      </c>
      <c r="I53" s="17">
        <v>0</v>
      </c>
      <c r="J53" s="17">
        <v>0</v>
      </c>
      <c r="K53" s="17">
        <v>0</v>
      </c>
      <c r="L53" s="17">
        <v>0</v>
      </c>
      <c r="M53" s="17">
        <v>0</v>
      </c>
      <c r="N53" s="17">
        <v>0</v>
      </c>
      <c r="Q53" s="35" t="str">
        <f t="shared" si="1"/>
        <v>PC3201504 - Sport development</v>
      </c>
      <c r="R53" s="35" t="str">
        <f t="shared" si="2"/>
        <v>N.009963.09.03 - David Lange Park - upgrade netball FAC</v>
      </c>
      <c r="S53" s="35" t="str">
        <f t="shared" si="3"/>
        <v>PC3201504 - Sport development</v>
      </c>
    </row>
    <row r="54" spans="1:19" s="14" customFormat="1" x14ac:dyDescent="0.3">
      <c r="A54" s="15">
        <f t="shared" si="4"/>
        <v>2950000</v>
      </c>
      <c r="B54" s="16" t="s">
        <v>368</v>
      </c>
      <c r="C54" s="17" t="s">
        <v>309</v>
      </c>
      <c r="D54" s="17" t="s">
        <v>372</v>
      </c>
      <c r="E54" s="17">
        <v>0</v>
      </c>
      <c r="F54" s="17">
        <v>150000</v>
      </c>
      <c r="G54" s="17">
        <v>600000</v>
      </c>
      <c r="H54" s="17">
        <v>1000000</v>
      </c>
      <c r="I54" s="17">
        <v>1200000</v>
      </c>
      <c r="J54" s="17">
        <v>0</v>
      </c>
      <c r="K54" s="17">
        <v>0</v>
      </c>
      <c r="L54" s="17">
        <v>0</v>
      </c>
      <c r="M54" s="17">
        <v>0</v>
      </c>
      <c r="N54" s="17">
        <v>0</v>
      </c>
      <c r="Q54" s="35" t="str">
        <f t="shared" si="1"/>
        <v>PC3201504 - Sport development</v>
      </c>
      <c r="R54" s="35" t="str">
        <f t="shared" si="2"/>
        <v>N.009963.12.04 - CM Park-dvlp sports infst-stage 2</v>
      </c>
      <c r="S54" s="35" t="str">
        <f t="shared" si="3"/>
        <v>PC3201504 - Sport development</v>
      </c>
    </row>
    <row r="55" spans="1:19" s="14" customFormat="1" x14ac:dyDescent="0.3">
      <c r="A55" s="15">
        <f t="shared" si="4"/>
        <v>774390.52</v>
      </c>
      <c r="B55" s="16" t="s">
        <v>368</v>
      </c>
      <c r="C55" s="17" t="s">
        <v>340</v>
      </c>
      <c r="D55" s="17" t="s">
        <v>373</v>
      </c>
      <c r="E55" s="17">
        <v>0</v>
      </c>
      <c r="F55" s="17">
        <v>774390.52</v>
      </c>
      <c r="G55" s="17">
        <v>0</v>
      </c>
      <c r="H55" s="17">
        <v>0</v>
      </c>
      <c r="I55" s="17">
        <v>0</v>
      </c>
      <c r="J55" s="17">
        <v>0</v>
      </c>
      <c r="K55" s="17">
        <v>0</v>
      </c>
      <c r="L55" s="17">
        <v>0</v>
      </c>
      <c r="M55" s="17">
        <v>0</v>
      </c>
      <c r="N55" s="17">
        <v>0</v>
      </c>
      <c r="Q55" s="35" t="str">
        <f t="shared" si="1"/>
        <v>PC3201504 - Sport development</v>
      </c>
      <c r="R55" s="35" t="str">
        <f t="shared" si="2"/>
        <v>N.009963.13.02 - Rongomai Park - upgrade sportsfields</v>
      </c>
      <c r="S55" s="35" t="str">
        <f t="shared" si="3"/>
        <v>PC3201504 - Sport development</v>
      </c>
    </row>
    <row r="56" spans="1:19" s="14" customFormat="1" x14ac:dyDescent="0.3">
      <c r="A56" s="15">
        <f t="shared" si="4"/>
        <v>1300000</v>
      </c>
      <c r="B56" s="16" t="s">
        <v>368</v>
      </c>
      <c r="C56" s="17" t="s">
        <v>340</v>
      </c>
      <c r="D56" s="17" t="s">
        <v>374</v>
      </c>
      <c r="E56" s="17">
        <v>75000</v>
      </c>
      <c r="F56" s="17">
        <v>500000</v>
      </c>
      <c r="G56" s="17">
        <v>725000</v>
      </c>
      <c r="H56" s="17">
        <v>0</v>
      </c>
      <c r="I56" s="17">
        <v>0</v>
      </c>
      <c r="J56" s="17">
        <v>0</v>
      </c>
      <c r="K56" s="17">
        <v>0</v>
      </c>
      <c r="L56" s="17">
        <v>0</v>
      </c>
      <c r="M56" s="17">
        <v>0</v>
      </c>
      <c r="N56" s="17">
        <v>0</v>
      </c>
      <c r="Q56" s="35" t="str">
        <f t="shared" si="1"/>
        <v>PC3201504 - Sport development</v>
      </c>
      <c r="R56" s="35" t="str">
        <f t="shared" si="2"/>
        <v>N.009963.13.03 - East Tamaki Res - upgrade sports fields</v>
      </c>
      <c r="S56" s="35" t="str">
        <f t="shared" si="3"/>
        <v>PC3201504 - Sport development</v>
      </c>
    </row>
    <row r="57" spans="1:19" s="14" customFormat="1" x14ac:dyDescent="0.3">
      <c r="A57" s="15">
        <f t="shared" si="4"/>
        <v>1600000</v>
      </c>
      <c r="B57" s="16" t="s">
        <v>368</v>
      </c>
      <c r="C57" s="17" t="s">
        <v>340</v>
      </c>
      <c r="D57" s="17" t="s">
        <v>375</v>
      </c>
      <c r="E57" s="17">
        <v>0</v>
      </c>
      <c r="F57" s="17">
        <v>100000</v>
      </c>
      <c r="G57" s="17">
        <v>250000</v>
      </c>
      <c r="H57" s="17">
        <v>500000</v>
      </c>
      <c r="I57" s="17">
        <v>750000</v>
      </c>
      <c r="J57" s="17">
        <v>0</v>
      </c>
      <c r="K57" s="17">
        <v>0</v>
      </c>
      <c r="L57" s="17">
        <v>0</v>
      </c>
      <c r="M57" s="17">
        <v>0</v>
      </c>
      <c r="N57" s="17">
        <v>0</v>
      </c>
      <c r="Q57" s="35" t="str">
        <f t="shared" si="1"/>
        <v>PC3201504 - Sport development</v>
      </c>
      <c r="R57" s="35" t="str">
        <f t="shared" si="2"/>
        <v>N.009963.13.04 - Rongomai prk-upgrade sportsfields 4 &amp; 5</v>
      </c>
      <c r="S57" s="35" t="str">
        <f t="shared" si="3"/>
        <v>PC3201504 - Sport development</v>
      </c>
    </row>
    <row r="58" spans="1:19" s="14" customFormat="1" x14ac:dyDescent="0.3">
      <c r="A58" s="15">
        <f t="shared" si="4"/>
        <v>5000000</v>
      </c>
      <c r="B58" s="16" t="s">
        <v>368</v>
      </c>
      <c r="C58" s="17" t="s">
        <v>352</v>
      </c>
      <c r="D58" s="17" t="s">
        <v>376</v>
      </c>
      <c r="E58" s="17">
        <v>3200000</v>
      </c>
      <c r="F58" s="17">
        <v>1800000</v>
      </c>
      <c r="G58" s="17">
        <v>0</v>
      </c>
      <c r="H58" s="17">
        <v>0</v>
      </c>
      <c r="I58" s="17">
        <v>0</v>
      </c>
      <c r="J58" s="17">
        <v>0</v>
      </c>
      <c r="K58" s="17">
        <v>0</v>
      </c>
      <c r="L58" s="17">
        <v>0</v>
      </c>
      <c r="M58" s="17">
        <v>0</v>
      </c>
      <c r="N58" s="17">
        <v>0</v>
      </c>
      <c r="Q58" s="35" t="str">
        <f t="shared" si="1"/>
        <v>PC3201504 - Sport development</v>
      </c>
      <c r="R58" s="35" t="str">
        <f t="shared" si="2"/>
        <v>N.009963.37.01 - PFund - Scott Point-dev sustain sprt prk</v>
      </c>
      <c r="S58" s="35" t="str">
        <f t="shared" si="3"/>
        <v>PC3201504 - Sport development</v>
      </c>
    </row>
    <row r="59" spans="1:19" s="14" customFormat="1" x14ac:dyDescent="0.3">
      <c r="A59" s="15">
        <f t="shared" si="4"/>
        <v>200000</v>
      </c>
      <c r="B59" s="16" t="s">
        <v>368</v>
      </c>
      <c r="C59" s="17" t="s">
        <v>354</v>
      </c>
      <c r="D59" s="17" t="s">
        <v>377</v>
      </c>
      <c r="E59" s="17">
        <v>200000</v>
      </c>
      <c r="F59" s="17">
        <v>0</v>
      </c>
      <c r="G59" s="17">
        <v>0</v>
      </c>
      <c r="H59" s="17">
        <v>0</v>
      </c>
      <c r="I59" s="17">
        <v>0</v>
      </c>
      <c r="J59" s="17">
        <v>0</v>
      </c>
      <c r="K59" s="17">
        <v>0</v>
      </c>
      <c r="L59" s="17">
        <v>0</v>
      </c>
      <c r="M59" s="17">
        <v>0</v>
      </c>
      <c r="N59" s="17">
        <v>0</v>
      </c>
      <c r="Q59" s="35" t="str">
        <f t="shared" si="1"/>
        <v>PC3201504 - Sport development</v>
      </c>
      <c r="R59" s="35" t="str">
        <f t="shared" si="2"/>
        <v>N.007739.19.01 - Sports lighting &amp; sportfield upgrades</v>
      </c>
      <c r="S59" s="35" t="str">
        <f t="shared" si="3"/>
        <v>PC3201504 - Sport development</v>
      </c>
    </row>
    <row r="60" spans="1:19" s="14" customFormat="1" x14ac:dyDescent="0.3">
      <c r="A60" s="15">
        <f t="shared" si="4"/>
        <v>629760</v>
      </c>
      <c r="B60" s="16" t="s">
        <v>378</v>
      </c>
      <c r="C60" s="17" t="s">
        <v>309</v>
      </c>
      <c r="D60" s="17" t="s">
        <v>379</v>
      </c>
      <c r="E60" s="17">
        <v>0</v>
      </c>
      <c r="F60" s="17">
        <v>629760</v>
      </c>
      <c r="G60" s="17">
        <v>0</v>
      </c>
      <c r="H60" s="17">
        <v>0</v>
      </c>
      <c r="I60" s="17">
        <v>0</v>
      </c>
      <c r="J60" s="17">
        <v>0</v>
      </c>
      <c r="K60" s="17">
        <v>0</v>
      </c>
      <c r="L60" s="17">
        <v>0</v>
      </c>
      <c r="M60" s="17">
        <v>0</v>
      </c>
      <c r="N60" s="17">
        <v>0</v>
      </c>
      <c r="Q60" s="35" t="str">
        <f t="shared" si="1"/>
        <v>PC3201514 - BMX track (Colin Maiden Park)</v>
      </c>
      <c r="R60" s="35" t="str">
        <f t="shared" si="2"/>
        <v>N.010039.22 - BMX track Colin Maiden Park</v>
      </c>
      <c r="S60" s="35" t="str">
        <f t="shared" si="3"/>
        <v>PC3201514 - BMX track (Colin Maiden Park)</v>
      </c>
    </row>
    <row r="61" spans="1:19" s="14" customFormat="1" x14ac:dyDescent="0.3">
      <c r="A61" s="15">
        <f t="shared" si="4"/>
        <v>3010819</v>
      </c>
      <c r="B61" s="16" t="s">
        <v>380</v>
      </c>
      <c r="C61" s="17" t="s">
        <v>297</v>
      </c>
      <c r="D61" s="17" t="s">
        <v>381</v>
      </c>
      <c r="E61" s="17">
        <v>125000</v>
      </c>
      <c r="F61" s="17">
        <v>500000</v>
      </c>
      <c r="G61" s="17">
        <v>2385819</v>
      </c>
      <c r="H61" s="17">
        <v>0</v>
      </c>
      <c r="I61" s="17">
        <v>0</v>
      </c>
      <c r="J61" s="17">
        <v>0</v>
      </c>
      <c r="K61" s="17">
        <v>0</v>
      </c>
      <c r="L61" s="17">
        <v>0</v>
      </c>
      <c r="M61" s="17">
        <v>0</v>
      </c>
      <c r="N61" s="17">
        <v>0</v>
      </c>
      <c r="Q61" s="35" t="str">
        <f t="shared" si="1"/>
        <v>PC3201520 - Development (Styak-Lushington park)</v>
      </c>
      <c r="R61" s="35" t="str">
        <f t="shared" si="2"/>
        <v>N.010041.07.01 - Greenmount Development - develop public</v>
      </c>
      <c r="S61" s="35" t="str">
        <f t="shared" si="3"/>
        <v>PC3201520 - Development (Styak-Lushington park)</v>
      </c>
    </row>
    <row r="62" spans="1:19" s="14" customFormat="1" x14ac:dyDescent="0.3">
      <c r="A62" s="15">
        <f t="shared" si="4"/>
        <v>94061.239999999991</v>
      </c>
      <c r="B62" s="16" t="s">
        <v>382</v>
      </c>
      <c r="C62" s="17" t="s">
        <v>323</v>
      </c>
      <c r="D62" s="17" t="s">
        <v>383</v>
      </c>
      <c r="E62" s="17">
        <v>30000</v>
      </c>
      <c r="F62" s="17">
        <v>10720</v>
      </c>
      <c r="G62" s="17">
        <v>53341.24</v>
      </c>
      <c r="H62" s="17">
        <v>0</v>
      </c>
      <c r="I62" s="17">
        <v>0</v>
      </c>
      <c r="J62" s="17">
        <v>0</v>
      </c>
      <c r="K62" s="17">
        <v>0</v>
      </c>
      <c r="L62" s="17">
        <v>0</v>
      </c>
      <c r="M62" s="17">
        <v>0</v>
      </c>
      <c r="N62" s="17">
        <v>0</v>
      </c>
      <c r="Q62" s="35" t="str">
        <f t="shared" si="1"/>
        <v>PC3201527 - Locally driven initiatives (LDI Capex)</v>
      </c>
      <c r="R62" s="35" t="str">
        <f t="shared" si="2"/>
        <v>N.009964.03.02 - Pohutukawa Coast Trails - implement plan</v>
      </c>
      <c r="S62" s="35" t="str">
        <f t="shared" si="3"/>
        <v>PC3201527 - Locally driven initiatives (LDI Capex)</v>
      </c>
    </row>
    <row r="63" spans="1:19" s="14" customFormat="1" x14ac:dyDescent="0.3">
      <c r="A63" s="15">
        <f t="shared" si="4"/>
        <v>49800</v>
      </c>
      <c r="B63" s="16" t="s">
        <v>382</v>
      </c>
      <c r="C63" s="17" t="s">
        <v>323</v>
      </c>
      <c r="D63" s="17" t="s">
        <v>384</v>
      </c>
      <c r="E63" s="17">
        <v>35000</v>
      </c>
      <c r="F63" s="17">
        <v>14800</v>
      </c>
      <c r="G63" s="17">
        <v>0</v>
      </c>
      <c r="H63" s="17">
        <v>0</v>
      </c>
      <c r="I63" s="17">
        <v>0</v>
      </c>
      <c r="J63" s="17">
        <v>0</v>
      </c>
      <c r="K63" s="17">
        <v>0</v>
      </c>
      <c r="L63" s="17">
        <v>0</v>
      </c>
      <c r="M63" s="17">
        <v>0</v>
      </c>
      <c r="N63" s="17">
        <v>0</v>
      </c>
      <c r="Q63" s="35" t="str">
        <f t="shared" si="1"/>
        <v>PC3201527 - Locally driven initiatives (LDI Capex)</v>
      </c>
      <c r="R63" s="35" t="str">
        <f t="shared" si="2"/>
        <v>N.009964.03.22 - Puke Clarks Beach,Trails-dvp delivry prg</v>
      </c>
      <c r="S63" s="35" t="str">
        <f t="shared" si="3"/>
        <v>PC3201527 - Locally driven initiatives (LDI Capex)</v>
      </c>
    </row>
    <row r="64" spans="1:19" s="14" customFormat="1" x14ac:dyDescent="0.3">
      <c r="A64" s="15">
        <f t="shared" si="4"/>
        <v>390000</v>
      </c>
      <c r="B64" s="16" t="s">
        <v>382</v>
      </c>
      <c r="C64" s="17" t="s">
        <v>323</v>
      </c>
      <c r="D64" s="17" t="s">
        <v>385</v>
      </c>
      <c r="E64" s="17">
        <v>5000</v>
      </c>
      <c r="F64" s="17">
        <v>30000</v>
      </c>
      <c r="G64" s="17">
        <v>355000</v>
      </c>
      <c r="H64" s="17">
        <v>0</v>
      </c>
      <c r="I64" s="17">
        <v>0</v>
      </c>
      <c r="J64" s="17">
        <v>0</v>
      </c>
      <c r="K64" s="17">
        <v>0</v>
      </c>
      <c r="L64" s="17">
        <v>0</v>
      </c>
      <c r="M64" s="17">
        <v>0</v>
      </c>
      <c r="N64" s="17">
        <v>0</v>
      </c>
      <c r="Q64" s="35" t="str">
        <f t="shared" si="1"/>
        <v>PC3201527 - Locally driven initiatives (LDI Capex)</v>
      </c>
      <c r="R64" s="35" t="str">
        <f t="shared" si="2"/>
        <v>N.009964.03.23 - P-P Paths-dvp Rte 4-PukeStd,ErniesRes</v>
      </c>
      <c r="S64" s="35" t="str">
        <f t="shared" si="3"/>
        <v>PC3201527 - Locally driven initiatives (LDI Capex)</v>
      </c>
    </row>
    <row r="65" spans="1:19" s="14" customFormat="1" x14ac:dyDescent="0.3">
      <c r="A65" s="15">
        <f t="shared" si="4"/>
        <v>475000</v>
      </c>
      <c r="B65" s="16" t="s">
        <v>382</v>
      </c>
      <c r="C65" s="17" t="s">
        <v>323</v>
      </c>
      <c r="D65" s="17" t="s">
        <v>386</v>
      </c>
      <c r="E65" s="17">
        <v>15000</v>
      </c>
      <c r="F65" s="17">
        <v>460000</v>
      </c>
      <c r="G65" s="17">
        <v>0</v>
      </c>
      <c r="H65" s="17">
        <v>0</v>
      </c>
      <c r="I65" s="17">
        <v>0</v>
      </c>
      <c r="J65" s="17">
        <v>0</v>
      </c>
      <c r="K65" s="17">
        <v>0</v>
      </c>
      <c r="L65" s="17">
        <v>0</v>
      </c>
      <c r="M65" s="17">
        <v>0</v>
      </c>
      <c r="N65" s="17">
        <v>0</v>
      </c>
      <c r="Q65" s="35" t="str">
        <f t="shared" si="1"/>
        <v>PC3201527 - Locally driven initiatives (LDI Capex)</v>
      </c>
      <c r="R65" s="35" t="str">
        <f t="shared" si="2"/>
        <v>N.009964.03.24 - P-P Paths-dvp Rte 5-Hickeys Rec res</v>
      </c>
      <c r="S65" s="35" t="str">
        <f t="shared" si="3"/>
        <v>PC3201527 - Locally driven initiatives (LDI Capex)</v>
      </c>
    </row>
    <row r="66" spans="1:19" s="14" customFormat="1" x14ac:dyDescent="0.3">
      <c r="A66" s="15">
        <f t="shared" si="4"/>
        <v>295000</v>
      </c>
      <c r="B66" s="16" t="s">
        <v>382</v>
      </c>
      <c r="C66" s="17" t="s">
        <v>323</v>
      </c>
      <c r="D66" s="17" t="s">
        <v>387</v>
      </c>
      <c r="E66" s="17">
        <v>0</v>
      </c>
      <c r="F66" s="17">
        <v>30000</v>
      </c>
      <c r="G66" s="17">
        <v>265000</v>
      </c>
      <c r="H66" s="17">
        <v>0</v>
      </c>
      <c r="I66" s="17">
        <v>0</v>
      </c>
      <c r="J66" s="17">
        <v>0</v>
      </c>
      <c r="K66" s="17">
        <v>0</v>
      </c>
      <c r="L66" s="17">
        <v>0</v>
      </c>
      <c r="M66" s="17">
        <v>0</v>
      </c>
      <c r="N66" s="17">
        <v>0</v>
      </c>
      <c r="Q66" s="35" t="str">
        <f t="shared" si="1"/>
        <v>PC3201527 - Locally driven initiatives (LDI Capex)</v>
      </c>
      <c r="R66" s="35" t="str">
        <f t="shared" si="2"/>
        <v>N.009964.03.25 - P-P Paths-dvp Route 7-Bledisloe prk</v>
      </c>
      <c r="S66" s="35" t="str">
        <f t="shared" si="3"/>
        <v>PC3201527 - Locally driven initiatives (LDI Capex)</v>
      </c>
    </row>
    <row r="67" spans="1:19" s="14" customFormat="1" x14ac:dyDescent="0.3">
      <c r="A67" s="15">
        <f t="shared" si="4"/>
        <v>450000</v>
      </c>
      <c r="B67" s="16" t="s">
        <v>382</v>
      </c>
      <c r="C67" s="17" t="s">
        <v>323</v>
      </c>
      <c r="D67" s="17" t="s">
        <v>388</v>
      </c>
      <c r="E67" s="17">
        <v>5000</v>
      </c>
      <c r="F67" s="17">
        <v>25000</v>
      </c>
      <c r="G67" s="17">
        <v>150000</v>
      </c>
      <c r="H67" s="17">
        <v>270000</v>
      </c>
      <c r="I67" s="17">
        <v>0</v>
      </c>
      <c r="J67" s="17">
        <v>0</v>
      </c>
      <c r="K67" s="17">
        <v>0</v>
      </c>
      <c r="L67" s="17">
        <v>0</v>
      </c>
      <c r="M67" s="17">
        <v>0</v>
      </c>
      <c r="N67" s="17">
        <v>0</v>
      </c>
      <c r="Q67" s="35" t="str">
        <f t="shared" si="1"/>
        <v>PC3201527 - Locally driven initiatives (LDI Capex)</v>
      </c>
      <c r="R67" s="35" t="str">
        <f t="shared" si="2"/>
        <v>N.009964.03.26 - Clevedon Scenic Res-dvp Nikau Pa tracks</v>
      </c>
      <c r="S67" s="35" t="str">
        <f t="shared" si="3"/>
        <v>PC3201527 - Locally driven initiatives (LDI Capex)</v>
      </c>
    </row>
    <row r="68" spans="1:19" s="14" customFormat="1" x14ac:dyDescent="0.3">
      <c r="A68" s="15">
        <f t="shared" ref="A68:A86" si="5">SUM(E68:N68)</f>
        <v>169500</v>
      </c>
      <c r="B68" s="16" t="s">
        <v>382</v>
      </c>
      <c r="C68" s="17" t="s">
        <v>323</v>
      </c>
      <c r="D68" s="17" t="s">
        <v>389</v>
      </c>
      <c r="E68" s="17">
        <v>30000</v>
      </c>
      <c r="F68" s="17">
        <v>139500</v>
      </c>
      <c r="G68" s="17">
        <v>0</v>
      </c>
      <c r="H68" s="17">
        <v>0</v>
      </c>
      <c r="I68" s="17">
        <v>0</v>
      </c>
      <c r="J68" s="17">
        <v>0</v>
      </c>
      <c r="K68" s="17">
        <v>0</v>
      </c>
      <c r="L68" s="17">
        <v>0</v>
      </c>
      <c r="M68" s="17">
        <v>0</v>
      </c>
      <c r="N68" s="17">
        <v>0</v>
      </c>
      <c r="Q68" s="35" t="str">
        <f t="shared" ref="Q68:Q86" si="6">B68</f>
        <v>PC3201527 - Locally driven initiatives (LDI Capex)</v>
      </c>
      <c r="R68" s="35" t="str">
        <f t="shared" ref="R68:R86" si="7">D68</f>
        <v>N.009964.03.28 - Karaka Sports Park - renew accessway</v>
      </c>
      <c r="S68" s="35" t="str">
        <f t="shared" ref="S68:S86" si="8">Q68</f>
        <v>PC3201527 - Locally driven initiatives (LDI Capex)</v>
      </c>
    </row>
    <row r="69" spans="1:19" s="14" customFormat="1" x14ac:dyDescent="0.3">
      <c r="A69" s="15">
        <f t="shared" si="5"/>
        <v>481825.01</v>
      </c>
      <c r="B69" s="16" t="s">
        <v>382</v>
      </c>
      <c r="C69" s="17" t="s">
        <v>326</v>
      </c>
      <c r="D69" s="17" t="s">
        <v>390</v>
      </c>
      <c r="E69" s="17">
        <v>9210.01</v>
      </c>
      <c r="F69" s="17">
        <v>215702</v>
      </c>
      <c r="G69" s="17">
        <v>256913</v>
      </c>
      <c r="H69" s="17">
        <v>0</v>
      </c>
      <c r="I69" s="17">
        <v>0</v>
      </c>
      <c r="J69" s="17">
        <v>0</v>
      </c>
      <c r="K69" s="17">
        <v>0</v>
      </c>
      <c r="L69" s="17">
        <v>0</v>
      </c>
      <c r="M69" s="17">
        <v>0</v>
      </c>
      <c r="N69" s="17">
        <v>0</v>
      </c>
      <c r="Q69" s="35" t="str">
        <f t="shared" si="6"/>
        <v>PC3201527 - Locally driven initiatives (LDI Capex)</v>
      </c>
      <c r="R69" s="35" t="str">
        <f t="shared" si="7"/>
        <v>N.009964.06.27 - Sd War Memorial pk-dvlp new pathway</v>
      </c>
      <c r="S69" s="35" t="str">
        <f t="shared" si="8"/>
        <v>PC3201527 - Locally driven initiatives (LDI Capex)</v>
      </c>
    </row>
    <row r="70" spans="1:19" s="14" customFormat="1" x14ac:dyDescent="0.3">
      <c r="A70" s="15">
        <f t="shared" si="5"/>
        <v>388496.31</v>
      </c>
      <c r="B70" s="16" t="s">
        <v>382</v>
      </c>
      <c r="C70" s="17" t="s">
        <v>330</v>
      </c>
      <c r="D70" s="17" t="s">
        <v>391</v>
      </c>
      <c r="E70" s="17">
        <v>88496.31</v>
      </c>
      <c r="F70" s="17">
        <v>300000</v>
      </c>
      <c r="G70" s="17">
        <v>0</v>
      </c>
      <c r="H70" s="17">
        <v>0</v>
      </c>
      <c r="I70" s="17">
        <v>0</v>
      </c>
      <c r="J70" s="17">
        <v>0</v>
      </c>
      <c r="K70" s="17">
        <v>0</v>
      </c>
      <c r="L70" s="17">
        <v>0</v>
      </c>
      <c r="M70" s="17">
        <v>0</v>
      </c>
      <c r="N70" s="17">
        <v>0</v>
      </c>
      <c r="Q70" s="35" t="str">
        <f t="shared" si="6"/>
        <v>PC3201527 - Locally driven initiatives (LDI Capex)</v>
      </c>
      <c r="R70" s="35" t="str">
        <f t="shared" si="7"/>
        <v>N.009964.09.09 - N H Mgr ctr prk-constof new ablution blk</v>
      </c>
      <c r="S70" s="35" t="str">
        <f t="shared" si="8"/>
        <v>PC3201527 - Locally driven initiatives (LDI Capex)</v>
      </c>
    </row>
    <row r="71" spans="1:19" s="14" customFormat="1" x14ac:dyDescent="0.3">
      <c r="A71" s="15">
        <f t="shared" si="5"/>
        <v>25000</v>
      </c>
      <c r="B71" s="16" t="s">
        <v>382</v>
      </c>
      <c r="C71" s="17" t="s">
        <v>330</v>
      </c>
      <c r="D71" s="17" t="s">
        <v>392</v>
      </c>
      <c r="E71" s="17">
        <v>25000</v>
      </c>
      <c r="F71" s="17">
        <v>0</v>
      </c>
      <c r="G71" s="17">
        <v>0</v>
      </c>
      <c r="H71" s="17">
        <v>0</v>
      </c>
      <c r="I71" s="17">
        <v>0</v>
      </c>
      <c r="J71" s="17">
        <v>0</v>
      </c>
      <c r="K71" s="17">
        <v>0</v>
      </c>
      <c r="L71" s="17">
        <v>0</v>
      </c>
      <c r="M71" s="17">
        <v>0</v>
      </c>
      <c r="N71" s="17">
        <v>0</v>
      </c>
      <c r="Q71" s="35" t="str">
        <f t="shared" si="6"/>
        <v>PC3201527 - Locally driven initiatives (LDI Capex)</v>
      </c>
      <c r="R71" s="35" t="str">
        <f t="shared" si="7"/>
        <v>N.009964.09.12 - NHM/M Ctr Park-dvlp new pathway</v>
      </c>
      <c r="S71" s="35" t="str">
        <f t="shared" si="8"/>
        <v>PC3201527 - Locally driven initiatives (LDI Capex)</v>
      </c>
    </row>
    <row r="72" spans="1:19" s="14" customFormat="1" x14ac:dyDescent="0.3">
      <c r="A72" s="15">
        <f t="shared" si="5"/>
        <v>436905</v>
      </c>
      <c r="B72" s="16" t="s">
        <v>382</v>
      </c>
      <c r="C72" s="17" t="s">
        <v>345</v>
      </c>
      <c r="D72" s="17" t="s">
        <v>393</v>
      </c>
      <c r="E72" s="17">
        <v>60000</v>
      </c>
      <c r="F72" s="17">
        <v>107851</v>
      </c>
      <c r="G72" s="17">
        <v>269054</v>
      </c>
      <c r="H72" s="17">
        <v>0</v>
      </c>
      <c r="I72" s="17">
        <v>0</v>
      </c>
      <c r="J72" s="17">
        <v>0</v>
      </c>
      <c r="K72" s="17">
        <v>0</v>
      </c>
      <c r="L72" s="17">
        <v>0</v>
      </c>
      <c r="M72" s="17">
        <v>0</v>
      </c>
      <c r="N72" s="17">
        <v>0</v>
      </c>
      <c r="Q72" s="35" t="str">
        <f t="shared" si="6"/>
        <v>PC3201527 - Locally driven initiatives (LDI Capex)</v>
      </c>
      <c r="R72" s="35" t="str">
        <f t="shared" si="7"/>
        <v>N.009964.15.03 - Waikowhai Walkways - devment of priority</v>
      </c>
      <c r="S72" s="35" t="str">
        <f t="shared" si="8"/>
        <v>PC3201527 - Locally driven initiatives (LDI Capex)</v>
      </c>
    </row>
    <row r="73" spans="1:19" s="14" customFormat="1" ht="22.5" customHeight="1" x14ac:dyDescent="0.3">
      <c r="A73" s="15">
        <f t="shared" si="5"/>
        <v>260000</v>
      </c>
      <c r="B73" s="16" t="s">
        <v>382</v>
      </c>
      <c r="C73" s="17" t="s">
        <v>352</v>
      </c>
      <c r="D73" s="17" t="s">
        <v>394</v>
      </c>
      <c r="E73" s="17">
        <v>10000</v>
      </c>
      <c r="F73" s="17">
        <v>250000</v>
      </c>
      <c r="G73" s="17">
        <v>0</v>
      </c>
      <c r="H73" s="17">
        <v>0</v>
      </c>
      <c r="I73" s="17">
        <v>0</v>
      </c>
      <c r="J73" s="17">
        <v>0</v>
      </c>
      <c r="K73" s="17">
        <v>0</v>
      </c>
      <c r="L73" s="17">
        <v>0</v>
      </c>
      <c r="M73" s="17">
        <v>0</v>
      </c>
      <c r="N73" s="17">
        <v>0</v>
      </c>
      <c r="Q73" s="35" t="str">
        <f t="shared" si="6"/>
        <v>PC3201527 - Locally driven initiatives (LDI Capex)</v>
      </c>
      <c r="R73" s="35" t="str">
        <f t="shared" si="7"/>
        <v>N.009964.17.17 - Whenuapai - investigate and develop new</v>
      </c>
      <c r="S73" s="35" t="str">
        <f t="shared" si="8"/>
        <v>PC3201527 - Locally driven initiatives (LDI Capex)</v>
      </c>
    </row>
    <row r="74" spans="1:19" s="14" customFormat="1" x14ac:dyDescent="0.3">
      <c r="A74" s="15">
        <f t="shared" si="5"/>
        <v>710670.65</v>
      </c>
      <c r="B74" s="16" t="s">
        <v>395</v>
      </c>
      <c r="C74" s="17" t="s">
        <v>396</v>
      </c>
      <c r="D74" s="17" t="s">
        <v>397</v>
      </c>
      <c r="E74" s="17">
        <v>0</v>
      </c>
      <c r="F74" s="17">
        <v>0</v>
      </c>
      <c r="G74" s="17">
        <v>710670.65</v>
      </c>
      <c r="H74" s="17">
        <v>0</v>
      </c>
      <c r="I74" s="17">
        <v>0</v>
      </c>
      <c r="J74" s="17">
        <v>0</v>
      </c>
      <c r="K74" s="17">
        <v>0</v>
      </c>
      <c r="L74" s="17">
        <v>0</v>
      </c>
      <c r="M74" s="17">
        <v>0</v>
      </c>
      <c r="N74" s="17">
        <v>0</v>
      </c>
      <c r="Q74" s="35" t="str">
        <f t="shared" si="6"/>
        <v>PC3201597 - One Local Board Initiative (OLI)</v>
      </c>
      <c r="R74" s="35" t="str">
        <f t="shared" si="7"/>
        <v>N.009966.01 - One Local Board Initiative (OLI)_100</v>
      </c>
      <c r="S74" s="35" t="str">
        <f t="shared" si="8"/>
        <v>PC3201597 - One Local Board Initiative (OLI)</v>
      </c>
    </row>
    <row r="75" spans="1:19" s="14" customFormat="1" x14ac:dyDescent="0.3">
      <c r="A75" s="15">
        <f t="shared" si="5"/>
        <v>62971.59</v>
      </c>
      <c r="B75" s="16" t="s">
        <v>395</v>
      </c>
      <c r="C75" s="17" t="s">
        <v>323</v>
      </c>
      <c r="D75" s="17" t="s">
        <v>398</v>
      </c>
      <c r="E75" s="17">
        <v>0</v>
      </c>
      <c r="F75" s="17">
        <v>0</v>
      </c>
      <c r="G75" s="17">
        <v>62971.59</v>
      </c>
      <c r="H75" s="17">
        <v>0</v>
      </c>
      <c r="I75" s="17">
        <v>0</v>
      </c>
      <c r="J75" s="17">
        <v>0</v>
      </c>
      <c r="K75" s="17">
        <v>0</v>
      </c>
      <c r="L75" s="17">
        <v>0</v>
      </c>
      <c r="M75" s="17">
        <v>0</v>
      </c>
      <c r="N75" s="17">
        <v>0</v>
      </c>
      <c r="Q75" s="35" t="str">
        <f t="shared" si="6"/>
        <v>PC3201597 - One Local Board Initiative (OLI)</v>
      </c>
      <c r="R75" s="35" t="str">
        <f t="shared" si="7"/>
        <v>N.009966.03.01 - OLI Karaka Sports Park - develop facil</v>
      </c>
      <c r="S75" s="35" t="str">
        <f t="shared" si="8"/>
        <v>PC3201597 - One Local Board Initiative (OLI)</v>
      </c>
    </row>
    <row r="76" spans="1:19" s="14" customFormat="1" x14ac:dyDescent="0.3">
      <c r="A76" s="15">
        <f t="shared" si="5"/>
        <v>15114575.58</v>
      </c>
      <c r="B76" s="16" t="s">
        <v>395</v>
      </c>
      <c r="C76" s="17" t="s">
        <v>289</v>
      </c>
      <c r="D76" s="17" t="s">
        <v>399</v>
      </c>
      <c r="E76" s="17">
        <v>0</v>
      </c>
      <c r="F76" s="17">
        <v>0</v>
      </c>
      <c r="G76" s="17">
        <v>0</v>
      </c>
      <c r="H76" s="17">
        <v>0</v>
      </c>
      <c r="I76" s="17">
        <v>0</v>
      </c>
      <c r="J76" s="17">
        <v>0</v>
      </c>
      <c r="K76" s="17">
        <v>5000000</v>
      </c>
      <c r="L76" s="17">
        <v>10114575.58</v>
      </c>
      <c r="M76" s="17">
        <v>0</v>
      </c>
      <c r="N76" s="17">
        <v>0</v>
      </c>
      <c r="Q76" s="35" t="str">
        <f t="shared" si="6"/>
        <v>PC3201597 - One Local Board Initiative (OLI)</v>
      </c>
      <c r="R76" s="35" t="str">
        <f t="shared" si="7"/>
        <v>N.009966.05 - One Local Board Initiative (OLI)_120</v>
      </c>
      <c r="S76" s="35" t="str">
        <f t="shared" si="8"/>
        <v>PC3201597 - One Local Board Initiative (OLI)</v>
      </c>
    </row>
    <row r="77" spans="1:19" s="14" customFormat="1" x14ac:dyDescent="0.3">
      <c r="A77" s="15">
        <f t="shared" si="5"/>
        <v>11871322</v>
      </c>
      <c r="B77" s="16" t="s">
        <v>395</v>
      </c>
      <c r="C77" s="17" t="s">
        <v>326</v>
      </c>
      <c r="D77" s="17" t="s">
        <v>400</v>
      </c>
      <c r="E77" s="17">
        <v>6786356.7199999997</v>
      </c>
      <c r="F77" s="17">
        <v>5084965.28</v>
      </c>
      <c r="G77" s="17">
        <v>0</v>
      </c>
      <c r="H77" s="17">
        <v>0</v>
      </c>
      <c r="I77" s="17">
        <v>0</v>
      </c>
      <c r="J77" s="17">
        <v>0</v>
      </c>
      <c r="K77" s="17">
        <v>0</v>
      </c>
      <c r="L77" s="17">
        <v>0</v>
      </c>
      <c r="M77" s="17">
        <v>0</v>
      </c>
      <c r="N77" s="17">
        <v>0</v>
      </c>
      <c r="Q77" s="35" t="str">
        <f t="shared" si="6"/>
        <v>PC3201597 - One Local Board Initiative (OLI)</v>
      </c>
      <c r="R77" s="35" t="str">
        <f t="shared" si="7"/>
        <v>N.009966.06.01 - OLI Orewa Beach - Kohu-Marine View - n</v>
      </c>
      <c r="S77" s="35" t="str">
        <f t="shared" si="8"/>
        <v>PC3201597 - One Local Board Initiative (OLI)</v>
      </c>
    </row>
    <row r="78" spans="1:19" s="14" customFormat="1" x14ac:dyDescent="0.3">
      <c r="A78" s="15">
        <f t="shared" si="5"/>
        <v>82978344.030000001</v>
      </c>
      <c r="B78" s="16" t="s">
        <v>395</v>
      </c>
      <c r="C78" s="17" t="s">
        <v>297</v>
      </c>
      <c r="D78" s="17" t="s">
        <v>401</v>
      </c>
      <c r="E78" s="17">
        <v>0</v>
      </c>
      <c r="F78" s="17">
        <v>0</v>
      </c>
      <c r="G78" s="17">
        <v>0</v>
      </c>
      <c r="H78" s="17">
        <v>0</v>
      </c>
      <c r="I78" s="17">
        <v>0</v>
      </c>
      <c r="J78" s="17">
        <v>6821609</v>
      </c>
      <c r="K78" s="17">
        <v>19999999.620000001</v>
      </c>
      <c r="L78" s="17">
        <v>26478344.41</v>
      </c>
      <c r="M78" s="17">
        <v>29678391</v>
      </c>
      <c r="N78" s="17">
        <v>0</v>
      </c>
      <c r="Q78" s="35" t="str">
        <f t="shared" si="6"/>
        <v>PC3201597 - One Local Board Initiative (OLI)</v>
      </c>
      <c r="R78" s="35" t="str">
        <f t="shared" si="7"/>
        <v>N.010050.07.01 - (OLI) - Flat Bush - dev library and Comm</v>
      </c>
      <c r="S78" s="35" t="str">
        <f t="shared" si="8"/>
        <v>PC3201597 - One Local Board Initiative (OLI)</v>
      </c>
    </row>
    <row r="79" spans="1:19" s="14" customFormat="1" x14ac:dyDescent="0.3">
      <c r="A79" s="15">
        <f t="shared" si="5"/>
        <v>8092953.3300000001</v>
      </c>
      <c r="B79" s="16" t="s">
        <v>395</v>
      </c>
      <c r="C79" s="17" t="s">
        <v>363</v>
      </c>
      <c r="D79" s="17" t="s">
        <v>403</v>
      </c>
      <c r="E79" s="17">
        <v>0</v>
      </c>
      <c r="F79" s="17">
        <v>1104581.3799999999</v>
      </c>
      <c r="G79" s="17">
        <v>6988371.9500000002</v>
      </c>
      <c r="H79" s="17">
        <v>0</v>
      </c>
      <c r="I79" s="17">
        <v>0</v>
      </c>
      <c r="J79" s="17">
        <v>0</v>
      </c>
      <c r="K79" s="17">
        <v>0</v>
      </c>
      <c r="L79" s="17">
        <v>0</v>
      </c>
      <c r="M79" s="17">
        <v>0</v>
      </c>
      <c r="N79" s="17">
        <v>0</v>
      </c>
      <c r="Q79" s="35" t="str">
        <f t="shared" si="6"/>
        <v>PC3201597 - One Local Board Initiative (OLI)</v>
      </c>
      <c r="R79" s="35" t="str">
        <f t="shared" si="7"/>
        <v>N.009966.08.01 - OLI Birkenhead War Memorial Park - del</v>
      </c>
      <c r="S79" s="35" t="str">
        <f t="shared" si="8"/>
        <v>PC3201597 - One Local Board Initiative (OLI)</v>
      </c>
    </row>
    <row r="80" spans="1:19" s="14" customFormat="1" x14ac:dyDescent="0.3">
      <c r="A80" s="15">
        <f t="shared" si="5"/>
        <v>5281877.58</v>
      </c>
      <c r="B80" s="16" t="s">
        <v>395</v>
      </c>
      <c r="C80" s="17" t="s">
        <v>330</v>
      </c>
      <c r="D80" s="17" t="s">
        <v>404</v>
      </c>
      <c r="E80" s="17">
        <v>0</v>
      </c>
      <c r="F80" s="17">
        <v>0</v>
      </c>
      <c r="G80" s="17">
        <v>1250000</v>
      </c>
      <c r="H80" s="17">
        <v>1390938.58</v>
      </c>
      <c r="I80" s="17">
        <v>2640939</v>
      </c>
      <c r="J80" s="17">
        <v>0</v>
      </c>
      <c r="K80" s="17">
        <v>0</v>
      </c>
      <c r="L80" s="17">
        <v>0</v>
      </c>
      <c r="M80" s="17">
        <v>0</v>
      </c>
      <c r="N80" s="17">
        <v>0</v>
      </c>
      <c r="Q80" s="35" t="str">
        <f t="shared" si="6"/>
        <v>PC3201597 - One Local Board Initiative (OLI)</v>
      </c>
      <c r="R80" s="35" t="str">
        <f t="shared" si="7"/>
        <v>N.009966.09 - One Local Board Initiative (OLI)_140: Walter Massey Park</v>
      </c>
      <c r="S80" s="35" t="str">
        <f t="shared" si="8"/>
        <v>PC3201597 - One Local Board Initiative (OLI)</v>
      </c>
    </row>
    <row r="81" spans="1:19" s="14" customFormat="1" x14ac:dyDescent="0.3">
      <c r="A81" s="15">
        <f t="shared" si="5"/>
        <v>28080.65</v>
      </c>
      <c r="B81" s="16" t="s">
        <v>395</v>
      </c>
      <c r="C81" s="17" t="s">
        <v>405</v>
      </c>
      <c r="D81" s="17" t="s">
        <v>406</v>
      </c>
      <c r="E81" s="17">
        <v>0</v>
      </c>
      <c r="F81" s="17">
        <v>0</v>
      </c>
      <c r="G81" s="17">
        <v>0</v>
      </c>
      <c r="H81" s="17">
        <v>0</v>
      </c>
      <c r="I81" s="17">
        <v>0</v>
      </c>
      <c r="J81" s="17">
        <v>28080.65</v>
      </c>
      <c r="K81" s="17">
        <v>0</v>
      </c>
      <c r="L81" s="17">
        <v>0</v>
      </c>
      <c r="M81" s="17">
        <v>0</v>
      </c>
      <c r="N81" s="17">
        <v>0</v>
      </c>
      <c r="Q81" s="35" t="str">
        <f t="shared" si="6"/>
        <v>PC3201597 - One Local Board Initiative (OLI)</v>
      </c>
      <c r="R81" s="35" t="str">
        <f t="shared" si="7"/>
        <v>N.009966.10.01 - OLI Manurewa War Mem Park - m-use fac</v>
      </c>
      <c r="S81" s="35" t="str">
        <f t="shared" si="8"/>
        <v>PC3201597 - One Local Board Initiative (OLI)</v>
      </c>
    </row>
    <row r="82" spans="1:19" s="14" customFormat="1" x14ac:dyDescent="0.3">
      <c r="A82" s="15">
        <f t="shared" si="5"/>
        <v>437345.01</v>
      </c>
      <c r="B82" s="16" t="s">
        <v>395</v>
      </c>
      <c r="C82" s="17" t="s">
        <v>347</v>
      </c>
      <c r="D82" s="17" t="s">
        <v>407</v>
      </c>
      <c r="E82" s="17">
        <v>0</v>
      </c>
      <c r="F82" s="17">
        <v>0</v>
      </c>
      <c r="G82" s="17">
        <v>398002.31</v>
      </c>
      <c r="H82" s="17">
        <v>39342.699999999997</v>
      </c>
      <c r="I82" s="17">
        <v>0</v>
      </c>
      <c r="J82" s="17">
        <v>0</v>
      </c>
      <c r="K82" s="17">
        <v>0</v>
      </c>
      <c r="L82" s="17">
        <v>0</v>
      </c>
      <c r="M82" s="17">
        <v>0</v>
      </c>
      <c r="N82" s="17">
        <v>0</v>
      </c>
      <c r="Q82" s="35" t="str">
        <f t="shared" si="6"/>
        <v>PC3201597 - One Local Board Initiative (OLI)</v>
      </c>
      <c r="R82" s="35" t="str">
        <f t="shared" si="7"/>
        <v>N.009966.16 - One Local Board Initiative (OLI)_175</v>
      </c>
      <c r="S82" s="35" t="str">
        <f t="shared" si="8"/>
        <v>PC3201597 - One Local Board Initiative (OLI)</v>
      </c>
    </row>
    <row r="83" spans="1:19" s="14" customFormat="1" x14ac:dyDescent="0.3">
      <c r="A83" s="15">
        <f t="shared" si="5"/>
        <v>661483.15</v>
      </c>
      <c r="B83" s="16" t="s">
        <v>395</v>
      </c>
      <c r="C83" s="17" t="s">
        <v>352</v>
      </c>
      <c r="D83" s="17" t="s">
        <v>408</v>
      </c>
      <c r="E83" s="17">
        <v>0</v>
      </c>
      <c r="F83" s="17">
        <v>0</v>
      </c>
      <c r="G83" s="17">
        <v>0</v>
      </c>
      <c r="H83" s="17">
        <v>0</v>
      </c>
      <c r="I83" s="17">
        <v>0</v>
      </c>
      <c r="J83" s="17">
        <v>661483.15</v>
      </c>
      <c r="K83" s="17">
        <v>0</v>
      </c>
      <c r="L83" s="17">
        <v>0</v>
      </c>
      <c r="M83" s="17">
        <v>0</v>
      </c>
      <c r="N83" s="17">
        <v>0</v>
      </c>
      <c r="Q83" s="35" t="str">
        <f t="shared" si="6"/>
        <v>PC3201597 - One Local Board Initiative (OLI)</v>
      </c>
      <c r="R83" s="35" t="str">
        <f t="shared" si="7"/>
        <v>N.009966.17 - One Local Board Initiative (OLI)_180</v>
      </c>
      <c r="S83" s="35" t="str">
        <f t="shared" si="8"/>
        <v>PC3201597 - One Local Board Initiative (OLI)</v>
      </c>
    </row>
    <row r="84" spans="1:19" s="14" customFormat="1" x14ac:dyDescent="0.3">
      <c r="A84" s="15">
        <f t="shared" si="5"/>
        <v>652374.99</v>
      </c>
      <c r="B84" s="16" t="s">
        <v>395</v>
      </c>
      <c r="C84" s="17" t="s">
        <v>354</v>
      </c>
      <c r="D84" s="17" t="s">
        <v>409</v>
      </c>
      <c r="E84" s="17">
        <v>0</v>
      </c>
      <c r="F84" s="17">
        <v>0</v>
      </c>
      <c r="G84" s="17">
        <v>0</v>
      </c>
      <c r="H84" s="17">
        <v>0</v>
      </c>
      <c r="I84" s="17">
        <v>0</v>
      </c>
      <c r="J84" s="17">
        <v>652374.99</v>
      </c>
      <c r="K84" s="17">
        <v>0</v>
      </c>
      <c r="L84" s="17">
        <v>0</v>
      </c>
      <c r="M84" s="17">
        <v>0</v>
      </c>
      <c r="N84" s="17">
        <v>0</v>
      </c>
      <c r="Q84" s="35" t="str">
        <f t="shared" si="6"/>
        <v>PC3201597 - One Local Board Initiative (OLI)</v>
      </c>
      <c r="R84" s="35" t="str">
        <f t="shared" si="7"/>
        <v>N.010051.19 - Town centre plan (Glen Eden)</v>
      </c>
      <c r="S84" s="35" t="str">
        <f t="shared" si="8"/>
        <v>PC3201597 - One Local Board Initiative (OLI)</v>
      </c>
    </row>
    <row r="85" spans="1:19" s="14" customFormat="1" x14ac:dyDescent="0.3">
      <c r="A85" s="15">
        <f t="shared" si="5"/>
        <v>104025444.96000001</v>
      </c>
      <c r="B85" s="16" t="s">
        <v>395</v>
      </c>
      <c r="C85" s="17" t="s">
        <v>291</v>
      </c>
      <c r="D85" s="17" t="s">
        <v>410</v>
      </c>
      <c r="E85" s="17">
        <v>0</v>
      </c>
      <c r="F85" s="17">
        <v>0</v>
      </c>
      <c r="G85" s="17">
        <v>10000000</v>
      </c>
      <c r="H85" s="17">
        <v>14437722</v>
      </c>
      <c r="I85" s="17">
        <v>12935796</v>
      </c>
      <c r="J85" s="17">
        <v>20150000</v>
      </c>
      <c r="K85" s="17">
        <v>22469824.960000001</v>
      </c>
      <c r="L85" s="17">
        <v>24032102</v>
      </c>
      <c r="M85" s="17">
        <v>0</v>
      </c>
      <c r="N85" s="17">
        <v>0</v>
      </c>
      <c r="Q85" s="35" t="str">
        <f t="shared" si="6"/>
        <v>PC3201597 - One Local Board Initiative (OLI)</v>
      </c>
      <c r="R85" s="35" t="str">
        <f t="shared" si="7"/>
        <v>N.010051.21 - Recreation centre development</v>
      </c>
      <c r="S85" s="35" t="str">
        <f t="shared" si="8"/>
        <v>PC3201597 - One Local Board Initiative (OLI)</v>
      </c>
    </row>
    <row r="86" spans="1:19" s="14" customFormat="1" x14ac:dyDescent="0.3">
      <c r="A86" s="15">
        <f t="shared" si="5"/>
        <v>126654617.59</v>
      </c>
      <c r="B86" s="16" t="s">
        <v>395</v>
      </c>
      <c r="C86" s="17" t="s">
        <v>306</v>
      </c>
      <c r="D86" s="17" t="s">
        <v>411</v>
      </c>
      <c r="E86" s="17">
        <v>0</v>
      </c>
      <c r="F86" s="17">
        <v>261095.41</v>
      </c>
      <c r="G86" s="17">
        <v>56572.6</v>
      </c>
      <c r="H86" s="17">
        <v>4146787.92</v>
      </c>
      <c r="I86" s="17">
        <v>1167750.7</v>
      </c>
      <c r="J86" s="17">
        <v>8197747.2400000002</v>
      </c>
      <c r="K86" s="17">
        <v>19341170.829999998</v>
      </c>
      <c r="L86" s="17">
        <v>1710498.29</v>
      </c>
      <c r="M86" s="17">
        <v>32316788.640000001</v>
      </c>
      <c r="N86" s="17">
        <v>59456205.960000001</v>
      </c>
      <c r="Q86" s="35" t="str">
        <f t="shared" si="6"/>
        <v>PC3201597 - One Local Board Initiative (OLI)</v>
      </c>
      <c r="R86" s="35" t="str">
        <f t="shared" si="7"/>
        <v>N.009966.28 - One Local Bd Initiative (OLI)_210_CF PD</v>
      </c>
      <c r="S86" s="35" t="str">
        <f t="shared" si="8"/>
        <v>PC3201597 - One Local Board Initiative (OLI)</v>
      </c>
    </row>
    <row r="87" spans="1:19" x14ac:dyDescent="0.3">
      <c r="A87" s="18">
        <f>SUM(A4:A86)</f>
        <v>1368601161.9000001</v>
      </c>
      <c r="E87" s="18">
        <f t="shared" ref="E87:N87" si="9">SUM(E4:E86)</f>
        <v>73497348.5</v>
      </c>
      <c r="F87" s="18">
        <f t="shared" si="9"/>
        <v>84391954.769999996</v>
      </c>
      <c r="G87" s="18">
        <f t="shared" si="9"/>
        <v>98456480.570000008</v>
      </c>
      <c r="H87" s="18">
        <f t="shared" si="9"/>
        <v>93152986.609999999</v>
      </c>
      <c r="I87" s="18">
        <f t="shared" si="9"/>
        <v>96707220.979999989</v>
      </c>
      <c r="J87" s="18">
        <f t="shared" si="9"/>
        <v>136423028.91000003</v>
      </c>
      <c r="K87" s="18">
        <f t="shared" si="9"/>
        <v>164973846.80000001</v>
      </c>
      <c r="L87" s="18">
        <f t="shared" si="9"/>
        <v>199350146.84</v>
      </c>
      <c r="M87" s="18">
        <f t="shared" si="9"/>
        <v>214392069.36000001</v>
      </c>
      <c r="N87" s="18">
        <f t="shared" si="9"/>
        <v>207256078.56</v>
      </c>
      <c r="Q87" s="36"/>
      <c r="R87" s="36"/>
      <c r="S87" s="36"/>
    </row>
    <row r="88" spans="1:19" x14ac:dyDescent="0.3">
      <c r="Q88" s="36"/>
      <c r="R88" s="36"/>
      <c r="S88" s="36"/>
    </row>
    <row r="89" spans="1:19" x14ac:dyDescent="0.3">
      <c r="A89" s="18" t="str">
        <f>A3</f>
        <v>10y $</v>
      </c>
      <c r="B89" s="19" t="s">
        <v>412</v>
      </c>
      <c r="C89" s="18" t="str">
        <f t="shared" ref="C89:N89" si="10">C3</f>
        <v>Local Board</v>
      </c>
      <c r="D89" s="18" t="str">
        <f t="shared" si="10"/>
        <v>Cost Object</v>
      </c>
      <c r="E89" s="18" t="str">
        <f t="shared" si="10"/>
        <v>2025 Budget</v>
      </c>
      <c r="F89" s="18" t="str">
        <f t="shared" si="10"/>
        <v>Sum of 2026
Budget</v>
      </c>
      <c r="G89" s="18" t="str">
        <f t="shared" si="10"/>
        <v>Sum of 2027
Budget</v>
      </c>
      <c r="H89" s="18" t="str">
        <f t="shared" si="10"/>
        <v>Sum of 2028
Budget</v>
      </c>
      <c r="I89" s="18" t="str">
        <f t="shared" si="10"/>
        <v>Sum of 2029
Budget</v>
      </c>
      <c r="J89" s="18" t="str">
        <f t="shared" si="10"/>
        <v>Sum of 2030
Budget</v>
      </c>
      <c r="K89" s="18" t="str">
        <f t="shared" si="10"/>
        <v>Sum of 2031
Budget</v>
      </c>
      <c r="L89" s="18" t="str">
        <f t="shared" si="10"/>
        <v>Sum of 2032
Budget</v>
      </c>
      <c r="M89" s="18" t="str">
        <f t="shared" si="10"/>
        <v>Sum of 2033
Budget</v>
      </c>
      <c r="N89" s="18" t="str">
        <f t="shared" si="10"/>
        <v>Sum of 2034
Budget</v>
      </c>
      <c r="Q89" s="36"/>
      <c r="R89" s="36"/>
      <c r="S89" s="36"/>
    </row>
    <row r="90" spans="1:19" x14ac:dyDescent="0.3">
      <c r="A90" s="15">
        <f>SUM(E90:N90)</f>
        <v>19765844.969999999</v>
      </c>
      <c r="B90" s="16" t="s">
        <v>288</v>
      </c>
      <c r="E90" s="20">
        <f t="shared" ref="E90:N99" si="11">SUMIF($B$4:$B$86,$B90,E$4:E$86)</f>
        <v>6952473.96</v>
      </c>
      <c r="F90" s="20">
        <f t="shared" si="11"/>
        <v>6659994.0099999998</v>
      </c>
      <c r="G90" s="20">
        <f t="shared" si="11"/>
        <v>6153377</v>
      </c>
      <c r="H90" s="20">
        <f t="shared" si="11"/>
        <v>0</v>
      </c>
      <c r="I90" s="20">
        <f t="shared" si="11"/>
        <v>0</v>
      </c>
      <c r="J90" s="20">
        <f t="shared" si="11"/>
        <v>0</v>
      </c>
      <c r="K90" s="20">
        <f t="shared" si="11"/>
        <v>0</v>
      </c>
      <c r="L90" s="20">
        <f t="shared" si="11"/>
        <v>0</v>
      </c>
      <c r="M90" s="20">
        <f t="shared" si="11"/>
        <v>0</v>
      </c>
      <c r="N90" s="20">
        <f t="shared" si="11"/>
        <v>0</v>
      </c>
      <c r="Q90" s="36"/>
      <c r="R90" s="36"/>
      <c r="S90" s="36"/>
    </row>
    <row r="91" spans="1:19" x14ac:dyDescent="0.3">
      <c r="A91" s="15">
        <f t="shared" ref="A91:A110" si="12">SUM(E91:N91)</f>
        <v>2587500</v>
      </c>
      <c r="B91" s="16" t="s">
        <v>293</v>
      </c>
      <c r="E91" s="20">
        <f t="shared" si="11"/>
        <v>2587500</v>
      </c>
      <c r="F91" s="20">
        <f t="shared" si="11"/>
        <v>0</v>
      </c>
      <c r="G91" s="20">
        <f t="shared" si="11"/>
        <v>0</v>
      </c>
      <c r="H91" s="20">
        <f t="shared" si="11"/>
        <v>0</v>
      </c>
      <c r="I91" s="20">
        <f t="shared" si="11"/>
        <v>0</v>
      </c>
      <c r="J91" s="20">
        <f t="shared" si="11"/>
        <v>0</v>
      </c>
      <c r="K91" s="20">
        <f t="shared" si="11"/>
        <v>0</v>
      </c>
      <c r="L91" s="20">
        <f t="shared" si="11"/>
        <v>0</v>
      </c>
      <c r="M91" s="20">
        <f t="shared" si="11"/>
        <v>0</v>
      </c>
      <c r="N91" s="20">
        <f t="shared" si="11"/>
        <v>0</v>
      </c>
      <c r="Q91" s="36"/>
      <c r="R91" s="36"/>
      <c r="S91" s="36"/>
    </row>
    <row r="92" spans="1:19" x14ac:dyDescent="0.3">
      <c r="A92" s="15">
        <f t="shared" si="12"/>
        <v>697137</v>
      </c>
      <c r="B92" s="16" t="s">
        <v>296</v>
      </c>
      <c r="E92" s="20">
        <f t="shared" si="11"/>
        <v>0</v>
      </c>
      <c r="F92" s="20">
        <f t="shared" si="11"/>
        <v>70000</v>
      </c>
      <c r="G92" s="20">
        <f t="shared" si="11"/>
        <v>627137</v>
      </c>
      <c r="H92" s="20">
        <f t="shared" si="11"/>
        <v>0</v>
      </c>
      <c r="I92" s="20">
        <f t="shared" si="11"/>
        <v>0</v>
      </c>
      <c r="J92" s="20">
        <f t="shared" si="11"/>
        <v>0</v>
      </c>
      <c r="K92" s="20">
        <f t="shared" si="11"/>
        <v>0</v>
      </c>
      <c r="L92" s="20">
        <f t="shared" si="11"/>
        <v>0</v>
      </c>
      <c r="M92" s="20">
        <f t="shared" si="11"/>
        <v>0</v>
      </c>
      <c r="N92" s="20">
        <f t="shared" si="11"/>
        <v>0</v>
      </c>
      <c r="Q92" s="36"/>
      <c r="R92" s="36"/>
      <c r="S92" s="36"/>
    </row>
    <row r="93" spans="1:19" x14ac:dyDescent="0.3">
      <c r="A93" s="15">
        <f t="shared" si="12"/>
        <v>25143004</v>
      </c>
      <c r="B93" s="16" t="s">
        <v>299</v>
      </c>
      <c r="E93" s="20">
        <f t="shared" si="11"/>
        <v>2971560.64</v>
      </c>
      <c r="F93" s="20">
        <f t="shared" si="11"/>
        <v>14000000</v>
      </c>
      <c r="G93" s="20">
        <f t="shared" si="11"/>
        <v>8171443.3600000003</v>
      </c>
      <c r="H93" s="20">
        <f t="shared" si="11"/>
        <v>0</v>
      </c>
      <c r="I93" s="20">
        <f t="shared" si="11"/>
        <v>0</v>
      </c>
      <c r="J93" s="20">
        <f t="shared" si="11"/>
        <v>0</v>
      </c>
      <c r="K93" s="20">
        <f t="shared" si="11"/>
        <v>0</v>
      </c>
      <c r="L93" s="20">
        <f t="shared" si="11"/>
        <v>0</v>
      </c>
      <c r="M93" s="20">
        <f t="shared" si="11"/>
        <v>0</v>
      </c>
      <c r="N93" s="20">
        <f t="shared" si="11"/>
        <v>0</v>
      </c>
      <c r="Q93" s="36"/>
      <c r="R93" s="36"/>
      <c r="S93" s="36"/>
    </row>
    <row r="94" spans="1:19" x14ac:dyDescent="0.3">
      <c r="A94" s="15">
        <f t="shared" si="12"/>
        <v>1703652</v>
      </c>
      <c r="B94" s="16" t="s">
        <v>301</v>
      </c>
      <c r="E94" s="20">
        <f t="shared" si="11"/>
        <v>500000</v>
      </c>
      <c r="F94" s="20">
        <f t="shared" si="11"/>
        <v>1203652</v>
      </c>
      <c r="G94" s="20">
        <f t="shared" si="11"/>
        <v>0</v>
      </c>
      <c r="H94" s="20">
        <f t="shared" si="11"/>
        <v>0</v>
      </c>
      <c r="I94" s="20">
        <f t="shared" si="11"/>
        <v>0</v>
      </c>
      <c r="J94" s="20">
        <f t="shared" si="11"/>
        <v>0</v>
      </c>
      <c r="K94" s="20">
        <f t="shared" si="11"/>
        <v>0</v>
      </c>
      <c r="L94" s="20">
        <f t="shared" si="11"/>
        <v>0</v>
      </c>
      <c r="M94" s="20">
        <f t="shared" si="11"/>
        <v>0</v>
      </c>
      <c r="N94" s="20">
        <f t="shared" si="11"/>
        <v>0</v>
      </c>
      <c r="Q94" s="36"/>
      <c r="R94" s="36"/>
      <c r="S94" s="36"/>
    </row>
    <row r="95" spans="1:19" x14ac:dyDescent="0.3">
      <c r="A95" s="15">
        <f t="shared" si="12"/>
        <v>5199922</v>
      </c>
      <c r="B95" s="16" t="s">
        <v>303</v>
      </c>
      <c r="E95" s="20">
        <f t="shared" si="11"/>
        <v>0</v>
      </c>
      <c r="F95" s="20">
        <f t="shared" si="11"/>
        <v>0</v>
      </c>
      <c r="G95" s="20">
        <f t="shared" si="11"/>
        <v>0</v>
      </c>
      <c r="H95" s="20">
        <f t="shared" si="11"/>
        <v>0</v>
      </c>
      <c r="I95" s="20">
        <f t="shared" si="11"/>
        <v>1687882</v>
      </c>
      <c r="J95" s="20">
        <f t="shared" si="11"/>
        <v>512040</v>
      </c>
      <c r="K95" s="20">
        <f t="shared" si="11"/>
        <v>3000000</v>
      </c>
      <c r="L95" s="20">
        <f t="shared" si="11"/>
        <v>0</v>
      </c>
      <c r="M95" s="20">
        <f t="shared" si="11"/>
        <v>0</v>
      </c>
      <c r="N95" s="20">
        <f t="shared" si="11"/>
        <v>0</v>
      </c>
      <c r="Q95" s="36"/>
      <c r="R95" s="36"/>
      <c r="S95" s="36"/>
    </row>
    <row r="96" spans="1:19" x14ac:dyDescent="0.3">
      <c r="A96" s="15">
        <f t="shared" si="12"/>
        <v>444134952.80999994</v>
      </c>
      <c r="B96" s="16" t="s">
        <v>305</v>
      </c>
      <c r="E96" s="20">
        <f t="shared" si="11"/>
        <v>5211463.54</v>
      </c>
      <c r="F96" s="20">
        <f t="shared" si="11"/>
        <v>10048681.310000001</v>
      </c>
      <c r="G96" s="20">
        <f t="shared" si="11"/>
        <v>16246111.6</v>
      </c>
      <c r="H96" s="20">
        <f t="shared" si="11"/>
        <v>25240733.039999999</v>
      </c>
      <c r="I96" s="20">
        <f t="shared" si="11"/>
        <v>27157254.32</v>
      </c>
      <c r="J96" s="20">
        <f t="shared" si="11"/>
        <v>28526848.18</v>
      </c>
      <c r="K96" s="20">
        <f t="shared" si="11"/>
        <v>43385629.579999998</v>
      </c>
      <c r="L96" s="20">
        <f t="shared" si="11"/>
        <v>82456004.640000001</v>
      </c>
      <c r="M96" s="20">
        <f t="shared" si="11"/>
        <v>101662338</v>
      </c>
      <c r="N96" s="20">
        <f t="shared" si="11"/>
        <v>104199888.59999999</v>
      </c>
      <c r="Q96" s="36"/>
      <c r="R96" s="36"/>
      <c r="S96" s="36"/>
    </row>
    <row r="97" spans="1:19" x14ac:dyDescent="0.3">
      <c r="A97" s="15">
        <f t="shared" si="12"/>
        <v>1364480</v>
      </c>
      <c r="B97" s="16" t="s">
        <v>308</v>
      </c>
      <c r="E97" s="20">
        <f t="shared" si="11"/>
        <v>100000</v>
      </c>
      <c r="F97" s="20">
        <f t="shared" si="11"/>
        <v>1264480</v>
      </c>
      <c r="G97" s="20">
        <f t="shared" si="11"/>
        <v>0</v>
      </c>
      <c r="H97" s="20">
        <f t="shared" si="11"/>
        <v>0</v>
      </c>
      <c r="I97" s="20">
        <f t="shared" si="11"/>
        <v>0</v>
      </c>
      <c r="J97" s="20">
        <f t="shared" si="11"/>
        <v>0</v>
      </c>
      <c r="K97" s="20">
        <f t="shared" si="11"/>
        <v>0</v>
      </c>
      <c r="L97" s="20">
        <f t="shared" si="11"/>
        <v>0</v>
      </c>
      <c r="M97" s="20">
        <f t="shared" si="11"/>
        <v>0</v>
      </c>
      <c r="N97" s="20">
        <f t="shared" si="11"/>
        <v>0</v>
      </c>
      <c r="Q97" s="36"/>
      <c r="R97" s="36"/>
      <c r="S97" s="36"/>
    </row>
    <row r="98" spans="1:19" x14ac:dyDescent="0.3">
      <c r="A98" s="15">
        <f t="shared" si="12"/>
        <v>396734583.21999997</v>
      </c>
      <c r="B98" s="16" t="s">
        <v>311</v>
      </c>
      <c r="E98" s="20">
        <f t="shared" si="11"/>
        <v>33453160.579999998</v>
      </c>
      <c r="F98" s="20">
        <f t="shared" si="11"/>
        <v>24039469.84</v>
      </c>
      <c r="G98" s="20">
        <f t="shared" si="11"/>
        <v>25906675.280000001</v>
      </c>
      <c r="H98" s="20">
        <f t="shared" si="11"/>
        <v>30168247.41</v>
      </c>
      <c r="I98" s="20">
        <f t="shared" si="11"/>
        <v>37667599</v>
      </c>
      <c r="J98" s="20">
        <f t="shared" si="11"/>
        <v>61372845.659999996</v>
      </c>
      <c r="K98" s="20">
        <f t="shared" si="11"/>
        <v>51777221.810000002</v>
      </c>
      <c r="L98" s="20">
        <f t="shared" si="11"/>
        <v>50058621.920000002</v>
      </c>
      <c r="M98" s="20">
        <f t="shared" si="11"/>
        <v>45234551.759999998</v>
      </c>
      <c r="N98" s="20">
        <f t="shared" si="11"/>
        <v>37056189.960000001</v>
      </c>
      <c r="Q98" s="36"/>
      <c r="R98" s="36"/>
      <c r="S98" s="36"/>
    </row>
    <row r="99" spans="1:19" x14ac:dyDescent="0.3">
      <c r="A99" s="15">
        <f t="shared" si="12"/>
        <v>2799999.92</v>
      </c>
      <c r="B99" s="16" t="s">
        <v>314</v>
      </c>
      <c r="E99" s="20">
        <f t="shared" si="11"/>
        <v>1000000</v>
      </c>
      <c r="F99" s="20">
        <f t="shared" si="11"/>
        <v>999999.97</v>
      </c>
      <c r="G99" s="20">
        <f t="shared" si="11"/>
        <v>799999.95</v>
      </c>
      <c r="H99" s="20">
        <f t="shared" si="11"/>
        <v>0</v>
      </c>
      <c r="I99" s="20">
        <f t="shared" si="11"/>
        <v>0</v>
      </c>
      <c r="J99" s="20">
        <f t="shared" si="11"/>
        <v>0</v>
      </c>
      <c r="K99" s="20">
        <f t="shared" si="11"/>
        <v>0</v>
      </c>
      <c r="L99" s="20">
        <f t="shared" si="11"/>
        <v>0</v>
      </c>
      <c r="M99" s="20">
        <f t="shared" si="11"/>
        <v>0</v>
      </c>
      <c r="N99" s="20">
        <f t="shared" si="11"/>
        <v>0</v>
      </c>
      <c r="Q99" s="36"/>
      <c r="R99" s="36"/>
      <c r="S99" s="36"/>
    </row>
    <row r="100" spans="1:19" x14ac:dyDescent="0.3">
      <c r="A100" s="15">
        <f t="shared" si="12"/>
        <v>604843</v>
      </c>
      <c r="B100" s="16" t="s">
        <v>316</v>
      </c>
      <c r="E100" s="20">
        <f t="shared" ref="E100:N108" si="13">SUMIF($B$4:$B$86,$B100,E$4:E$86)</f>
        <v>0</v>
      </c>
      <c r="F100" s="20">
        <f t="shared" si="13"/>
        <v>604843</v>
      </c>
      <c r="G100" s="20">
        <f t="shared" si="13"/>
        <v>0</v>
      </c>
      <c r="H100" s="20">
        <f t="shared" si="13"/>
        <v>0</v>
      </c>
      <c r="I100" s="20">
        <f t="shared" si="13"/>
        <v>0</v>
      </c>
      <c r="J100" s="20">
        <f t="shared" si="13"/>
        <v>0</v>
      </c>
      <c r="K100" s="20">
        <f t="shared" si="13"/>
        <v>0</v>
      </c>
      <c r="L100" s="20">
        <f t="shared" si="13"/>
        <v>0</v>
      </c>
      <c r="M100" s="20">
        <f t="shared" si="13"/>
        <v>0</v>
      </c>
      <c r="N100" s="20">
        <f t="shared" si="13"/>
        <v>0</v>
      </c>
      <c r="Q100" s="36"/>
      <c r="R100" s="36"/>
      <c r="S100" s="36"/>
    </row>
    <row r="101" spans="1:19" x14ac:dyDescent="0.3">
      <c r="A101" s="15">
        <f t="shared" si="12"/>
        <v>6348175.0800000001</v>
      </c>
      <c r="B101" s="16" t="s">
        <v>318</v>
      </c>
      <c r="E101" s="20">
        <f t="shared" si="13"/>
        <v>11160.08</v>
      </c>
      <c r="F101" s="20">
        <f t="shared" si="13"/>
        <v>0</v>
      </c>
      <c r="G101" s="20">
        <f t="shared" si="13"/>
        <v>2152800</v>
      </c>
      <c r="H101" s="20">
        <f t="shared" si="13"/>
        <v>4184215</v>
      </c>
      <c r="I101" s="20">
        <f t="shared" si="13"/>
        <v>0</v>
      </c>
      <c r="J101" s="20">
        <f t="shared" si="13"/>
        <v>0</v>
      </c>
      <c r="K101" s="20">
        <f t="shared" si="13"/>
        <v>0</v>
      </c>
      <c r="L101" s="20">
        <f t="shared" si="13"/>
        <v>0</v>
      </c>
      <c r="M101" s="20">
        <f t="shared" si="13"/>
        <v>0</v>
      </c>
      <c r="N101" s="20">
        <f t="shared" si="13"/>
        <v>0</v>
      </c>
      <c r="Q101" s="36"/>
      <c r="R101" s="36"/>
      <c r="S101" s="36"/>
    </row>
    <row r="102" spans="1:19" x14ac:dyDescent="0.3">
      <c r="A102" s="15">
        <f t="shared" si="12"/>
        <v>16543794</v>
      </c>
      <c r="B102" s="16" t="s">
        <v>320</v>
      </c>
      <c r="E102" s="20">
        <f t="shared" si="13"/>
        <v>0</v>
      </c>
      <c r="F102" s="20">
        <f t="shared" si="13"/>
        <v>0</v>
      </c>
      <c r="G102" s="20">
        <f t="shared" si="13"/>
        <v>0</v>
      </c>
      <c r="H102" s="20">
        <f t="shared" si="13"/>
        <v>0</v>
      </c>
      <c r="I102" s="20">
        <f t="shared" si="13"/>
        <v>0</v>
      </c>
      <c r="J102" s="20">
        <f t="shared" si="13"/>
        <v>0</v>
      </c>
      <c r="K102" s="20">
        <f t="shared" si="13"/>
        <v>0</v>
      </c>
      <c r="L102" s="20">
        <f t="shared" si="13"/>
        <v>4500000</v>
      </c>
      <c r="M102" s="20">
        <f t="shared" si="13"/>
        <v>5499999.96</v>
      </c>
      <c r="N102" s="20">
        <f t="shared" si="13"/>
        <v>6543794.04</v>
      </c>
      <c r="Q102" s="36"/>
      <c r="R102" s="36"/>
      <c r="S102" s="36"/>
    </row>
    <row r="103" spans="1:19" x14ac:dyDescent="0.3">
      <c r="A103" s="15">
        <f t="shared" si="12"/>
        <v>53768187.140000001</v>
      </c>
      <c r="B103" s="16" t="s">
        <v>322</v>
      </c>
      <c r="E103" s="20">
        <f t="shared" si="13"/>
        <v>7483498.0899999999</v>
      </c>
      <c r="F103" s="20">
        <f t="shared" si="13"/>
        <v>8162469.0500000007</v>
      </c>
      <c r="G103" s="20">
        <f t="shared" si="13"/>
        <v>9122220.0399999991</v>
      </c>
      <c r="H103" s="20">
        <f t="shared" si="13"/>
        <v>9999999.9600000009</v>
      </c>
      <c r="I103" s="20">
        <f t="shared" si="13"/>
        <v>9499999.9600000009</v>
      </c>
      <c r="J103" s="20">
        <f t="shared" si="13"/>
        <v>9500000.0399999991</v>
      </c>
      <c r="K103" s="20">
        <f t="shared" si="13"/>
        <v>0</v>
      </c>
      <c r="L103" s="20">
        <f t="shared" si="13"/>
        <v>0</v>
      </c>
      <c r="M103" s="20">
        <f t="shared" si="13"/>
        <v>0</v>
      </c>
      <c r="N103" s="20">
        <f t="shared" si="13"/>
        <v>0</v>
      </c>
      <c r="Q103" s="36"/>
      <c r="R103" s="36"/>
      <c r="S103" s="36"/>
    </row>
    <row r="104" spans="1:19" x14ac:dyDescent="0.3">
      <c r="A104" s="15">
        <f t="shared" si="12"/>
        <v>2303315.19</v>
      </c>
      <c r="B104" s="16" t="s">
        <v>357</v>
      </c>
      <c r="E104" s="20">
        <f t="shared" si="13"/>
        <v>1303315.19</v>
      </c>
      <c r="F104" s="20">
        <f t="shared" si="13"/>
        <v>250000</v>
      </c>
      <c r="G104" s="20">
        <f t="shared" si="13"/>
        <v>750000</v>
      </c>
      <c r="H104" s="20">
        <f t="shared" si="13"/>
        <v>0</v>
      </c>
      <c r="I104" s="20">
        <f t="shared" si="13"/>
        <v>0</v>
      </c>
      <c r="J104" s="20">
        <f t="shared" si="13"/>
        <v>0</v>
      </c>
      <c r="K104" s="20">
        <f t="shared" si="13"/>
        <v>0</v>
      </c>
      <c r="L104" s="20">
        <f t="shared" si="13"/>
        <v>0</v>
      </c>
      <c r="M104" s="20">
        <f t="shared" si="13"/>
        <v>0</v>
      </c>
      <c r="N104" s="20">
        <f t="shared" si="13"/>
        <v>0</v>
      </c>
      <c r="Q104" s="36"/>
      <c r="R104" s="36"/>
      <c r="S104" s="36"/>
    </row>
    <row r="105" spans="1:19" x14ac:dyDescent="0.3">
      <c r="A105" s="15">
        <f t="shared" si="12"/>
        <v>5449153.3799999999</v>
      </c>
      <c r="B105" s="16" t="s">
        <v>362</v>
      </c>
      <c r="E105" s="20">
        <f t="shared" si="13"/>
        <v>549153.38</v>
      </c>
      <c r="F105" s="20">
        <f t="shared" si="13"/>
        <v>2150000</v>
      </c>
      <c r="G105" s="20">
        <f t="shared" si="13"/>
        <v>2750000</v>
      </c>
      <c r="H105" s="20">
        <f t="shared" si="13"/>
        <v>0</v>
      </c>
      <c r="I105" s="20">
        <f t="shared" si="13"/>
        <v>0</v>
      </c>
      <c r="J105" s="20">
        <f t="shared" si="13"/>
        <v>0</v>
      </c>
      <c r="K105" s="20">
        <f t="shared" si="13"/>
        <v>0</v>
      </c>
      <c r="L105" s="20">
        <f t="shared" si="13"/>
        <v>0</v>
      </c>
      <c r="M105" s="20">
        <f t="shared" si="13"/>
        <v>0</v>
      </c>
      <c r="N105" s="20">
        <f t="shared" si="13"/>
        <v>0</v>
      </c>
      <c r="Q105" s="36"/>
      <c r="R105" s="36"/>
      <c r="S105" s="36"/>
    </row>
    <row r="106" spans="1:19" x14ac:dyDescent="0.3">
      <c r="A106" s="15">
        <f t="shared" si="12"/>
        <v>19724390.52</v>
      </c>
      <c r="B106" s="16" t="s">
        <v>368</v>
      </c>
      <c r="E106" s="20">
        <f t="shared" si="13"/>
        <v>4150000</v>
      </c>
      <c r="F106" s="20">
        <f t="shared" si="13"/>
        <v>5774390.5199999996</v>
      </c>
      <c r="G106" s="20">
        <f t="shared" si="13"/>
        <v>2575000</v>
      </c>
      <c r="H106" s="20">
        <f t="shared" si="13"/>
        <v>3275000</v>
      </c>
      <c r="I106" s="20">
        <f t="shared" si="13"/>
        <v>3950000</v>
      </c>
      <c r="J106" s="20">
        <f t="shared" si="13"/>
        <v>0</v>
      </c>
      <c r="K106" s="20">
        <f t="shared" si="13"/>
        <v>0</v>
      </c>
      <c r="L106" s="20">
        <f t="shared" si="13"/>
        <v>0</v>
      </c>
      <c r="M106" s="20">
        <f t="shared" si="13"/>
        <v>0</v>
      </c>
      <c r="N106" s="20">
        <f t="shared" si="13"/>
        <v>0</v>
      </c>
      <c r="Q106" s="36"/>
      <c r="R106" s="36"/>
      <c r="S106" s="36"/>
    </row>
    <row r="107" spans="1:19" x14ac:dyDescent="0.3">
      <c r="A107" s="15">
        <f t="shared" si="12"/>
        <v>629760</v>
      </c>
      <c r="B107" s="16" t="s">
        <v>378</v>
      </c>
      <c r="E107" s="20">
        <f t="shared" si="13"/>
        <v>0</v>
      </c>
      <c r="F107" s="20">
        <f t="shared" si="13"/>
        <v>629760</v>
      </c>
      <c r="G107" s="20">
        <f t="shared" si="13"/>
        <v>0</v>
      </c>
      <c r="H107" s="20">
        <f t="shared" si="13"/>
        <v>0</v>
      </c>
      <c r="I107" s="20">
        <f t="shared" si="13"/>
        <v>0</v>
      </c>
      <c r="J107" s="20">
        <f t="shared" si="13"/>
        <v>0</v>
      </c>
      <c r="K107" s="20">
        <f t="shared" si="13"/>
        <v>0</v>
      </c>
      <c r="L107" s="20">
        <f t="shared" si="13"/>
        <v>0</v>
      </c>
      <c r="M107" s="20">
        <f t="shared" si="13"/>
        <v>0</v>
      </c>
      <c r="N107" s="20">
        <f t="shared" si="13"/>
        <v>0</v>
      </c>
      <c r="Q107" s="36"/>
      <c r="R107" s="36"/>
      <c r="S107" s="36"/>
    </row>
    <row r="108" spans="1:19" x14ac:dyDescent="0.3">
      <c r="A108" s="15">
        <f t="shared" si="12"/>
        <v>3010819</v>
      </c>
      <c r="B108" s="16" t="s">
        <v>380</v>
      </c>
      <c r="E108" s="20">
        <f t="shared" si="13"/>
        <v>125000</v>
      </c>
      <c r="F108" s="20">
        <f t="shared" si="13"/>
        <v>500000</v>
      </c>
      <c r="G108" s="20">
        <f t="shared" si="13"/>
        <v>2385819</v>
      </c>
      <c r="H108" s="20">
        <f t="shared" si="13"/>
        <v>0</v>
      </c>
      <c r="I108" s="20">
        <f t="shared" si="13"/>
        <v>0</v>
      </c>
      <c r="J108" s="20">
        <f t="shared" si="13"/>
        <v>0</v>
      </c>
      <c r="K108" s="20">
        <f t="shared" si="13"/>
        <v>0</v>
      </c>
      <c r="L108" s="20">
        <f t="shared" si="13"/>
        <v>0</v>
      </c>
      <c r="M108" s="20">
        <f t="shared" si="13"/>
        <v>0</v>
      </c>
      <c r="N108" s="20">
        <f t="shared" si="13"/>
        <v>0</v>
      </c>
      <c r="Q108" s="36"/>
      <c r="R108" s="36"/>
      <c r="S108" s="36"/>
    </row>
    <row r="109" spans="1:19" x14ac:dyDescent="0.3">
      <c r="A109" s="15">
        <f t="shared" si="12"/>
        <v>2818682.56</v>
      </c>
      <c r="B109" s="16" t="s">
        <v>382</v>
      </c>
      <c r="E109" s="20">
        <f>SUMIF($B$4:$B$86,$B109,E$4:E$86)-E72-E73</f>
        <v>242706.32</v>
      </c>
      <c r="F109" s="20">
        <f t="shared" ref="F109:N109" si="14">SUMIF($B$4:$B$86,$B109,F$4:F$86)-F72-F73</f>
        <v>1225722</v>
      </c>
      <c r="G109" s="20">
        <f t="shared" si="14"/>
        <v>1080254.24</v>
      </c>
      <c r="H109" s="20">
        <f t="shared" si="14"/>
        <v>270000</v>
      </c>
      <c r="I109" s="20">
        <f t="shared" si="14"/>
        <v>0</v>
      </c>
      <c r="J109" s="20">
        <f t="shared" si="14"/>
        <v>0</v>
      </c>
      <c r="K109" s="20">
        <f t="shared" si="14"/>
        <v>0</v>
      </c>
      <c r="L109" s="20">
        <f t="shared" si="14"/>
        <v>0</v>
      </c>
      <c r="M109" s="20">
        <f t="shared" si="14"/>
        <v>0</v>
      </c>
      <c r="N109" s="20">
        <f t="shared" si="14"/>
        <v>0</v>
      </c>
      <c r="Q109" s="36"/>
      <c r="R109" s="36"/>
      <c r="S109" s="36"/>
    </row>
    <row r="110" spans="1:19" x14ac:dyDescent="0.3">
      <c r="A110" s="15">
        <f t="shared" si="12"/>
        <v>356572061.11000001</v>
      </c>
      <c r="B110" s="16" t="s">
        <v>395</v>
      </c>
      <c r="E110" s="20">
        <f t="shared" ref="E110:N110" si="15">SUMIF($B$4:$B$86,$B110,E$4:E$86)</f>
        <v>6786356.7199999997</v>
      </c>
      <c r="F110" s="20">
        <f t="shared" si="15"/>
        <v>6450642.0700000003</v>
      </c>
      <c r="G110" s="20">
        <f t="shared" si="15"/>
        <v>19466589.100000001</v>
      </c>
      <c r="H110" s="20">
        <f t="shared" si="15"/>
        <v>20014791.199999999</v>
      </c>
      <c r="I110" s="20">
        <f t="shared" si="15"/>
        <v>16744485.699999999</v>
      </c>
      <c r="J110" s="20">
        <f t="shared" si="15"/>
        <v>36511295.030000001</v>
      </c>
      <c r="K110" s="20">
        <f t="shared" si="15"/>
        <v>66810995.409999996</v>
      </c>
      <c r="L110" s="20">
        <f t="shared" si="15"/>
        <v>62335520.280000001</v>
      </c>
      <c r="M110" s="20">
        <f t="shared" si="15"/>
        <v>61995179.640000001</v>
      </c>
      <c r="N110" s="20">
        <f t="shared" si="15"/>
        <v>59456205.960000001</v>
      </c>
      <c r="Q110" s="36"/>
      <c r="R110" s="36"/>
      <c r="S110" s="36"/>
    </row>
    <row r="111" spans="1:19" x14ac:dyDescent="0.3">
      <c r="A111" s="21">
        <f>SUM(A90:A110)</f>
        <v>1367904256.9000001</v>
      </c>
      <c r="B111" s="16" t="s">
        <v>413</v>
      </c>
      <c r="E111" s="21">
        <f t="shared" ref="E111:N111" si="16">SUM(E90:E110)</f>
        <v>73427348.5</v>
      </c>
      <c r="F111" s="21">
        <f t="shared" si="16"/>
        <v>84034103.769999981</v>
      </c>
      <c r="G111" s="21">
        <f t="shared" si="16"/>
        <v>98187426.569999993</v>
      </c>
      <c r="H111" s="21">
        <f t="shared" si="16"/>
        <v>93152986.609999999</v>
      </c>
      <c r="I111" s="21">
        <f t="shared" si="16"/>
        <v>96707220.980000004</v>
      </c>
      <c r="J111" s="21">
        <f t="shared" si="16"/>
        <v>136423028.91</v>
      </c>
      <c r="K111" s="21">
        <f t="shared" si="16"/>
        <v>164973846.80000001</v>
      </c>
      <c r="L111" s="21">
        <f t="shared" si="16"/>
        <v>199350146.84</v>
      </c>
      <c r="M111" s="21">
        <f t="shared" si="16"/>
        <v>214392069.36000001</v>
      </c>
      <c r="N111" s="21">
        <f t="shared" si="16"/>
        <v>207256078.56</v>
      </c>
      <c r="Q111" s="36"/>
      <c r="R111" s="36"/>
      <c r="S111" s="36"/>
    </row>
    <row r="112" spans="1:19" x14ac:dyDescent="0.3">
      <c r="A112" s="21"/>
      <c r="B112" s="16"/>
      <c r="E112" s="21"/>
      <c r="F112" s="21"/>
      <c r="G112" s="21"/>
      <c r="H112" s="21"/>
      <c r="I112" s="21"/>
      <c r="J112" s="21"/>
      <c r="K112" s="21"/>
      <c r="L112" s="21"/>
      <c r="M112" s="21"/>
      <c r="N112" s="21"/>
      <c r="Q112" s="36"/>
      <c r="R112" s="36"/>
      <c r="S112" s="36"/>
    </row>
    <row r="113" spans="1:19" x14ac:dyDescent="0.3">
      <c r="E113" s="21"/>
      <c r="Q113" s="36"/>
      <c r="R113" s="36"/>
      <c r="S113" s="36"/>
    </row>
    <row r="114" spans="1:19" x14ac:dyDescent="0.3">
      <c r="B114" s="16"/>
      <c r="E114" s="18"/>
      <c r="F114" s="18"/>
      <c r="G114" s="18"/>
      <c r="H114" s="18"/>
      <c r="I114" s="18"/>
      <c r="J114" s="18"/>
      <c r="K114" s="18"/>
      <c r="L114" s="18"/>
      <c r="M114" s="18"/>
      <c r="N114" s="18"/>
      <c r="Q114" s="36"/>
      <c r="R114" s="36"/>
      <c r="S114" s="36"/>
    </row>
    <row r="115" spans="1:19" x14ac:dyDescent="0.3">
      <c r="A115" s="21"/>
      <c r="B115" s="18"/>
      <c r="E115" s="20"/>
      <c r="F115" s="20"/>
      <c r="G115" s="20"/>
      <c r="H115" s="20"/>
      <c r="I115" s="20"/>
      <c r="J115" s="20"/>
      <c r="K115" s="20"/>
      <c r="L115" s="20"/>
      <c r="M115" s="20"/>
      <c r="N115" s="20"/>
      <c r="Q115" s="36"/>
      <c r="R115" s="36"/>
      <c r="S115" s="36"/>
    </row>
    <row r="116" spans="1:19" x14ac:dyDescent="0.3">
      <c r="A116" s="21"/>
      <c r="B116" s="18"/>
      <c r="E116" s="20"/>
      <c r="F116" s="20"/>
      <c r="G116" s="20"/>
      <c r="H116" s="20"/>
      <c r="I116" s="20"/>
      <c r="J116" s="20"/>
      <c r="K116" s="20"/>
      <c r="L116" s="20"/>
      <c r="M116" s="20"/>
      <c r="N116" s="20"/>
      <c r="Q116" s="36"/>
      <c r="R116" s="36"/>
      <c r="S116" s="36"/>
    </row>
    <row r="117" spans="1:19" x14ac:dyDescent="0.3">
      <c r="A117" s="21"/>
      <c r="B117" s="18"/>
      <c r="E117" s="20"/>
      <c r="F117" s="20"/>
      <c r="G117" s="20"/>
      <c r="H117" s="20"/>
      <c r="I117" s="20"/>
      <c r="J117" s="20"/>
      <c r="K117" s="20"/>
      <c r="L117" s="20"/>
      <c r="M117" s="20"/>
      <c r="N117" s="20"/>
      <c r="Q117" s="36"/>
      <c r="R117" s="36"/>
      <c r="S117" s="36"/>
    </row>
    <row r="118" spans="1:19" x14ac:dyDescent="0.3">
      <c r="A118" s="21"/>
      <c r="B118" s="18"/>
      <c r="E118" s="20"/>
      <c r="F118" s="20"/>
      <c r="G118" s="20"/>
      <c r="H118" s="20"/>
      <c r="I118" s="20"/>
      <c r="J118" s="20"/>
      <c r="K118" s="20"/>
      <c r="L118" s="20"/>
      <c r="M118" s="20"/>
      <c r="N118" s="20"/>
      <c r="Q118" s="36"/>
      <c r="R118" s="36"/>
      <c r="S118" s="36"/>
    </row>
    <row r="119" spans="1:19" x14ac:dyDescent="0.3">
      <c r="A119" s="21"/>
      <c r="B119" s="18"/>
      <c r="E119" s="20"/>
      <c r="F119" s="20"/>
      <c r="G119" s="20"/>
      <c r="H119" s="20"/>
      <c r="I119" s="20"/>
      <c r="J119" s="20"/>
      <c r="K119" s="20"/>
      <c r="L119" s="20"/>
      <c r="M119" s="20"/>
      <c r="N119" s="20"/>
      <c r="Q119" s="36"/>
      <c r="R119" s="36"/>
      <c r="S119" s="36"/>
    </row>
    <row r="120" spans="1:19" x14ac:dyDescent="0.3">
      <c r="A120" s="21"/>
      <c r="B120" s="18"/>
      <c r="E120" s="20"/>
      <c r="F120" s="20"/>
      <c r="G120" s="20"/>
      <c r="H120" s="20"/>
      <c r="I120" s="20"/>
      <c r="J120" s="20"/>
      <c r="K120" s="20"/>
      <c r="L120" s="20"/>
      <c r="M120" s="20"/>
      <c r="N120" s="20"/>
      <c r="Q120" s="36"/>
      <c r="R120" s="36"/>
      <c r="S120" s="36"/>
    </row>
    <row r="121" spans="1:19" x14ac:dyDescent="0.3">
      <c r="A121" s="21"/>
      <c r="B121" s="18"/>
      <c r="E121" s="20"/>
      <c r="F121" s="20"/>
      <c r="G121" s="20"/>
      <c r="H121" s="20"/>
      <c r="I121" s="20"/>
      <c r="J121" s="20"/>
      <c r="K121" s="20"/>
      <c r="L121" s="20"/>
      <c r="M121" s="20"/>
      <c r="N121" s="20"/>
      <c r="Q121" s="36"/>
      <c r="R121" s="36"/>
      <c r="S121" s="36"/>
    </row>
    <row r="122" spans="1:19" x14ac:dyDescent="0.3">
      <c r="A122" s="21"/>
      <c r="B122" s="18"/>
      <c r="E122" s="20"/>
      <c r="F122" s="20"/>
      <c r="G122" s="20"/>
      <c r="H122" s="20"/>
      <c r="I122" s="20"/>
      <c r="J122" s="20"/>
      <c r="K122" s="20"/>
      <c r="L122" s="20"/>
      <c r="M122" s="20"/>
      <c r="N122" s="20"/>
      <c r="Q122" s="36"/>
      <c r="R122" s="36"/>
      <c r="S122" s="36"/>
    </row>
    <row r="123" spans="1:19" x14ac:dyDescent="0.3">
      <c r="A123" s="21"/>
      <c r="B123" s="18"/>
      <c r="E123" s="20"/>
      <c r="F123" s="20"/>
      <c r="G123" s="20"/>
      <c r="H123" s="20"/>
      <c r="I123" s="20"/>
      <c r="J123" s="20"/>
      <c r="K123" s="20"/>
      <c r="L123" s="20"/>
      <c r="M123" s="20"/>
      <c r="N123" s="20"/>
      <c r="Q123" s="36"/>
      <c r="R123" s="36"/>
      <c r="S123" s="36"/>
    </row>
    <row r="124" spans="1:19" x14ac:dyDescent="0.3">
      <c r="A124" s="21"/>
      <c r="B124" s="18"/>
      <c r="E124" s="20"/>
      <c r="F124" s="20"/>
      <c r="G124" s="20"/>
      <c r="H124" s="20"/>
      <c r="I124" s="20"/>
      <c r="J124" s="20"/>
      <c r="K124" s="20"/>
      <c r="L124" s="20"/>
      <c r="M124" s="20"/>
      <c r="N124" s="20"/>
      <c r="Q124" s="36"/>
      <c r="R124" s="36"/>
      <c r="S124" s="36"/>
    </row>
    <row r="125" spans="1:19" x14ac:dyDescent="0.3">
      <c r="A125" s="21"/>
      <c r="B125" s="18"/>
      <c r="E125" s="20"/>
      <c r="F125" s="20"/>
      <c r="G125" s="20"/>
      <c r="H125" s="20"/>
      <c r="I125" s="20"/>
      <c r="J125" s="20"/>
      <c r="K125" s="20"/>
      <c r="L125" s="20"/>
      <c r="M125" s="20"/>
      <c r="N125" s="20"/>
      <c r="Q125" s="36"/>
      <c r="R125" s="36"/>
      <c r="S125" s="36"/>
    </row>
    <row r="126" spans="1:19" x14ac:dyDescent="0.3">
      <c r="A126" s="21"/>
      <c r="B126" s="18"/>
      <c r="E126" s="20"/>
      <c r="F126" s="20"/>
      <c r="G126" s="20"/>
      <c r="H126" s="20"/>
      <c r="I126" s="20"/>
      <c r="J126" s="20"/>
      <c r="K126" s="20"/>
      <c r="L126" s="20"/>
      <c r="M126" s="20"/>
      <c r="N126" s="20"/>
      <c r="Q126" s="36"/>
      <c r="R126" s="36"/>
      <c r="S126" s="36"/>
    </row>
    <row r="127" spans="1:19" x14ac:dyDescent="0.3">
      <c r="A127" s="21"/>
      <c r="B127" s="18"/>
      <c r="E127" s="20"/>
      <c r="F127" s="20"/>
      <c r="G127" s="20"/>
      <c r="H127" s="20"/>
      <c r="I127" s="20"/>
      <c r="J127" s="20"/>
      <c r="K127" s="20"/>
      <c r="L127" s="20"/>
      <c r="M127" s="20"/>
      <c r="N127" s="20"/>
      <c r="Q127" s="36"/>
      <c r="R127" s="36"/>
      <c r="S127" s="36"/>
    </row>
    <row r="128" spans="1:19" x14ac:dyDescent="0.3">
      <c r="A128" s="21"/>
      <c r="B128" s="18"/>
      <c r="E128" s="20"/>
      <c r="F128" s="20"/>
      <c r="G128" s="20"/>
      <c r="H128" s="20"/>
      <c r="I128" s="20"/>
      <c r="J128" s="20"/>
      <c r="K128" s="20"/>
      <c r="L128" s="20"/>
      <c r="M128" s="20"/>
      <c r="N128" s="20"/>
      <c r="Q128" s="36"/>
      <c r="R128" s="36"/>
      <c r="S128" s="36"/>
    </row>
    <row r="129" spans="1:19" x14ac:dyDescent="0.3">
      <c r="A129" s="21"/>
      <c r="B129" s="18"/>
      <c r="E129" s="20"/>
      <c r="F129" s="20"/>
      <c r="G129" s="20"/>
      <c r="H129" s="20"/>
      <c r="I129" s="20"/>
      <c r="J129" s="20"/>
      <c r="K129" s="20"/>
      <c r="L129" s="20"/>
      <c r="M129" s="20"/>
      <c r="N129" s="20"/>
      <c r="Q129" s="36"/>
      <c r="R129" s="36"/>
      <c r="S129" s="36"/>
    </row>
    <row r="130" spans="1:19" x14ac:dyDescent="0.3">
      <c r="A130" s="21"/>
      <c r="B130" s="18"/>
      <c r="E130" s="20"/>
      <c r="F130" s="20"/>
      <c r="G130" s="20"/>
      <c r="H130" s="20"/>
      <c r="I130" s="20"/>
      <c r="J130" s="20"/>
      <c r="K130" s="20"/>
      <c r="L130" s="20"/>
      <c r="M130" s="20"/>
      <c r="N130" s="20"/>
      <c r="Q130" s="36"/>
      <c r="R130" s="36"/>
      <c r="S130" s="36"/>
    </row>
    <row r="131" spans="1:19" x14ac:dyDescent="0.3">
      <c r="A131" s="21"/>
      <c r="B131" s="18"/>
      <c r="E131" s="20"/>
      <c r="F131" s="20"/>
      <c r="G131" s="20"/>
      <c r="H131" s="20"/>
      <c r="I131" s="20"/>
      <c r="J131" s="20"/>
      <c r="K131" s="20"/>
      <c r="L131" s="20"/>
      <c r="M131" s="20"/>
      <c r="N131" s="20"/>
      <c r="Q131" s="36"/>
      <c r="R131" s="36"/>
      <c r="S131" s="36"/>
    </row>
    <row r="132" spans="1:19" x14ac:dyDescent="0.3">
      <c r="A132" s="21"/>
      <c r="B132" s="18"/>
      <c r="E132" s="20"/>
      <c r="F132" s="20"/>
      <c r="G132" s="20"/>
      <c r="H132" s="20"/>
      <c r="I132" s="20"/>
      <c r="J132" s="20"/>
      <c r="K132" s="20"/>
      <c r="L132" s="20"/>
      <c r="M132" s="20"/>
      <c r="N132" s="20"/>
      <c r="Q132" s="36"/>
      <c r="R132" s="36"/>
      <c r="S132" s="36"/>
    </row>
    <row r="133" spans="1:19" x14ac:dyDescent="0.3">
      <c r="A133" s="21"/>
      <c r="B133" s="18"/>
      <c r="E133" s="20"/>
      <c r="F133" s="20"/>
      <c r="G133" s="20"/>
      <c r="H133" s="20"/>
      <c r="I133" s="20"/>
      <c r="J133" s="20"/>
      <c r="K133" s="20"/>
      <c r="L133" s="20"/>
      <c r="M133" s="20"/>
      <c r="N133" s="20"/>
      <c r="Q133" s="36"/>
      <c r="R133" s="36"/>
      <c r="S133" s="36"/>
    </row>
    <row r="134" spans="1:19" x14ac:dyDescent="0.3">
      <c r="A134" s="21"/>
      <c r="B134" s="18"/>
      <c r="E134" s="20"/>
      <c r="F134" s="20"/>
      <c r="G134" s="20"/>
      <c r="H134" s="20"/>
      <c r="I134" s="20"/>
      <c r="J134" s="20"/>
      <c r="K134" s="20"/>
      <c r="L134" s="20"/>
      <c r="M134" s="20"/>
      <c r="N134" s="20"/>
      <c r="Q134" s="36"/>
      <c r="R134" s="36"/>
      <c r="S134" s="36"/>
    </row>
    <row r="135" spans="1:19" x14ac:dyDescent="0.3">
      <c r="A135" s="21"/>
      <c r="B135" s="18"/>
      <c r="E135" s="20"/>
      <c r="F135" s="20"/>
      <c r="G135" s="20"/>
      <c r="H135" s="20"/>
      <c r="I135" s="20"/>
      <c r="J135" s="20"/>
      <c r="K135" s="20"/>
      <c r="L135" s="20"/>
      <c r="M135" s="20"/>
      <c r="N135" s="20"/>
      <c r="Q135" s="36"/>
      <c r="R135" s="36"/>
      <c r="S135" s="36"/>
    </row>
    <row r="136" spans="1:19" x14ac:dyDescent="0.3">
      <c r="A136" s="21"/>
      <c r="B136" s="18"/>
      <c r="E136" s="21"/>
      <c r="F136" s="21"/>
      <c r="G136" s="21"/>
      <c r="H136" s="21"/>
      <c r="I136" s="21"/>
      <c r="J136" s="21"/>
      <c r="K136" s="21"/>
      <c r="L136" s="21"/>
      <c r="M136" s="21"/>
      <c r="N136" s="21"/>
      <c r="Q136" s="36"/>
      <c r="R136" s="36"/>
      <c r="S136" s="36"/>
    </row>
    <row r="137" spans="1:19" x14ac:dyDescent="0.3">
      <c r="B137" s="18"/>
      <c r="Q137" s="36"/>
      <c r="R137" s="36"/>
      <c r="S137" s="36"/>
    </row>
    <row r="138" spans="1:19" x14ac:dyDescent="0.3">
      <c r="B138" s="18"/>
      <c r="Q138" s="36"/>
      <c r="R138" s="36"/>
      <c r="S138" s="36"/>
    </row>
    <row r="139" spans="1:19" x14ac:dyDescent="0.3">
      <c r="A139" s="21"/>
      <c r="B139" s="18"/>
      <c r="E139" s="20"/>
      <c r="F139" s="20"/>
      <c r="G139" s="20"/>
      <c r="H139" s="20"/>
      <c r="I139" s="20"/>
      <c r="J139" s="20"/>
      <c r="K139" s="20"/>
      <c r="L139" s="20"/>
      <c r="M139" s="20"/>
      <c r="N139" s="20"/>
      <c r="Q139" s="36"/>
      <c r="R139" s="36"/>
      <c r="S139" s="36"/>
    </row>
    <row r="140" spans="1:19" x14ac:dyDescent="0.3">
      <c r="A140" s="21"/>
      <c r="B140" s="18"/>
      <c r="E140" s="20"/>
      <c r="F140" s="20"/>
      <c r="G140" s="20"/>
      <c r="H140" s="20"/>
      <c r="I140" s="20"/>
      <c r="J140" s="20"/>
      <c r="K140" s="20"/>
      <c r="L140" s="20"/>
      <c r="M140" s="20"/>
      <c r="N140" s="20"/>
      <c r="Q140" s="36"/>
      <c r="R140" s="36"/>
      <c r="S140" s="36"/>
    </row>
    <row r="141" spans="1:19" x14ac:dyDescent="0.3">
      <c r="A141" s="21"/>
      <c r="B141" s="18"/>
      <c r="E141" s="20"/>
      <c r="F141" s="20"/>
      <c r="G141" s="20"/>
      <c r="H141" s="20"/>
      <c r="I141" s="20"/>
      <c r="J141" s="20"/>
      <c r="K141" s="20"/>
      <c r="L141" s="20"/>
      <c r="M141" s="20"/>
      <c r="N141" s="20"/>
      <c r="Q141" s="36"/>
      <c r="R141" s="36"/>
      <c r="S141" s="36"/>
    </row>
    <row r="142" spans="1:19" x14ac:dyDescent="0.3">
      <c r="A142" s="21"/>
      <c r="B142" s="18"/>
      <c r="E142" s="20"/>
      <c r="F142" s="20"/>
      <c r="G142" s="20"/>
      <c r="H142" s="20"/>
      <c r="I142" s="20"/>
      <c r="J142" s="20"/>
      <c r="K142" s="20"/>
      <c r="L142" s="20"/>
      <c r="M142" s="20"/>
      <c r="N142" s="20"/>
      <c r="Q142" s="36"/>
      <c r="R142" s="36"/>
      <c r="S142" s="36"/>
    </row>
    <row r="143" spans="1:19" x14ac:dyDescent="0.3">
      <c r="A143" s="21"/>
      <c r="B143" s="18"/>
      <c r="E143" s="20"/>
      <c r="F143" s="20"/>
      <c r="G143" s="20"/>
      <c r="H143" s="20"/>
      <c r="I143" s="20"/>
      <c r="J143" s="20"/>
      <c r="K143" s="20"/>
      <c r="L143" s="20"/>
      <c r="M143" s="20"/>
      <c r="N143" s="20"/>
      <c r="Q143" s="36"/>
      <c r="R143" s="36"/>
      <c r="S143" s="36"/>
    </row>
    <row r="144" spans="1:19" x14ac:dyDescent="0.3">
      <c r="A144" s="21"/>
      <c r="B144" s="18"/>
      <c r="E144" s="20"/>
      <c r="F144" s="20"/>
      <c r="G144" s="20"/>
      <c r="H144" s="20"/>
      <c r="I144" s="20"/>
      <c r="J144" s="20"/>
      <c r="K144" s="20"/>
      <c r="L144" s="20"/>
      <c r="M144" s="20"/>
      <c r="N144" s="20"/>
      <c r="Q144" s="36"/>
      <c r="R144" s="36"/>
      <c r="S144" s="36"/>
    </row>
    <row r="145" spans="1:19" x14ac:dyDescent="0.3">
      <c r="A145" s="21"/>
      <c r="B145" s="18"/>
      <c r="E145" s="20"/>
      <c r="F145" s="20"/>
      <c r="G145" s="20"/>
      <c r="H145" s="20"/>
      <c r="I145" s="20"/>
      <c r="J145" s="20"/>
      <c r="K145" s="20"/>
      <c r="L145" s="20"/>
      <c r="M145" s="20"/>
      <c r="N145" s="20"/>
      <c r="Q145" s="36"/>
      <c r="R145" s="36"/>
      <c r="S145" s="36"/>
    </row>
    <row r="146" spans="1:19" x14ac:dyDescent="0.3">
      <c r="A146" s="21"/>
      <c r="B146" s="18"/>
      <c r="E146" s="20"/>
      <c r="F146" s="20"/>
      <c r="G146" s="20"/>
      <c r="H146" s="20"/>
      <c r="I146" s="20"/>
      <c r="J146" s="20"/>
      <c r="K146" s="20"/>
      <c r="L146" s="20"/>
      <c r="M146" s="20"/>
      <c r="N146" s="20"/>
      <c r="Q146" s="36"/>
      <c r="R146" s="36"/>
      <c r="S146" s="36"/>
    </row>
    <row r="147" spans="1:19" x14ac:dyDescent="0.3">
      <c r="A147" s="21"/>
      <c r="B147" s="18"/>
      <c r="E147" s="20"/>
      <c r="F147" s="20"/>
      <c r="G147" s="20"/>
      <c r="H147" s="20"/>
      <c r="I147" s="20"/>
      <c r="J147" s="20"/>
      <c r="K147" s="20"/>
      <c r="L147" s="20"/>
      <c r="M147" s="20"/>
      <c r="N147" s="20"/>
      <c r="Q147" s="36"/>
      <c r="R147" s="36"/>
      <c r="S147" s="36"/>
    </row>
    <row r="148" spans="1:19" x14ac:dyDescent="0.3">
      <c r="A148" s="21"/>
      <c r="B148" s="18"/>
      <c r="E148" s="20"/>
      <c r="F148" s="20"/>
      <c r="G148" s="20"/>
      <c r="H148" s="20"/>
      <c r="I148" s="20"/>
      <c r="J148" s="20"/>
      <c r="K148" s="20"/>
      <c r="L148" s="20"/>
      <c r="M148" s="20"/>
      <c r="N148" s="20"/>
      <c r="Q148" s="36"/>
      <c r="R148" s="36"/>
      <c r="S148" s="36"/>
    </row>
    <row r="149" spans="1:19" x14ac:dyDescent="0.3">
      <c r="A149" s="21"/>
      <c r="B149" s="18"/>
      <c r="E149" s="20"/>
      <c r="F149" s="20"/>
      <c r="G149" s="20"/>
      <c r="H149" s="20"/>
      <c r="I149" s="20"/>
      <c r="J149" s="20"/>
      <c r="K149" s="20"/>
      <c r="L149" s="20"/>
      <c r="M149" s="20"/>
      <c r="N149" s="20"/>
    </row>
    <row r="150" spans="1:19" x14ac:dyDescent="0.3">
      <c r="A150" s="21"/>
      <c r="B150" s="18"/>
      <c r="E150" s="20"/>
      <c r="F150" s="20"/>
      <c r="G150" s="20"/>
      <c r="H150" s="20"/>
      <c r="I150" s="20"/>
      <c r="J150" s="20"/>
      <c r="K150" s="20"/>
      <c r="L150" s="20"/>
      <c r="M150" s="20"/>
      <c r="N150" s="20"/>
    </row>
    <row r="151" spans="1:19" x14ac:dyDescent="0.3">
      <c r="A151" s="21"/>
      <c r="B151" s="18"/>
      <c r="E151" s="20"/>
      <c r="F151" s="20"/>
      <c r="G151" s="20"/>
      <c r="H151" s="20"/>
      <c r="I151" s="20"/>
      <c r="J151" s="20"/>
      <c r="K151" s="20"/>
      <c r="L151" s="20"/>
      <c r="M151" s="20"/>
      <c r="N151" s="20"/>
    </row>
    <row r="152" spans="1:19" x14ac:dyDescent="0.3">
      <c r="A152" s="21"/>
      <c r="B152" s="18"/>
      <c r="E152" s="20"/>
      <c r="F152" s="20"/>
      <c r="G152" s="20"/>
      <c r="H152" s="20"/>
      <c r="I152" s="20"/>
      <c r="J152" s="20"/>
      <c r="K152" s="20"/>
      <c r="L152" s="20"/>
      <c r="M152" s="20"/>
      <c r="N152" s="20"/>
    </row>
    <row r="153" spans="1:19" x14ac:dyDescent="0.3">
      <c r="A153" s="21"/>
      <c r="B153" s="18"/>
      <c r="E153" s="20"/>
      <c r="F153" s="20"/>
      <c r="G153" s="20"/>
      <c r="H153" s="20"/>
      <c r="I153" s="20"/>
      <c r="J153" s="20"/>
      <c r="K153" s="20"/>
      <c r="L153" s="20"/>
      <c r="M153" s="20"/>
      <c r="N153" s="20"/>
    </row>
    <row r="154" spans="1:19" x14ac:dyDescent="0.3">
      <c r="A154" s="21"/>
      <c r="B154" s="18"/>
      <c r="E154" s="20"/>
      <c r="F154" s="20"/>
      <c r="G154" s="20"/>
      <c r="H154" s="20"/>
      <c r="I154" s="20"/>
      <c r="J154" s="20"/>
      <c r="K154" s="20"/>
      <c r="L154" s="20"/>
      <c r="M154" s="20"/>
      <c r="N154" s="20"/>
    </row>
    <row r="155" spans="1:19" x14ac:dyDescent="0.3">
      <c r="A155" s="21"/>
      <c r="B155" s="18"/>
      <c r="E155" s="20"/>
      <c r="F155" s="20"/>
      <c r="G155" s="20"/>
      <c r="H155" s="20"/>
      <c r="I155" s="20"/>
      <c r="J155" s="20"/>
      <c r="K155" s="20"/>
      <c r="L155" s="20"/>
      <c r="M155" s="20"/>
      <c r="N155" s="20"/>
    </row>
    <row r="156" spans="1:19" x14ac:dyDescent="0.3">
      <c r="A156" s="21"/>
      <c r="B156" s="18"/>
      <c r="E156" s="20"/>
      <c r="F156" s="20"/>
      <c r="G156" s="20"/>
      <c r="H156" s="20"/>
      <c r="I156" s="20"/>
      <c r="J156" s="20"/>
      <c r="K156" s="20"/>
      <c r="L156" s="20"/>
      <c r="M156" s="20"/>
      <c r="N156" s="20"/>
    </row>
    <row r="157" spans="1:19" x14ac:dyDescent="0.3">
      <c r="A157" s="21"/>
      <c r="B157" s="18"/>
      <c r="E157" s="20"/>
      <c r="F157" s="20"/>
      <c r="G157" s="20"/>
      <c r="H157" s="20"/>
      <c r="I157" s="20"/>
      <c r="J157" s="20"/>
      <c r="K157" s="20"/>
      <c r="L157" s="20"/>
      <c r="M157" s="20"/>
      <c r="N157" s="20"/>
    </row>
    <row r="158" spans="1:19" x14ac:dyDescent="0.3">
      <c r="A158" s="21"/>
      <c r="B158" s="18"/>
      <c r="E158" s="20"/>
      <c r="F158" s="20"/>
      <c r="G158" s="20"/>
      <c r="H158" s="20"/>
      <c r="I158" s="20"/>
      <c r="J158" s="20"/>
      <c r="K158" s="20"/>
      <c r="L158" s="20"/>
      <c r="M158" s="20"/>
      <c r="N158" s="20"/>
    </row>
    <row r="159" spans="1:19" x14ac:dyDescent="0.3">
      <c r="A159" s="21"/>
      <c r="B159" s="18"/>
      <c r="E159" s="20"/>
      <c r="F159" s="20"/>
      <c r="G159" s="20"/>
      <c r="H159" s="20"/>
      <c r="I159" s="20"/>
      <c r="J159" s="20"/>
      <c r="K159" s="20"/>
      <c r="L159" s="20"/>
      <c r="M159" s="20"/>
      <c r="N159" s="20"/>
    </row>
    <row r="160" spans="1:19" x14ac:dyDescent="0.3">
      <c r="A160" s="21"/>
      <c r="B160" s="18"/>
      <c r="E160" s="21"/>
      <c r="F160" s="21"/>
      <c r="G160" s="21"/>
      <c r="H160" s="21"/>
      <c r="I160" s="21"/>
      <c r="J160" s="21"/>
      <c r="K160" s="21"/>
      <c r="L160" s="21"/>
      <c r="M160" s="21"/>
      <c r="N160" s="21"/>
    </row>
    <row r="161" spans="2:2" x14ac:dyDescent="0.3">
      <c r="B161" s="18"/>
    </row>
  </sheetData>
  <sheetProtection algorithmName="SHA-512" hashValue="8f/MXiN1CGDFaaGbGAb/AmsC00AgvLaXQCArSRMQ/ZI25ihfwPgLBhAXXqaFZdqx56MZZ32UoEXXbWKXnTWbpA==" saltValue="fTpw2m9vugeL8a5Mzw3Yjw==" spinCount="100000" sheet="1" objects="1" scenarios="1"/>
  <autoFilter ref="A3:N87" xr:uid="{69F57268-F7C0-48AF-B78D-219930B216D3}"/>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EF624-17CE-4726-A0BB-CA37A3AF8354}">
  <dimension ref="A1:DP542"/>
  <sheetViews>
    <sheetView zoomScaleNormal="100" workbookViewId="0">
      <pane xSplit="25" ySplit="11" topLeftCell="Z12" activePane="bottomRight" state="frozen"/>
      <selection pane="topRight" activeCell="Z1" sqref="Z1"/>
      <selection pane="bottomLeft" activeCell="A12" sqref="A12"/>
      <selection pane="bottomRight" activeCell="AA7" sqref="AA7"/>
    </sheetView>
  </sheetViews>
  <sheetFormatPr defaultColWidth="9.109375" defaultRowHeight="13.8" x14ac:dyDescent="0.3"/>
  <cols>
    <col min="1" max="1" width="9.109375" style="2"/>
    <col min="2" max="2" width="19.109375" style="2" customWidth="1"/>
    <col min="3" max="3" width="6" style="2" customWidth="1"/>
    <col min="4" max="4" width="24" style="2" customWidth="1"/>
    <col min="5" max="5" width="16" style="2" customWidth="1"/>
    <col min="6" max="6" width="6.33203125" style="2" customWidth="1"/>
    <col min="7" max="7" width="5.5546875" style="2" customWidth="1"/>
    <col min="8" max="9" width="3.88671875" style="2" customWidth="1"/>
    <col min="10" max="10" width="4.5546875" style="2" customWidth="1"/>
    <col min="11" max="13" width="3.88671875" style="2" customWidth="1"/>
    <col min="14" max="14" width="8" style="2" customWidth="1"/>
    <col min="15" max="15" width="6.6640625" style="2" customWidth="1"/>
    <col min="16" max="16" width="7.6640625" style="2" customWidth="1"/>
    <col min="17" max="19" width="7" style="2" customWidth="1"/>
    <col min="20" max="20" width="7.109375" style="2" customWidth="1"/>
    <col min="21" max="21" width="4.88671875" style="2" customWidth="1"/>
    <col min="22" max="22" width="5.88671875" style="2" customWidth="1"/>
    <col min="23" max="23" width="6.5546875" style="2" customWidth="1"/>
    <col min="24" max="25" width="5.33203125" style="2" customWidth="1"/>
    <col min="26" max="59" width="5.88671875" style="2" customWidth="1"/>
    <col min="60" max="68" width="6.109375" style="2" customWidth="1"/>
    <col min="69" max="69" width="7.33203125" style="2" customWidth="1"/>
    <col min="70" max="91" width="6.109375" style="2" customWidth="1"/>
    <col min="92" max="92" width="7.44140625" style="2" customWidth="1"/>
    <col min="93" max="93" width="6.33203125" style="53" customWidth="1"/>
    <col min="94" max="96" width="5.33203125" style="53" customWidth="1"/>
    <col min="97" max="97" width="5.33203125" style="2" customWidth="1"/>
    <col min="98" max="100" width="5.88671875" style="2" customWidth="1"/>
    <col min="101" max="102" width="6.33203125" style="2" customWidth="1"/>
    <col min="103" max="103" width="5.5546875" style="2" customWidth="1"/>
    <col min="104" max="106" width="4.88671875" style="2" customWidth="1"/>
    <col min="107" max="16384" width="9.109375" style="2"/>
  </cols>
  <sheetData>
    <row r="1" spans="1:120" x14ac:dyDescent="0.3">
      <c r="A1" s="5" t="s">
        <v>416</v>
      </c>
      <c r="W1" s="7" t="s">
        <v>417</v>
      </c>
      <c r="X1" s="105">
        <f t="shared" ref="X1:X7" si="0">SUM(Z1:AI1)</f>
        <v>126.73508164</v>
      </c>
      <c r="Z1" s="23">
        <f>Z7</f>
        <v>18.545789399999997</v>
      </c>
      <c r="AA1" s="23">
        <f t="shared" ref="AA1:AI1" si="1">AA7</f>
        <v>32.664498000000002</v>
      </c>
      <c r="AB1" s="23">
        <f>AB7</f>
        <v>33.372813239999999</v>
      </c>
      <c r="AC1" s="23">
        <f t="shared" si="1"/>
        <v>21.732059000000003</v>
      </c>
      <c r="AD1" s="23">
        <f t="shared" si="1"/>
        <v>10.832881999999998</v>
      </c>
      <c r="AE1" s="23">
        <f t="shared" si="1"/>
        <v>6.58704</v>
      </c>
      <c r="AF1" s="23">
        <f t="shared" si="1"/>
        <v>3</v>
      </c>
      <c r="AG1" s="23">
        <f t="shared" si="1"/>
        <v>0</v>
      </c>
      <c r="AH1" s="23">
        <f t="shared" si="1"/>
        <v>0</v>
      </c>
      <c r="AI1" s="23">
        <f t="shared" si="1"/>
        <v>0</v>
      </c>
    </row>
    <row r="2" spans="1:120" x14ac:dyDescent="0.3">
      <c r="B2" s="2" t="s">
        <v>799</v>
      </c>
      <c r="P2" s="23"/>
      <c r="W2" s="7" t="s">
        <v>418</v>
      </c>
      <c r="X2" s="105">
        <f t="shared" si="0"/>
        <v>444.13495281000002</v>
      </c>
      <c r="Z2" s="23">
        <v>5.2114635400000004</v>
      </c>
      <c r="AA2" s="23">
        <v>10.048681310000001</v>
      </c>
      <c r="AB2" s="23">
        <v>16.246111599999999</v>
      </c>
      <c r="AC2" s="23">
        <v>25.240733039999999</v>
      </c>
      <c r="AD2" s="23">
        <v>27.15725432</v>
      </c>
      <c r="AE2" s="23">
        <v>28.526848179999998</v>
      </c>
      <c r="AF2" s="23">
        <v>43.38562958</v>
      </c>
      <c r="AG2" s="23">
        <v>82.456004640000003</v>
      </c>
      <c r="AH2" s="23">
        <v>101.66233800000001</v>
      </c>
      <c r="AI2" s="23">
        <v>104.19988859999999</v>
      </c>
    </row>
    <row r="3" spans="1:120" x14ac:dyDescent="0.3">
      <c r="D3" s="23"/>
      <c r="F3" s="115"/>
      <c r="W3" s="162" t="s">
        <v>413</v>
      </c>
      <c r="X3" s="163">
        <f t="shared" si="0"/>
        <v>570.87003445000005</v>
      </c>
      <c r="Y3" s="162"/>
      <c r="Z3" s="164">
        <f>SUM(Z1:Z2)</f>
        <v>23.757252939999997</v>
      </c>
      <c r="AA3" s="164">
        <f t="shared" ref="AA3:AI3" si="2">SUM(AA1:AA2)</f>
        <v>42.713179310000001</v>
      </c>
      <c r="AB3" s="164">
        <f t="shared" si="2"/>
        <v>49.618924839999998</v>
      </c>
      <c r="AC3" s="164">
        <f t="shared" si="2"/>
        <v>46.972792040000002</v>
      </c>
      <c r="AD3" s="164">
        <f t="shared" si="2"/>
        <v>37.990136319999998</v>
      </c>
      <c r="AE3" s="164">
        <f t="shared" si="2"/>
        <v>35.113888179999996</v>
      </c>
      <c r="AF3" s="164">
        <f t="shared" si="2"/>
        <v>46.38562958</v>
      </c>
      <c r="AG3" s="164">
        <f t="shared" si="2"/>
        <v>82.456004640000003</v>
      </c>
      <c r="AH3" s="164">
        <f t="shared" si="2"/>
        <v>101.66233800000001</v>
      </c>
      <c r="AI3" s="164">
        <f t="shared" si="2"/>
        <v>104.19988859999999</v>
      </c>
      <c r="AK3" s="165"/>
      <c r="AL3" s="165"/>
      <c r="AM3" s="165"/>
      <c r="AN3" s="165"/>
      <c r="AO3" s="165"/>
      <c r="AP3" s="165"/>
    </row>
    <row r="4" spans="1:120" x14ac:dyDescent="0.3">
      <c r="D4" s="23"/>
      <c r="F4" s="115"/>
      <c r="V4" s="7" t="s">
        <v>419</v>
      </c>
      <c r="W4" s="166">
        <f>X3-X8</f>
        <v>209.60213895513471</v>
      </c>
      <c r="X4" s="166">
        <f t="shared" si="0"/>
        <v>209.60213895513462</v>
      </c>
      <c r="Y4" s="167"/>
      <c r="Z4" s="168">
        <f>Z2-Z6</f>
        <v>5.2114635400000004</v>
      </c>
      <c r="AA4" s="168">
        <f t="shared" ref="AA4:AI4" si="3">AA2-AA6</f>
        <v>10.048681310000001</v>
      </c>
      <c r="AB4" s="168">
        <f t="shared" si="3"/>
        <v>14.072409761862552</v>
      </c>
      <c r="AC4" s="168">
        <f t="shared" si="3"/>
        <v>0.77838634757168279</v>
      </c>
      <c r="AD4" s="168">
        <f t="shared" si="3"/>
        <v>0.42541658145996308</v>
      </c>
      <c r="AE4" s="168">
        <f t="shared" si="3"/>
        <v>4.2632564145606011E-14</v>
      </c>
      <c r="AF4" s="168">
        <f t="shared" si="3"/>
        <v>0</v>
      </c>
      <c r="AG4" s="168">
        <f t="shared" si="3"/>
        <v>32.561883051170362</v>
      </c>
      <c r="AH4" s="168">
        <f t="shared" si="3"/>
        <v>70.198117137466852</v>
      </c>
      <c r="AI4" s="168">
        <f t="shared" si="3"/>
        <v>76.30578122560317</v>
      </c>
      <c r="CY4" s="53"/>
    </row>
    <row r="5" spans="1:120" x14ac:dyDescent="0.3">
      <c r="F5" s="105"/>
      <c r="J5" s="105">
        <f>SUM(J12:J276)</f>
        <v>323.74250000000006</v>
      </c>
      <c r="K5" s="105">
        <f>SUM(K12:K276)</f>
        <v>37.751833333333337</v>
      </c>
      <c r="L5" s="105">
        <f>SUM(L12:L276)</f>
        <v>42.00977000000001</v>
      </c>
      <c r="M5" s="105">
        <f>SUM(M12:M276)</f>
        <v>9</v>
      </c>
      <c r="Q5" s="105"/>
      <c r="R5" s="105"/>
      <c r="S5" s="105"/>
      <c r="V5" s="7"/>
      <c r="W5" s="2" t="s">
        <v>420</v>
      </c>
      <c r="X5" s="105">
        <f t="shared" si="0"/>
        <v>361.26789549486534</v>
      </c>
      <c r="Z5" s="23">
        <f t="shared" ref="Z5:AI5" si="4">SUM(Z12:Z276)</f>
        <v>18.545789399999997</v>
      </c>
      <c r="AA5" s="23">
        <f t="shared" si="4"/>
        <v>32.664498000000002</v>
      </c>
      <c r="AB5" s="23">
        <f t="shared" si="4"/>
        <v>35.546515078137453</v>
      </c>
      <c r="AC5" s="23">
        <f t="shared" si="4"/>
        <v>46.194405692428326</v>
      </c>
      <c r="AD5" s="23">
        <f t="shared" si="4"/>
        <v>37.564719738540049</v>
      </c>
      <c r="AE5" s="23">
        <f t="shared" si="4"/>
        <v>35.113888179999954</v>
      </c>
      <c r="AF5" s="23">
        <f t="shared" si="4"/>
        <v>46.385629579999957</v>
      </c>
      <c r="AG5" s="23">
        <f t="shared" si="4"/>
        <v>49.894121588829641</v>
      </c>
      <c r="AH5" s="23">
        <f t="shared" si="4"/>
        <v>31.464220862533161</v>
      </c>
      <c r="AI5" s="23">
        <f t="shared" si="4"/>
        <v>27.894107374396821</v>
      </c>
      <c r="AK5" s="25"/>
      <c r="AL5" s="25"/>
      <c r="AM5" s="25"/>
      <c r="AN5" s="25"/>
      <c r="AO5" s="25"/>
      <c r="AP5" s="25"/>
      <c r="AQ5" s="25"/>
      <c r="AR5" s="25"/>
      <c r="AS5" s="25"/>
      <c r="AT5" s="25"/>
      <c r="BH5" s="23"/>
      <c r="BI5" s="23"/>
      <c r="BJ5" s="23"/>
      <c r="BK5" s="23"/>
      <c r="BL5" s="23"/>
      <c r="BM5" s="23"/>
      <c r="BN5" s="23"/>
      <c r="BO5" s="23" t="s">
        <v>421</v>
      </c>
      <c r="BP5" s="201">
        <f>BP6-Z6</f>
        <v>0</v>
      </c>
      <c r="BQ5" s="201">
        <f t="shared" ref="BQ5:BY5" si="5">BQ6-AA6</f>
        <v>0</v>
      </c>
      <c r="BR5" s="201">
        <f t="shared" si="5"/>
        <v>0</v>
      </c>
      <c r="BS5" s="201">
        <f t="shared" si="5"/>
        <v>0</v>
      </c>
      <c r="BT5" s="201">
        <f t="shared" si="5"/>
        <v>0</v>
      </c>
      <c r="BU5" s="201">
        <f t="shared" si="5"/>
        <v>0</v>
      </c>
      <c r="BV5" s="201">
        <f t="shared" si="5"/>
        <v>0</v>
      </c>
      <c r="BW5" s="201">
        <f t="shared" si="5"/>
        <v>0</v>
      </c>
      <c r="BX5" s="201">
        <f t="shared" si="5"/>
        <v>0</v>
      </c>
      <c r="BY5" s="201">
        <f t="shared" si="5"/>
        <v>0</v>
      </c>
      <c r="BZ5" s="23"/>
      <c r="CA5" s="23"/>
      <c r="CB5" s="23"/>
      <c r="CC5" s="23"/>
      <c r="CD5" s="23"/>
      <c r="CE5" s="23"/>
      <c r="CF5" s="23"/>
      <c r="CG5" s="23"/>
      <c r="CH5" s="23"/>
      <c r="CI5" s="23"/>
      <c r="CJ5" s="23"/>
      <c r="CK5" s="23"/>
      <c r="CL5" s="23"/>
      <c r="CM5" s="23"/>
      <c r="CN5" s="23"/>
      <c r="CY5" s="53"/>
      <c r="DG5" s="23"/>
      <c r="DH5" s="23"/>
      <c r="DI5" s="23"/>
      <c r="DJ5" s="23"/>
      <c r="DK5" s="23"/>
      <c r="DL5" s="23"/>
      <c r="DM5" s="23"/>
      <c r="DN5" s="23"/>
      <c r="DO5" s="23"/>
      <c r="DP5" s="23"/>
    </row>
    <row r="6" spans="1:120" x14ac:dyDescent="0.3">
      <c r="V6" s="7" t="s">
        <v>422</v>
      </c>
      <c r="X6" s="105">
        <f t="shared" si="0"/>
        <v>234.53281385486531</v>
      </c>
      <c r="Z6" s="105">
        <f t="shared" ref="Z6:AI6" si="6">SUMIF($BP$12:$BP$276,"modelled",Z$12:Z$276)</f>
        <v>0</v>
      </c>
      <c r="AA6" s="105">
        <f t="shared" si="6"/>
        <v>0</v>
      </c>
      <c r="AB6" s="105">
        <f t="shared" si="6"/>
        <v>2.1737018381374473</v>
      </c>
      <c r="AC6" s="105">
        <f t="shared" si="6"/>
        <v>24.462346692428316</v>
      </c>
      <c r="AD6" s="105">
        <f t="shared" si="6"/>
        <v>26.731837738540037</v>
      </c>
      <c r="AE6" s="105">
        <f t="shared" si="6"/>
        <v>28.526848179999956</v>
      </c>
      <c r="AF6" s="105">
        <f t="shared" si="6"/>
        <v>43.385629579999957</v>
      </c>
      <c r="AG6" s="105">
        <f t="shared" si="6"/>
        <v>49.894121588829641</v>
      </c>
      <c r="AH6" s="105">
        <f t="shared" si="6"/>
        <v>31.464220862533161</v>
      </c>
      <c r="AI6" s="105">
        <f t="shared" si="6"/>
        <v>27.894107374396821</v>
      </c>
      <c r="BH6" s="23"/>
      <c r="BI6" s="23"/>
      <c r="BJ6" s="23"/>
      <c r="BK6" s="23"/>
      <c r="BL6" s="23"/>
      <c r="BM6" s="23"/>
      <c r="BN6" s="23"/>
      <c r="BO6" s="183" t="str">
        <f>V6</f>
        <v>Modelled</v>
      </c>
      <c r="BP6" s="201">
        <f t="shared" ref="BP6:BY6" si="7">SUMIF($BP$12:$BP$275,"modelled",Z$12:Z$275)</f>
        <v>0</v>
      </c>
      <c r="BQ6" s="201">
        <f t="shared" si="7"/>
        <v>0</v>
      </c>
      <c r="BR6" s="201">
        <f t="shared" si="7"/>
        <v>2.1737018381374473</v>
      </c>
      <c r="BS6" s="201">
        <f t="shared" si="7"/>
        <v>24.462346692428316</v>
      </c>
      <c r="BT6" s="201">
        <f t="shared" si="7"/>
        <v>26.731837738540037</v>
      </c>
      <c r="BU6" s="201">
        <f t="shared" si="7"/>
        <v>28.526848179999956</v>
      </c>
      <c r="BV6" s="201">
        <f t="shared" si="7"/>
        <v>43.385629579999957</v>
      </c>
      <c r="BW6" s="201">
        <f t="shared" si="7"/>
        <v>49.894121588829641</v>
      </c>
      <c r="BX6" s="201">
        <f t="shared" si="7"/>
        <v>31.464220862533161</v>
      </c>
      <c r="BY6" s="201">
        <f t="shared" si="7"/>
        <v>27.894107374396821</v>
      </c>
      <c r="BZ6" s="23"/>
      <c r="CA6" s="23"/>
      <c r="CB6" s="23"/>
      <c r="CC6" s="23"/>
      <c r="CD6" s="23"/>
      <c r="CE6" s="23"/>
      <c r="CF6" s="23"/>
      <c r="CG6" s="23"/>
      <c r="CH6" s="23"/>
      <c r="CI6" s="23"/>
      <c r="CJ6" s="23"/>
      <c r="CK6" s="23"/>
      <c r="CL6" s="23"/>
      <c r="CM6" s="23"/>
      <c r="CN6" s="23"/>
      <c r="CY6" s="53"/>
      <c r="DG6" s="23"/>
      <c r="DH6" s="23"/>
      <c r="DI6" s="23"/>
      <c r="DJ6" s="23"/>
      <c r="DK6" s="23"/>
      <c r="DL6" s="23"/>
      <c r="DM6" s="23"/>
      <c r="DN6" s="23"/>
      <c r="DO6" s="23"/>
      <c r="DP6" s="23"/>
    </row>
    <row r="7" spans="1:120" x14ac:dyDescent="0.3">
      <c r="F7" s="265" t="s">
        <v>423</v>
      </c>
      <c r="G7" s="265"/>
      <c r="H7" s="265"/>
      <c r="I7" s="265"/>
      <c r="J7" s="265" t="s">
        <v>424</v>
      </c>
      <c r="K7" s="265"/>
      <c r="L7" s="265"/>
      <c r="M7" s="265"/>
      <c r="N7" s="28"/>
      <c r="V7" s="7" t="s">
        <v>417</v>
      </c>
      <c r="X7" s="105">
        <f t="shared" si="0"/>
        <v>126.73508164</v>
      </c>
      <c r="Z7" s="105">
        <f t="shared" ref="Z7:AI7" si="8">SUMIF($BP$12:$BP$276,"LTP",Z$12:Z$276)</f>
        <v>18.545789399999997</v>
      </c>
      <c r="AA7" s="105">
        <f t="shared" si="8"/>
        <v>32.664498000000002</v>
      </c>
      <c r="AB7" s="105">
        <f t="shared" si="8"/>
        <v>33.372813239999999</v>
      </c>
      <c r="AC7" s="105">
        <f t="shared" si="8"/>
        <v>21.732059000000003</v>
      </c>
      <c r="AD7" s="105">
        <f t="shared" si="8"/>
        <v>10.832881999999998</v>
      </c>
      <c r="AE7" s="105">
        <f t="shared" si="8"/>
        <v>6.58704</v>
      </c>
      <c r="AF7" s="105">
        <f t="shared" si="8"/>
        <v>3</v>
      </c>
      <c r="AG7" s="105">
        <f t="shared" si="8"/>
        <v>0</v>
      </c>
      <c r="AH7" s="105">
        <f t="shared" si="8"/>
        <v>0</v>
      </c>
      <c r="AI7" s="105">
        <f t="shared" si="8"/>
        <v>0</v>
      </c>
      <c r="BH7" s="23"/>
      <c r="BI7" s="23"/>
      <c r="BJ7" s="23"/>
      <c r="BK7" s="23"/>
      <c r="BL7" s="23"/>
      <c r="BM7" s="23"/>
      <c r="BN7" s="23"/>
      <c r="BO7" s="183" t="str">
        <f>V7</f>
        <v>LTP specific projects</v>
      </c>
      <c r="BP7" s="201">
        <f t="shared" ref="BP7:BY7" si="9">SUMIF($BP$12:$BP$275,"LTP",Z$12:Z$275)</f>
        <v>18.545789399999997</v>
      </c>
      <c r="BQ7" s="201">
        <f t="shared" si="9"/>
        <v>32.664498000000002</v>
      </c>
      <c r="BR7" s="201">
        <f t="shared" si="9"/>
        <v>33.322813240000002</v>
      </c>
      <c r="BS7" s="201">
        <f t="shared" si="9"/>
        <v>21.132059000000002</v>
      </c>
      <c r="BT7" s="201">
        <f t="shared" si="9"/>
        <v>10.257881999999999</v>
      </c>
      <c r="BU7" s="201">
        <f t="shared" si="9"/>
        <v>6.0120399999999998</v>
      </c>
      <c r="BV7" s="201">
        <f t="shared" si="9"/>
        <v>3</v>
      </c>
      <c r="BW7" s="201">
        <f t="shared" si="9"/>
        <v>0</v>
      </c>
      <c r="BX7" s="201">
        <f t="shared" si="9"/>
        <v>0</v>
      </c>
      <c r="BY7" s="201">
        <f t="shared" si="9"/>
        <v>0</v>
      </c>
      <c r="BZ7" s="23"/>
      <c r="CA7" s="23"/>
      <c r="CB7" s="23"/>
      <c r="CC7" s="23"/>
      <c r="CD7" s="23"/>
      <c r="CE7" s="23"/>
      <c r="CF7" s="23"/>
      <c r="CG7" s="23"/>
      <c r="CH7" s="23"/>
      <c r="CI7" s="23"/>
      <c r="CJ7" s="23"/>
      <c r="CK7" s="23"/>
      <c r="CL7" s="23"/>
      <c r="CM7" s="23"/>
      <c r="CN7" s="23"/>
      <c r="CY7" s="53"/>
      <c r="DG7" s="23"/>
      <c r="DH7" s="23"/>
      <c r="DI7" s="23"/>
      <c r="DJ7" s="23"/>
      <c r="DK7" s="23"/>
      <c r="DL7" s="23"/>
      <c r="DM7" s="23"/>
      <c r="DN7" s="23"/>
      <c r="DO7" s="23"/>
      <c r="DP7" s="23"/>
    </row>
    <row r="8" spans="1:120" x14ac:dyDescent="0.3">
      <c r="E8" s="169" t="s">
        <v>425</v>
      </c>
      <c r="F8" s="170">
        <f>'Park spec inputs'!B4</f>
        <v>4000</v>
      </c>
      <c r="G8" s="170">
        <f>'Park spec inputs'!B3</f>
        <v>30000</v>
      </c>
      <c r="H8" s="170">
        <f>'Park spec inputs'!B5</f>
        <v>100000</v>
      </c>
      <c r="I8" s="170">
        <v>2000</v>
      </c>
      <c r="J8" s="170">
        <f>F8</f>
        <v>4000</v>
      </c>
      <c r="K8" s="170">
        <f t="shared" ref="K8:M8" si="10">G8</f>
        <v>30000</v>
      </c>
      <c r="L8" s="170">
        <f t="shared" si="10"/>
        <v>100000</v>
      </c>
      <c r="M8" s="170">
        <f t="shared" si="10"/>
        <v>2000</v>
      </c>
      <c r="N8" s="28"/>
      <c r="R8" s="2" t="s">
        <v>884</v>
      </c>
      <c r="V8" s="7" t="s">
        <v>426</v>
      </c>
      <c r="X8" s="105">
        <f>SUM(X6:X7)</f>
        <v>361.26789549486534</v>
      </c>
      <c r="Z8" s="105">
        <f>SUM(Z6:Z7)</f>
        <v>18.545789399999997</v>
      </c>
      <c r="AA8" s="105">
        <f t="shared" ref="AA8:AI8" si="11">SUM(AA6:AA7)</f>
        <v>32.664498000000002</v>
      </c>
      <c r="AB8" s="105">
        <f t="shared" si="11"/>
        <v>35.546515078137446</v>
      </c>
      <c r="AC8" s="105">
        <f t="shared" si="11"/>
        <v>46.194405692428319</v>
      </c>
      <c r="AD8" s="105">
        <f t="shared" si="11"/>
        <v>37.564719738540035</v>
      </c>
      <c r="AE8" s="105">
        <f t="shared" si="11"/>
        <v>35.113888179999954</v>
      </c>
      <c r="AF8" s="105">
        <f t="shared" si="11"/>
        <v>46.385629579999957</v>
      </c>
      <c r="AG8" s="105">
        <f t="shared" si="11"/>
        <v>49.894121588829641</v>
      </c>
      <c r="AH8" s="105">
        <f t="shared" si="11"/>
        <v>31.464220862533161</v>
      </c>
      <c r="AI8" s="105">
        <f t="shared" si="11"/>
        <v>27.894107374396821</v>
      </c>
      <c r="BL8" s="23"/>
      <c r="BM8" s="23"/>
      <c r="BN8" s="23"/>
      <c r="BO8" s="23" t="s">
        <v>421</v>
      </c>
      <c r="BP8" s="201">
        <f>BP7-Z7</f>
        <v>0</v>
      </c>
      <c r="BQ8" s="201">
        <f t="shared" ref="BQ8:BY8" si="12">BQ7-AA7</f>
        <v>0</v>
      </c>
      <c r="BR8" s="201">
        <f t="shared" si="12"/>
        <v>-4.9999999999997158E-2</v>
      </c>
      <c r="BS8" s="201">
        <f t="shared" si="12"/>
        <v>-0.60000000000000142</v>
      </c>
      <c r="BT8" s="201">
        <f t="shared" si="12"/>
        <v>-0.57499999999999929</v>
      </c>
      <c r="BU8" s="201">
        <f t="shared" si="12"/>
        <v>-0.57500000000000018</v>
      </c>
      <c r="BV8" s="201">
        <f t="shared" si="12"/>
        <v>0</v>
      </c>
      <c r="BW8" s="201">
        <f t="shared" si="12"/>
        <v>0</v>
      </c>
      <c r="BX8" s="201">
        <f t="shared" si="12"/>
        <v>0</v>
      </c>
      <c r="BY8" s="201">
        <f t="shared" si="12"/>
        <v>0</v>
      </c>
      <c r="BZ8" s="23"/>
      <c r="CA8" s="23"/>
      <c r="CB8" s="23"/>
      <c r="CC8" s="23"/>
      <c r="CD8" s="23"/>
      <c r="CE8" s="23"/>
      <c r="CF8" s="23"/>
      <c r="CG8" s="23"/>
      <c r="CH8" s="23"/>
      <c r="CI8" s="23"/>
      <c r="CJ8" s="23"/>
      <c r="CK8" s="23"/>
      <c r="CL8" s="23"/>
      <c r="CM8" s="23"/>
      <c r="CN8" s="23"/>
      <c r="CY8" s="53"/>
      <c r="DG8" s="23"/>
      <c r="DH8" s="23"/>
      <c r="DI8" s="23"/>
      <c r="DJ8" s="23"/>
      <c r="DK8" s="23"/>
      <c r="DL8" s="23"/>
      <c r="DM8" s="23"/>
      <c r="DN8" s="23"/>
      <c r="DO8" s="23"/>
      <c r="DP8" s="23"/>
    </row>
    <row r="9" spans="1:120" x14ac:dyDescent="0.3">
      <c r="E9" s="169"/>
      <c r="F9" s="170"/>
      <c r="G9" s="170"/>
      <c r="H9" s="170"/>
      <c r="I9" s="170"/>
      <c r="J9" s="170"/>
      <c r="K9" s="170"/>
      <c r="L9" s="170"/>
      <c r="M9" s="170"/>
      <c r="N9" s="28"/>
      <c r="R9" s="2" t="s">
        <v>885</v>
      </c>
      <c r="V9" s="7"/>
      <c r="X9" s="105"/>
      <c r="Z9" s="171"/>
      <c r="AA9" s="171"/>
      <c r="AB9" s="171"/>
      <c r="AC9" s="172"/>
      <c r="AD9" s="172"/>
      <c r="AE9" s="172"/>
      <c r="AF9" s="172"/>
      <c r="AG9" s="172"/>
      <c r="AH9" s="172"/>
      <c r="AI9" s="172"/>
      <c r="AJ9" s="171"/>
      <c r="AK9" s="28"/>
      <c r="AL9" s="28"/>
      <c r="AM9" s="28"/>
      <c r="AN9" s="28"/>
      <c r="AO9" s="28"/>
      <c r="AP9" s="28"/>
      <c r="AQ9" s="28"/>
      <c r="AR9" s="28"/>
      <c r="AS9" s="28"/>
      <c r="AT9" s="28"/>
      <c r="AU9" s="28"/>
      <c r="AV9" s="28"/>
      <c r="AW9" s="28"/>
      <c r="AX9" s="28"/>
      <c r="AY9" s="28"/>
      <c r="AZ9" s="28"/>
      <c r="BA9" s="28"/>
      <c r="BB9" s="28"/>
      <c r="BC9" s="28"/>
      <c r="BD9" s="28"/>
      <c r="BE9" s="28"/>
      <c r="BF9" s="28"/>
      <c r="BG9" s="28"/>
      <c r="BH9" s="28"/>
      <c r="BI9" s="173"/>
      <c r="BJ9" s="173"/>
      <c r="BK9" s="173"/>
      <c r="BL9" s="23"/>
      <c r="BM9" s="23"/>
      <c r="BN9" s="23"/>
      <c r="BO9" s="23"/>
      <c r="BP9" s="201"/>
      <c r="BQ9" s="201"/>
      <c r="BR9" s="201"/>
      <c r="BS9" s="201"/>
      <c r="BT9" s="201"/>
      <c r="BU9" s="201"/>
      <c r="BV9" s="201"/>
      <c r="BW9" s="201"/>
      <c r="BX9" s="201"/>
      <c r="BY9" s="201"/>
      <c r="BZ9" s="23"/>
      <c r="CA9" s="23"/>
      <c r="CB9" s="23"/>
      <c r="CC9" s="23"/>
      <c r="CD9" s="23"/>
      <c r="CE9" s="23"/>
      <c r="CF9" s="23"/>
      <c r="CG9" s="23"/>
      <c r="CH9" s="23"/>
      <c r="CI9" s="23"/>
      <c r="CJ9" s="23"/>
      <c r="CK9" s="23"/>
      <c r="CL9" s="23"/>
      <c r="CM9" s="23"/>
      <c r="CN9" s="23"/>
      <c r="CY9" s="53"/>
      <c r="DG9" s="23"/>
      <c r="DH9" s="23"/>
      <c r="DI9" s="23"/>
      <c r="DJ9" s="23"/>
      <c r="DK9" s="23"/>
      <c r="DL9" s="23"/>
      <c r="DM9" s="23"/>
      <c r="DN9" s="23"/>
      <c r="DO9" s="23"/>
      <c r="DP9" s="23"/>
    </row>
    <row r="10" spans="1:120" x14ac:dyDescent="0.3">
      <c r="A10" s="5" t="s">
        <v>427</v>
      </c>
      <c r="E10" s="2" t="s">
        <v>812</v>
      </c>
      <c r="F10" s="105">
        <f t="shared" ref="F10:M10" si="13">SUM(F12:F29,F30:F85,F89:F98,F101:F103)</f>
        <v>107.50375</v>
      </c>
      <c r="G10" s="105">
        <f t="shared" si="13"/>
        <v>16</v>
      </c>
      <c r="H10" s="105">
        <f t="shared" si="13"/>
        <v>1</v>
      </c>
      <c r="I10" s="105">
        <f t="shared" si="13"/>
        <v>3</v>
      </c>
      <c r="J10" s="105">
        <f>SUM(J12:J29,J30:J85,J89:J98,J101:J103)</f>
        <v>115.25375</v>
      </c>
      <c r="K10" s="105">
        <f t="shared" si="13"/>
        <v>20.085166666666666</v>
      </c>
      <c r="L10" s="105">
        <f t="shared" si="13"/>
        <v>19.909769999999998</v>
      </c>
      <c r="M10" s="105">
        <f t="shared" si="13"/>
        <v>4</v>
      </c>
      <c r="N10" s="105"/>
      <c r="R10" s="2" t="s">
        <v>883</v>
      </c>
      <c r="S10" s="2" t="s">
        <v>880</v>
      </c>
      <c r="T10" s="2" t="s">
        <v>428</v>
      </c>
      <c r="V10" s="7" t="s">
        <v>425</v>
      </c>
      <c r="W10" s="7" t="s">
        <v>429</v>
      </c>
      <c r="X10" s="7" t="s">
        <v>429</v>
      </c>
      <c r="Y10" s="7" t="s">
        <v>430</v>
      </c>
      <c r="Z10" s="7" t="s">
        <v>429</v>
      </c>
      <c r="AA10" s="7" t="s">
        <v>429</v>
      </c>
      <c r="AB10" s="7" t="s">
        <v>429</v>
      </c>
      <c r="AC10" s="7" t="s">
        <v>429</v>
      </c>
      <c r="AD10" s="7" t="s">
        <v>429</v>
      </c>
      <c r="AE10" s="7" t="s">
        <v>429</v>
      </c>
      <c r="AF10" s="7" t="s">
        <v>429</v>
      </c>
      <c r="AG10" s="7" t="s">
        <v>429</v>
      </c>
      <c r="AH10" s="7" t="s">
        <v>429</v>
      </c>
      <c r="AI10" s="7" t="s">
        <v>429</v>
      </c>
      <c r="AJ10" s="7" t="s">
        <v>429</v>
      </c>
      <c r="AK10" s="7" t="s">
        <v>429</v>
      </c>
      <c r="AL10" s="7" t="s">
        <v>429</v>
      </c>
      <c r="AM10" s="7" t="s">
        <v>429</v>
      </c>
      <c r="AN10" s="7" t="s">
        <v>429</v>
      </c>
      <c r="AO10" s="7" t="s">
        <v>429</v>
      </c>
      <c r="AP10" s="7" t="s">
        <v>429</v>
      </c>
      <c r="AQ10" s="7" t="s">
        <v>429</v>
      </c>
      <c r="AR10" s="7" t="s">
        <v>429</v>
      </c>
      <c r="AS10" s="7" t="s">
        <v>429</v>
      </c>
      <c r="AT10" s="7" t="s">
        <v>429</v>
      </c>
      <c r="AU10" s="7" t="s">
        <v>429</v>
      </c>
      <c r="AV10" s="7" t="s">
        <v>429</v>
      </c>
      <c r="AW10" s="7" t="s">
        <v>429</v>
      </c>
      <c r="AX10" s="7" t="s">
        <v>429</v>
      </c>
      <c r="AY10" s="7" t="s">
        <v>429</v>
      </c>
      <c r="AZ10" s="7" t="s">
        <v>429</v>
      </c>
      <c r="BA10" s="7" t="s">
        <v>429</v>
      </c>
      <c r="BB10" s="7" t="s">
        <v>429</v>
      </c>
      <c r="BC10" s="7" t="s">
        <v>429</v>
      </c>
      <c r="BD10" s="7" t="s">
        <v>429</v>
      </c>
      <c r="BE10" s="7" t="s">
        <v>429</v>
      </c>
      <c r="BF10" s="7" t="s">
        <v>429</v>
      </c>
      <c r="BG10" s="7" t="s">
        <v>429</v>
      </c>
      <c r="BH10" s="7" t="s">
        <v>429</v>
      </c>
      <c r="BI10" s="7" t="s">
        <v>429</v>
      </c>
      <c r="BJ10" s="7" t="s">
        <v>429</v>
      </c>
      <c r="BK10" s="7"/>
      <c r="BL10" s="7"/>
      <c r="BM10" s="7"/>
      <c r="BN10" s="7"/>
      <c r="BP10" s="2" t="s">
        <v>431</v>
      </c>
      <c r="CS10" s="53"/>
      <c r="CT10" s="53"/>
      <c r="CU10" s="53"/>
      <c r="CV10" s="53"/>
      <c r="CY10" s="53"/>
    </row>
    <row r="11" spans="1:120" x14ac:dyDescent="0.3">
      <c r="A11" s="5" t="s">
        <v>432</v>
      </c>
      <c r="B11" s="5" t="s">
        <v>273</v>
      </c>
      <c r="C11" s="5" t="s">
        <v>433</v>
      </c>
      <c r="D11" s="5" t="s">
        <v>434</v>
      </c>
      <c r="E11" s="5" t="s">
        <v>435</v>
      </c>
      <c r="F11" s="5" t="s">
        <v>228</v>
      </c>
      <c r="G11" s="5" t="s">
        <v>436</v>
      </c>
      <c r="H11" s="5" t="s">
        <v>437</v>
      </c>
      <c r="I11" s="5" t="s">
        <v>438</v>
      </c>
      <c r="J11" s="5" t="s">
        <v>228</v>
      </c>
      <c r="K11" s="5" t="s">
        <v>436</v>
      </c>
      <c r="L11" s="5" t="s">
        <v>437</v>
      </c>
      <c r="M11" s="5" t="s">
        <v>438</v>
      </c>
      <c r="N11" s="5" t="s">
        <v>439</v>
      </c>
      <c r="O11" s="8" t="s">
        <v>440</v>
      </c>
      <c r="P11" s="8" t="s">
        <v>441</v>
      </c>
      <c r="Q11" s="8" t="s">
        <v>442</v>
      </c>
      <c r="R11" s="5" t="s">
        <v>443</v>
      </c>
      <c r="S11" s="5" t="s">
        <v>879</v>
      </c>
      <c r="T11" s="2" t="s">
        <v>877</v>
      </c>
      <c r="U11" s="2" t="s">
        <v>878</v>
      </c>
      <c r="V11" s="5" t="s">
        <v>444</v>
      </c>
      <c r="W11" s="5" t="s">
        <v>445</v>
      </c>
      <c r="X11" s="5" t="s">
        <v>414</v>
      </c>
      <c r="Y11" s="5" t="s">
        <v>446</v>
      </c>
      <c r="Z11" s="5">
        <v>2025</v>
      </c>
      <c r="AA11" s="5">
        <v>2026</v>
      </c>
      <c r="AB11" s="5">
        <v>2027</v>
      </c>
      <c r="AC11" s="5">
        <v>2028</v>
      </c>
      <c r="AD11" s="5">
        <v>2029</v>
      </c>
      <c r="AE11" s="5">
        <v>2030</v>
      </c>
      <c r="AF11" s="5">
        <v>2031</v>
      </c>
      <c r="AG11" s="5">
        <v>2032</v>
      </c>
      <c r="AH11" s="5">
        <v>2033</v>
      </c>
      <c r="AI11" s="5">
        <v>2034</v>
      </c>
      <c r="AJ11" s="5">
        <v>2035</v>
      </c>
      <c r="AK11" s="5">
        <v>2036</v>
      </c>
      <c r="AL11" s="5">
        <v>2037</v>
      </c>
      <c r="AM11" s="5">
        <v>2038</v>
      </c>
      <c r="AN11" s="5">
        <v>2039</v>
      </c>
      <c r="AO11" s="5">
        <v>2040</v>
      </c>
      <c r="AP11" s="5">
        <v>2041</v>
      </c>
      <c r="AQ11" s="5">
        <v>2042</v>
      </c>
      <c r="AR11" s="5">
        <v>2043</v>
      </c>
      <c r="AS11" s="5">
        <v>2044</v>
      </c>
      <c r="AT11" s="5">
        <v>2045</v>
      </c>
      <c r="AU11" s="5">
        <v>2046</v>
      </c>
      <c r="AV11" s="5">
        <v>2047</v>
      </c>
      <c r="AW11" s="5">
        <v>2048</v>
      </c>
      <c r="AX11" s="5">
        <v>2049</v>
      </c>
      <c r="AY11" s="5">
        <v>2050</v>
      </c>
      <c r="AZ11" s="5">
        <v>2051</v>
      </c>
      <c r="BA11" s="5">
        <v>2052</v>
      </c>
      <c r="BB11" s="5">
        <v>2053</v>
      </c>
      <c r="BC11" s="5">
        <v>2054</v>
      </c>
      <c r="BD11" s="5">
        <v>2055</v>
      </c>
      <c r="BE11" s="5">
        <v>2056</v>
      </c>
      <c r="BF11" s="5">
        <v>2057</v>
      </c>
      <c r="BG11" s="5">
        <v>2058</v>
      </c>
      <c r="BH11" s="5">
        <v>2059</v>
      </c>
      <c r="BI11" s="5">
        <v>2060</v>
      </c>
      <c r="BJ11" s="5">
        <v>2061</v>
      </c>
      <c r="BK11" s="5"/>
      <c r="BL11" s="5"/>
      <c r="BM11" s="5"/>
      <c r="BN11" s="5"/>
      <c r="BO11" s="5"/>
      <c r="BP11" s="5"/>
      <c r="BQ11" s="5"/>
      <c r="BR11" s="5"/>
      <c r="BS11" s="5"/>
      <c r="BT11" s="5"/>
      <c r="BU11" s="5"/>
      <c r="BV11" s="5"/>
      <c r="BW11" s="5"/>
      <c r="BX11" s="5"/>
      <c r="BY11" s="5"/>
      <c r="BZ11" s="5"/>
      <c r="CA11" s="2" t="s">
        <v>447</v>
      </c>
      <c r="CB11" s="5" t="s">
        <v>178</v>
      </c>
      <c r="CC11" s="5"/>
      <c r="CD11" s="5"/>
      <c r="CE11" s="2" t="s">
        <v>448</v>
      </c>
      <c r="CF11" s="5"/>
      <c r="CG11" s="5"/>
      <c r="CH11" s="5"/>
      <c r="CI11" s="5"/>
      <c r="CJ11" s="5"/>
      <c r="CK11" s="5"/>
      <c r="CL11" s="5"/>
      <c r="CM11" s="5"/>
      <c r="CN11" s="5"/>
      <c r="CO11" s="5"/>
      <c r="CP11" s="5"/>
      <c r="CQ11" s="5"/>
      <c r="CR11" s="5"/>
      <c r="CS11" s="5"/>
      <c r="CT11" s="5"/>
      <c r="CU11" s="5"/>
      <c r="CV11" s="5"/>
      <c r="CW11" s="5"/>
      <c r="CX11" s="5"/>
      <c r="CY11" s="5"/>
      <c r="CZ11" s="5"/>
      <c r="DA11" s="5"/>
      <c r="DB11" s="5"/>
    </row>
    <row r="12" spans="1:120" x14ac:dyDescent="0.3">
      <c r="A12" s="2" t="s">
        <v>82</v>
      </c>
      <c r="B12" s="2" t="s">
        <v>187</v>
      </c>
      <c r="D12" s="2" t="s">
        <v>82</v>
      </c>
      <c r="F12" s="105">
        <v>3</v>
      </c>
      <c r="G12" s="105"/>
      <c r="H12" s="105"/>
      <c r="I12" s="105"/>
      <c r="J12" s="105">
        <f>F12</f>
        <v>3</v>
      </c>
      <c r="K12" s="105"/>
      <c r="L12" s="105"/>
      <c r="M12" s="105"/>
      <c r="N12" s="105"/>
      <c r="O12" s="2">
        <v>2026</v>
      </c>
      <c r="P12" s="2">
        <v>2030</v>
      </c>
      <c r="Q12" s="2">
        <v>2034</v>
      </c>
      <c r="R12" s="2">
        <v>2045</v>
      </c>
      <c r="S12" s="2" t="s">
        <v>881</v>
      </c>
      <c r="T12" s="2">
        <f>'[1]OS Acq model'!ED8</f>
        <v>2045</v>
      </c>
      <c r="U12" s="2" cm="1">
        <f t="array" ref="U12">INDEX($Z$11:$BN$11,MATCH(TRUE,INDEX(Z12:BN12&lt;&gt;0,),0))</f>
        <v>2047</v>
      </c>
      <c r="V12" s="174">
        <f>SUMPRODUCT(J12:M12,$J$8:$M$8)</f>
        <v>12000</v>
      </c>
      <c r="W12" s="175"/>
      <c r="X12" s="175">
        <f>SUM(Z12:AI12)</f>
        <v>0</v>
      </c>
      <c r="Y12" s="23">
        <f>$V12*'Cost inputs'!$B$60/1000000</f>
        <v>8.3147853134284819</v>
      </c>
      <c r="Z12" s="182"/>
      <c r="AA12" s="182"/>
      <c r="AB12" s="182"/>
      <c r="AC12" s="182"/>
      <c r="AD12" s="182"/>
      <c r="AE12" s="182"/>
      <c r="AF12" s="182"/>
      <c r="AG12" s="182"/>
      <c r="AH12" s="182"/>
      <c r="AI12" s="182"/>
      <c r="AJ12" s="182"/>
      <c r="AK12" s="182"/>
      <c r="AL12" s="182"/>
      <c r="AV12" s="23">
        <f>0.1*$Y12*'Cost inputs'!AB$10</f>
        <v>1.681289132572594</v>
      </c>
      <c r="AW12" s="23">
        <f>0.9*$Y12*'Cost inputs'!AC$10</f>
        <v>15.600681861141101</v>
      </c>
      <c r="BF12" s="23"/>
      <c r="BH12" s="23"/>
      <c r="BI12" s="23"/>
      <c r="BJ12" s="23"/>
      <c r="BK12" s="23"/>
      <c r="BL12" s="23"/>
      <c r="BM12" s="23"/>
      <c r="BN12" s="23"/>
      <c r="BO12" s="23"/>
      <c r="BP12" s="23" t="s">
        <v>449</v>
      </c>
      <c r="BQ12" s="175" t="str">
        <f t="shared" ref="BQ12:BQ82" si="14">IF(BP12="LTP",E12,"")</f>
        <v/>
      </c>
      <c r="BR12" s="23" t="str">
        <f>IFERROR(VLOOKUP(BQ12,'LTP '!$R$4:$S$86,2,0),"")</f>
        <v/>
      </c>
      <c r="BS12" s="23"/>
      <c r="BT12" s="23"/>
      <c r="BU12" s="23"/>
      <c r="BV12" s="23"/>
      <c r="BW12" s="23"/>
      <c r="BX12" s="23"/>
      <c r="BY12" s="23"/>
      <c r="BZ12" s="23"/>
      <c r="CA12" s="23">
        <f>SUM(Z12:BN12)</f>
        <v>17.281970993713696</v>
      </c>
      <c r="CB12" s="115">
        <f>IF(Y12&gt;0,CA12/V12*1000000,"")</f>
        <v>1440.1642494761411</v>
      </c>
      <c r="CC12" s="23"/>
      <c r="CD12" s="23"/>
      <c r="CE12" s="2">
        <f t="shared" ref="CE12:CE30" si="15">COUNTIF($B$291:$B$319,B12)</f>
        <v>1</v>
      </c>
      <c r="CF12" s="23"/>
      <c r="CG12" s="23"/>
      <c r="CH12" s="23"/>
      <c r="CI12" s="23"/>
      <c r="CJ12" s="23"/>
      <c r="CK12" s="23"/>
      <c r="CL12" s="23"/>
      <c r="CM12" s="23"/>
      <c r="CN12" s="23"/>
      <c r="CO12" s="207"/>
      <c r="CP12" s="207"/>
      <c r="CQ12" s="207"/>
      <c r="CR12" s="207"/>
      <c r="CS12" s="53"/>
      <c r="CT12" s="53"/>
      <c r="CU12" s="53"/>
      <c r="CV12" s="53"/>
      <c r="CW12" s="190"/>
      <c r="CX12" s="190"/>
      <c r="CY12" s="190"/>
      <c r="DG12" s="105"/>
      <c r="DH12" s="105"/>
      <c r="DI12" s="105"/>
      <c r="DJ12" s="105"/>
      <c r="DK12" s="105"/>
      <c r="DL12" s="105"/>
      <c r="DM12" s="105"/>
      <c r="DN12" s="105"/>
      <c r="DO12" s="105"/>
      <c r="DP12" s="105"/>
    </row>
    <row r="13" spans="1:120" x14ac:dyDescent="0.3">
      <c r="A13" s="2" t="s">
        <v>93</v>
      </c>
      <c r="B13" s="2" t="s">
        <v>187</v>
      </c>
      <c r="D13" s="2" t="s">
        <v>265</v>
      </c>
      <c r="F13" s="105">
        <v>1</v>
      </c>
      <c r="G13" s="105"/>
      <c r="H13" s="105"/>
      <c r="I13" s="105"/>
      <c r="J13" s="105">
        <f t="shared" ref="J13:K23" si="16">F13</f>
        <v>1</v>
      </c>
      <c r="K13" s="105"/>
      <c r="L13" s="105"/>
      <c r="M13" s="105"/>
      <c r="N13" s="105"/>
      <c r="O13" s="2">
        <v>2021</v>
      </c>
      <c r="P13" s="2">
        <v>2025</v>
      </c>
      <c r="Q13" s="2">
        <v>2029</v>
      </c>
      <c r="R13" s="2">
        <v>2040</v>
      </c>
      <c r="S13" s="2" t="s">
        <v>881</v>
      </c>
      <c r="T13" s="2">
        <v>2040</v>
      </c>
      <c r="U13" s="2" cm="1">
        <f t="array" ref="U13">INDEX($Z$11:$BN$11,MATCH(TRUE,INDEX(Z13:BN13&lt;&gt;0,),0))</f>
        <v>2042</v>
      </c>
      <c r="V13" s="174">
        <f>SUMPRODUCT(J13:M13,$J$8:$M$8)</f>
        <v>4000</v>
      </c>
      <c r="W13" s="176"/>
      <c r="X13" s="175">
        <f t="shared" ref="X13:X67" si="17">SUM(Z13:AI13)</f>
        <v>0</v>
      </c>
      <c r="Y13" s="23">
        <f>$V13*'Cost inputs'!$B$60/1000000</f>
        <v>2.7715951044761602</v>
      </c>
      <c r="Z13" s="182"/>
      <c r="AA13" s="182"/>
      <c r="AB13" s="182"/>
      <c r="AC13" s="182"/>
      <c r="AD13" s="182"/>
      <c r="AE13" s="182"/>
      <c r="AF13" s="182"/>
      <c r="AG13" s="182"/>
      <c r="AH13" s="182"/>
      <c r="AI13" s="182"/>
      <c r="AJ13" s="182"/>
      <c r="AK13" s="182"/>
      <c r="AL13" s="182"/>
      <c r="AQ13" s="23">
        <f>0.1*$Y13*'Cost inputs'!W$10</f>
        <v>0.48109165607180859</v>
      </c>
      <c r="AR13" s="23">
        <f>0.9*$Y13*'Cost inputs'!X$10</f>
        <v>4.4640494766903114</v>
      </c>
      <c r="BF13" s="23"/>
      <c r="BH13" s="23"/>
      <c r="BI13" s="23"/>
      <c r="BJ13" s="23"/>
      <c r="BK13" s="23"/>
      <c r="BL13" s="23"/>
      <c r="BM13" s="23"/>
      <c r="BN13" s="23"/>
      <c r="BO13" s="23"/>
      <c r="BP13" s="23" t="s">
        <v>449</v>
      </c>
      <c r="BQ13" s="175" t="str">
        <f t="shared" si="14"/>
        <v/>
      </c>
      <c r="BR13" s="23" t="str">
        <f>IFERROR(VLOOKUP(BQ13,'LTP '!$R$4:$S$86,2,0),"")</f>
        <v/>
      </c>
      <c r="BS13" s="23"/>
      <c r="BT13" s="23"/>
      <c r="BU13" s="23"/>
      <c r="BV13" s="23"/>
      <c r="BW13" s="23"/>
      <c r="BX13" s="23"/>
      <c r="BY13" s="23"/>
      <c r="BZ13" s="23"/>
      <c r="CA13" s="23">
        <f t="shared" ref="CA13:CA15" si="18">SUM(Z13:BN13)</f>
        <v>4.94514113276212</v>
      </c>
      <c r="CB13" s="115">
        <f t="shared" ref="CB13:CB15" si="19">IF(Y13&gt;0,CA13/V13*1000000,"")</f>
        <v>1236.28528319053</v>
      </c>
      <c r="CC13" s="23"/>
      <c r="CD13" s="23"/>
      <c r="CE13" s="2">
        <f t="shared" si="15"/>
        <v>1</v>
      </c>
      <c r="CF13" s="23"/>
      <c r="CG13" s="23"/>
      <c r="CH13" s="23"/>
      <c r="CI13" s="23"/>
      <c r="CJ13" s="23"/>
      <c r="CK13" s="23"/>
      <c r="CL13" s="23"/>
      <c r="CM13" s="23"/>
      <c r="CN13" s="23"/>
      <c r="CO13" s="207"/>
      <c r="CP13" s="207"/>
      <c r="CQ13" s="207"/>
      <c r="CR13" s="207"/>
      <c r="CS13" s="53"/>
      <c r="CT13" s="53"/>
      <c r="CU13" s="53"/>
      <c r="CV13" s="53"/>
      <c r="CW13" s="190"/>
      <c r="CX13" s="190"/>
      <c r="CY13" s="190"/>
      <c r="DG13" s="105"/>
      <c r="DH13" s="105"/>
      <c r="DI13" s="105"/>
      <c r="DJ13" s="105"/>
      <c r="DK13" s="105"/>
      <c r="DL13" s="105"/>
      <c r="DM13" s="105"/>
      <c r="DN13" s="105"/>
      <c r="DO13" s="105"/>
      <c r="DP13" s="105"/>
    </row>
    <row r="14" spans="1:120" x14ac:dyDescent="0.3">
      <c r="A14" s="2" t="s">
        <v>362</v>
      </c>
      <c r="B14" s="2" t="s">
        <v>88</v>
      </c>
      <c r="D14" s="2" t="s">
        <v>450</v>
      </c>
      <c r="E14" s="2" t="s">
        <v>366</v>
      </c>
      <c r="F14" s="105"/>
      <c r="G14" s="105"/>
      <c r="H14" s="105"/>
      <c r="I14" s="105"/>
      <c r="J14" s="105"/>
      <c r="K14" s="105"/>
      <c r="L14" s="105"/>
      <c r="M14" s="105"/>
      <c r="N14" s="105"/>
      <c r="U14" s="176"/>
      <c r="V14" s="175"/>
      <c r="W14" s="175"/>
      <c r="X14" s="175">
        <f t="shared" si="17"/>
        <v>1.0601</v>
      </c>
      <c r="Y14" s="175"/>
      <c r="Z14" s="181">
        <v>0.45</v>
      </c>
      <c r="AA14" s="181">
        <v>0.61009999999999998</v>
      </c>
      <c r="AB14" s="181"/>
      <c r="AC14" s="181">
        <f>VLOOKUP($E14,'LTP '!$D$4:$N$86,2+AC$11-$Z$11,0)/1000000</f>
        <v>0</v>
      </c>
      <c r="AD14" s="181">
        <f>VLOOKUP($E14,'LTP '!$D$4:$N$86,2+AD$11-$Z$11,0)/1000000</f>
        <v>0</v>
      </c>
      <c r="AE14" s="181">
        <f>VLOOKUP($E14,'LTP '!$D$4:$N$86,2+AE$11-$Z$11,0)/1000000</f>
        <v>0</v>
      </c>
      <c r="AF14" s="181">
        <f>VLOOKUP($E14,'LTP '!$D$4:$N$86,2+AF$11-$Z$11,0)/1000000</f>
        <v>0</v>
      </c>
      <c r="AG14" s="181">
        <f>VLOOKUP($E14,'LTP '!$D$4:$N$86,2+AG$11-$Z$11,0)/1000000</f>
        <v>0</v>
      </c>
      <c r="AH14" s="181">
        <f>VLOOKUP($E14,'LTP '!$D$4:$N$86,2+AH$11-$Z$11,0)/1000000</f>
        <v>0</v>
      </c>
      <c r="AI14" s="181">
        <f>VLOOKUP($E14,'LTP '!$D$4:$N$86,2+AI$11-$Z$11,0)/1000000</f>
        <v>0</v>
      </c>
      <c r="AJ14" s="181"/>
      <c r="AK14" s="181"/>
      <c r="AL14" s="181"/>
      <c r="AM14" s="181"/>
      <c r="AN14" s="181"/>
      <c r="AO14" s="181"/>
      <c r="AP14" s="181"/>
      <c r="AQ14" s="181"/>
      <c r="AR14" s="181"/>
      <c r="AS14" s="181"/>
      <c r="AT14" s="181"/>
      <c r="AU14" s="181"/>
      <c r="AV14" s="181"/>
      <c r="AW14" s="181"/>
      <c r="AX14" s="181"/>
      <c r="AY14" s="181"/>
      <c r="AZ14" s="181"/>
      <c r="BF14" s="23"/>
      <c r="BH14" s="23"/>
      <c r="BI14" s="23"/>
      <c r="BJ14" s="23"/>
      <c r="BK14" s="23"/>
      <c r="BL14" s="23"/>
      <c r="BM14" s="23"/>
      <c r="BN14" s="23"/>
      <c r="BO14" s="23"/>
      <c r="BP14" s="23" t="s">
        <v>451</v>
      </c>
      <c r="BQ14" s="175" t="str">
        <f t="shared" si="14"/>
        <v>N.009962.16.02 - Kowhai prk-dvp walkway/cycleway-stg 2</v>
      </c>
      <c r="BR14" s="23" t="str">
        <f>IFERROR(VLOOKUP(BQ14,'LTP '!$R$4:$S$86,2,0),"")</f>
        <v>PC3201503 - Greenway and walkway development</v>
      </c>
      <c r="BS14" s="23"/>
      <c r="BT14" s="23"/>
      <c r="BU14" s="23"/>
      <c r="BV14" s="23"/>
      <c r="BW14" s="23"/>
      <c r="BX14" s="23"/>
      <c r="BY14" s="23"/>
      <c r="BZ14" s="23"/>
      <c r="CA14" s="23">
        <f t="shared" si="18"/>
        <v>1.0601</v>
      </c>
      <c r="CB14" s="115" t="str">
        <f t="shared" si="19"/>
        <v/>
      </c>
      <c r="CC14" s="23"/>
      <c r="CD14" s="23"/>
      <c r="CE14" s="2">
        <f t="shared" si="15"/>
        <v>1</v>
      </c>
      <c r="CF14" s="23"/>
      <c r="CG14" s="23"/>
      <c r="CH14" s="23"/>
      <c r="CI14" s="23"/>
      <c r="CJ14" s="23"/>
      <c r="CK14" s="23"/>
      <c r="CL14" s="23"/>
      <c r="CM14" s="23"/>
      <c r="CN14" s="23"/>
      <c r="CO14" s="207"/>
      <c r="CP14" s="207"/>
      <c r="CQ14" s="207"/>
      <c r="CR14" s="207"/>
      <c r="CS14" s="53"/>
      <c r="CT14" s="53"/>
      <c r="CU14" s="53"/>
      <c r="CV14" s="53"/>
      <c r="CW14" s="190"/>
      <c r="CX14" s="190"/>
      <c r="CY14" s="190"/>
      <c r="DG14" s="105"/>
      <c r="DH14" s="105"/>
      <c r="DI14" s="105"/>
      <c r="DJ14" s="105"/>
      <c r="DK14" s="105"/>
      <c r="DL14" s="105"/>
      <c r="DM14" s="105"/>
      <c r="DN14" s="105"/>
      <c r="DO14" s="105"/>
      <c r="DP14" s="105"/>
    </row>
    <row r="15" spans="1:120" x14ac:dyDescent="0.3">
      <c r="A15" s="2" t="s">
        <v>452</v>
      </c>
      <c r="B15" s="2" t="s">
        <v>189</v>
      </c>
      <c r="C15" s="2" t="s">
        <v>453</v>
      </c>
      <c r="D15" s="2" t="s">
        <v>454</v>
      </c>
      <c r="H15" s="184"/>
      <c r="I15" s="184"/>
      <c r="J15" s="105"/>
      <c r="K15" s="105"/>
      <c r="L15" s="105"/>
      <c r="M15" s="105"/>
      <c r="N15" s="105"/>
      <c r="U15" s="176"/>
      <c r="V15" s="175"/>
      <c r="W15" s="175"/>
      <c r="X15" s="175">
        <f t="shared" si="17"/>
        <v>0</v>
      </c>
      <c r="Y15" s="175"/>
      <c r="Z15" s="181"/>
      <c r="AA15" s="181"/>
      <c r="AB15" s="181"/>
      <c r="AC15" s="181"/>
      <c r="AD15" s="181"/>
      <c r="AE15" s="181"/>
      <c r="AF15" s="181"/>
      <c r="AG15" s="181"/>
      <c r="AH15" s="181"/>
      <c r="AI15" s="181"/>
      <c r="AJ15" s="181"/>
      <c r="AK15" s="181"/>
      <c r="AL15" s="181"/>
      <c r="AM15" s="181"/>
      <c r="AN15" s="181"/>
      <c r="AO15" s="181"/>
      <c r="AP15" s="181"/>
      <c r="AQ15" s="181"/>
      <c r="AR15" s="181"/>
      <c r="AS15" s="181"/>
      <c r="AT15" s="181"/>
      <c r="AU15" s="181"/>
      <c r="AV15" s="181"/>
      <c r="AW15" s="181"/>
      <c r="AX15" s="181"/>
      <c r="AY15" s="181"/>
      <c r="AZ15" s="181"/>
      <c r="BF15" s="23"/>
      <c r="BH15" s="23"/>
      <c r="BI15" s="23"/>
      <c r="BJ15" s="23"/>
      <c r="BK15" s="23"/>
      <c r="BL15" s="23"/>
      <c r="BM15" s="23"/>
      <c r="BN15" s="23"/>
      <c r="BO15" s="23"/>
      <c r="BP15" s="23" t="s">
        <v>455</v>
      </c>
      <c r="BQ15" s="175" t="str">
        <f t="shared" si="14"/>
        <v/>
      </c>
      <c r="BR15" s="23" t="str">
        <f>IFERROR(VLOOKUP(BQ15,'LTP '!$R$4:$S$86,2,0),"")</f>
        <v/>
      </c>
      <c r="BS15" s="23"/>
      <c r="BT15" s="23"/>
      <c r="BU15" s="23"/>
      <c r="BV15" s="23"/>
      <c r="BW15" s="23"/>
      <c r="BX15" s="23"/>
      <c r="BY15" s="23"/>
      <c r="BZ15" s="23"/>
      <c r="CA15" s="23">
        <f t="shared" si="18"/>
        <v>0</v>
      </c>
      <c r="CB15" s="115" t="str">
        <f t="shared" si="19"/>
        <v/>
      </c>
      <c r="CC15" s="23"/>
      <c r="CD15" s="23"/>
      <c r="CE15" s="2">
        <f t="shared" si="15"/>
        <v>0</v>
      </c>
      <c r="CF15" s="23"/>
      <c r="CG15" s="23"/>
      <c r="CH15" s="23"/>
      <c r="CI15" s="23"/>
      <c r="CJ15" s="23"/>
      <c r="CK15" s="23"/>
      <c r="CL15" s="23"/>
      <c r="CM15" s="23"/>
      <c r="CN15" s="23"/>
      <c r="CO15" s="207"/>
      <c r="CP15" s="207"/>
      <c r="CQ15" s="207"/>
      <c r="CR15" s="207"/>
      <c r="CS15" s="53"/>
      <c r="CT15" s="53"/>
      <c r="CU15" s="53"/>
      <c r="CV15" s="53"/>
      <c r="CW15" s="190"/>
      <c r="CX15" s="190"/>
      <c r="CY15" s="190"/>
      <c r="DG15" s="105"/>
      <c r="DH15" s="105"/>
      <c r="DI15" s="105"/>
      <c r="DJ15" s="105"/>
      <c r="DK15" s="105"/>
      <c r="DL15" s="105"/>
      <c r="DM15" s="105"/>
      <c r="DN15" s="105"/>
      <c r="DO15" s="105"/>
      <c r="DP15" s="105"/>
    </row>
    <row r="16" spans="1:120" x14ac:dyDescent="0.3">
      <c r="A16" s="2" t="s">
        <v>88</v>
      </c>
      <c r="B16" s="2" t="s">
        <v>88</v>
      </c>
      <c r="D16" s="2" t="s">
        <v>456</v>
      </c>
      <c r="E16" s="2" t="s">
        <v>457</v>
      </c>
      <c r="F16" s="105">
        <v>1</v>
      </c>
      <c r="G16" s="105"/>
      <c r="H16" s="105"/>
      <c r="I16" s="105"/>
      <c r="J16" s="105">
        <f t="shared" si="16"/>
        <v>1</v>
      </c>
      <c r="K16" s="105"/>
      <c r="L16" s="105"/>
      <c r="M16" s="105"/>
      <c r="N16" s="105"/>
      <c r="O16" s="2">
        <v>2022</v>
      </c>
      <c r="P16" s="2">
        <v>2026</v>
      </c>
      <c r="Q16" s="2">
        <v>2030</v>
      </c>
      <c r="R16" s="2">
        <v>2036</v>
      </c>
      <c r="S16" s="2" t="s">
        <v>881</v>
      </c>
      <c r="T16" s="2">
        <v>2036</v>
      </c>
      <c r="U16" s="2" cm="1">
        <f t="array" ref="U16">INDEX($Z$11:$BN$11,MATCH(TRUE,INDEX(Z16:BN16&lt;&gt;0,),0))</f>
        <v>2038</v>
      </c>
      <c r="V16" s="174">
        <f t="shared" ref="V16:V24" si="20">SUMPRODUCT(J16:M16,$J$8:$M$8)</f>
        <v>4000</v>
      </c>
      <c r="W16" s="175"/>
      <c r="X16" s="175">
        <f t="shared" si="17"/>
        <v>0</v>
      </c>
      <c r="Y16" s="23">
        <f>$V16*'Cost inputs'!$B$60/1000000</f>
        <v>2.7715951044761602</v>
      </c>
      <c r="Z16" s="181"/>
      <c r="AA16" s="181"/>
      <c r="AB16" s="181"/>
      <c r="AC16" s="181"/>
      <c r="AD16" s="181"/>
      <c r="AE16" s="181"/>
      <c r="AF16" s="181"/>
      <c r="AG16" s="181"/>
      <c r="AH16" s="181"/>
      <c r="AI16" s="181"/>
      <c r="AJ16" s="181"/>
      <c r="AK16" s="181"/>
      <c r="AL16" s="181"/>
      <c r="AM16" s="23">
        <f>0.1*$Y16*'Cost inputs'!S$10</f>
        <v>0.425787750982346</v>
      </c>
      <c r="AN16" s="23">
        <f>0.9*$Y16*'Cost inputs'!T$10</f>
        <v>3.9508845413651876</v>
      </c>
      <c r="AO16" s="181"/>
      <c r="AP16" s="181"/>
      <c r="AQ16" s="181"/>
      <c r="AR16" s="181"/>
      <c r="AS16" s="181"/>
      <c r="AT16" s="181"/>
      <c r="AU16" s="181"/>
      <c r="AV16" s="181"/>
      <c r="AW16" s="181"/>
      <c r="AX16" s="181"/>
      <c r="AY16" s="181"/>
      <c r="AZ16" s="181"/>
      <c r="BF16" s="23"/>
      <c r="BH16" s="23"/>
      <c r="BI16" s="23"/>
      <c r="BJ16" s="23"/>
      <c r="BK16" s="23"/>
      <c r="BL16" s="23"/>
      <c r="BM16" s="23"/>
      <c r="BN16" s="23"/>
      <c r="BO16" s="23"/>
      <c r="BP16" s="23" t="s">
        <v>449</v>
      </c>
      <c r="BQ16" s="175" t="str">
        <f t="shared" si="14"/>
        <v/>
      </c>
      <c r="BR16" s="23" t="str">
        <f>IFERROR(VLOOKUP(BQ16,'LTP '!$R$4:$S$86,2,0),"")</f>
        <v/>
      </c>
      <c r="BS16" s="23"/>
      <c r="BT16" s="23"/>
      <c r="BU16" s="23"/>
      <c r="BV16" s="23"/>
      <c r="BW16" s="23"/>
      <c r="BX16" s="23"/>
      <c r="BY16" s="23"/>
      <c r="BZ16" s="23"/>
      <c r="CA16" s="23">
        <f t="shared" ref="CA16:CA90" si="21">SUM(Z16:BN16)</f>
        <v>4.3766722923475339</v>
      </c>
      <c r="CB16" s="115">
        <f t="shared" ref="CB16:CB90" si="22">IF(Y16&gt;0,CA16/V16*1000000,"")</f>
        <v>1094.1680730868836</v>
      </c>
      <c r="CC16" s="23"/>
      <c r="CD16" s="23"/>
      <c r="CE16" s="2">
        <f t="shared" si="15"/>
        <v>1</v>
      </c>
      <c r="CF16" s="23"/>
      <c r="CG16" s="23"/>
      <c r="CH16" s="23"/>
      <c r="CI16" s="23"/>
      <c r="CJ16" s="23"/>
      <c r="CK16" s="23"/>
      <c r="CL16" s="23"/>
      <c r="CM16" s="23"/>
      <c r="CN16" s="23"/>
      <c r="CO16" s="207"/>
      <c r="CP16" s="207"/>
      <c r="CQ16" s="207"/>
      <c r="CR16" s="207"/>
      <c r="CS16" s="53"/>
      <c r="CT16" s="53"/>
      <c r="CU16" s="53"/>
      <c r="CV16" s="53"/>
      <c r="CW16" s="190"/>
      <c r="CX16" s="190"/>
      <c r="CY16" s="190"/>
      <c r="DG16" s="105"/>
      <c r="DH16" s="105"/>
      <c r="DI16" s="105"/>
      <c r="DJ16" s="105"/>
      <c r="DK16" s="105"/>
      <c r="DL16" s="105"/>
      <c r="DM16" s="105"/>
      <c r="DN16" s="105"/>
      <c r="DO16" s="105"/>
      <c r="DP16" s="105"/>
    </row>
    <row r="17" spans="1:120" x14ac:dyDescent="0.3">
      <c r="A17" s="2" t="s">
        <v>88</v>
      </c>
      <c r="B17" s="2" t="s">
        <v>88</v>
      </c>
      <c r="D17" s="2" t="s">
        <v>458</v>
      </c>
      <c r="E17" s="2" t="s">
        <v>457</v>
      </c>
      <c r="F17" s="105">
        <v>1</v>
      </c>
      <c r="G17" s="105"/>
      <c r="H17" s="105"/>
      <c r="I17" s="105"/>
      <c r="J17" s="105">
        <f t="shared" si="16"/>
        <v>1</v>
      </c>
      <c r="K17" s="105"/>
      <c r="L17" s="105"/>
      <c r="M17" s="105"/>
      <c r="N17" s="105"/>
      <c r="O17" s="2">
        <v>2023</v>
      </c>
      <c r="P17" s="2">
        <v>2027</v>
      </c>
      <c r="Q17" s="2">
        <v>2031</v>
      </c>
      <c r="R17" s="2">
        <v>2039</v>
      </c>
      <c r="S17" s="2" t="s">
        <v>881</v>
      </c>
      <c r="T17" s="2">
        <v>2039</v>
      </c>
      <c r="U17" s="2" cm="1">
        <f t="array" ref="U17">INDEX($Z$11:$BN$11,MATCH(TRUE,INDEX(Z17:BN17&lt;&gt;0,),0))</f>
        <v>2041</v>
      </c>
      <c r="V17" s="174">
        <f t="shared" si="20"/>
        <v>4000</v>
      </c>
      <c r="W17" s="175"/>
      <c r="X17" s="175">
        <f t="shared" si="17"/>
        <v>0</v>
      </c>
      <c r="Y17" s="23">
        <f>$V17*'Cost inputs'!$B$60/1000000</f>
        <v>2.7715951044761602</v>
      </c>
      <c r="Z17" s="181"/>
      <c r="AA17" s="181"/>
      <c r="AB17" s="181"/>
      <c r="AC17" s="181"/>
      <c r="AD17" s="181"/>
      <c r="AE17" s="181"/>
      <c r="AF17" s="181"/>
      <c r="AG17" s="181"/>
      <c r="AH17" s="181"/>
      <c r="AI17" s="181"/>
      <c r="AJ17" s="181"/>
      <c r="AK17" s="181"/>
      <c r="AL17" s="181"/>
      <c r="AM17" s="181"/>
      <c r="AN17" s="181"/>
      <c r="AO17" s="181"/>
      <c r="AP17" s="23">
        <f>0.1*$Y17*'Cost inputs'!V$10</f>
        <v>0.46662624255267565</v>
      </c>
      <c r="AQ17" s="23">
        <f>0.9*$Y17*'Cost inputs'!W$10</f>
        <v>4.3298249046462765</v>
      </c>
      <c r="AR17" s="181"/>
      <c r="AS17" s="181"/>
      <c r="AT17" s="181"/>
      <c r="AU17" s="181"/>
      <c r="AV17" s="181"/>
      <c r="AW17" s="181"/>
      <c r="AX17" s="181"/>
      <c r="AY17" s="181"/>
      <c r="AZ17" s="181"/>
      <c r="BF17" s="23"/>
      <c r="BH17" s="23"/>
      <c r="BI17" s="23"/>
      <c r="BJ17" s="23"/>
      <c r="BK17" s="23"/>
      <c r="BL17" s="23"/>
      <c r="BM17" s="23"/>
      <c r="BN17" s="23"/>
      <c r="BO17" s="23"/>
      <c r="BP17" s="23" t="s">
        <v>449</v>
      </c>
      <c r="BQ17" s="175" t="str">
        <f t="shared" si="14"/>
        <v/>
      </c>
      <c r="BR17" s="23" t="str">
        <f>IFERROR(VLOOKUP(BQ17,'LTP '!$R$4:$S$86,2,0),"")</f>
        <v/>
      </c>
      <c r="BS17" s="23"/>
      <c r="BT17" s="23"/>
      <c r="BU17" s="23"/>
      <c r="BV17" s="23"/>
      <c r="BW17" s="23"/>
      <c r="BX17" s="23"/>
      <c r="BY17" s="23"/>
      <c r="BZ17" s="23"/>
      <c r="CA17" s="23">
        <f t="shared" si="21"/>
        <v>4.7964511471989519</v>
      </c>
      <c r="CB17" s="115">
        <f t="shared" si="22"/>
        <v>1199.1127867997379</v>
      </c>
      <c r="CC17" s="23"/>
      <c r="CD17" s="23"/>
      <c r="CE17" s="2">
        <f t="shared" si="15"/>
        <v>1</v>
      </c>
      <c r="CF17" s="23"/>
      <c r="CG17" s="23"/>
      <c r="CH17" s="23"/>
      <c r="CI17" s="23"/>
      <c r="CJ17" s="23"/>
      <c r="CK17" s="23"/>
      <c r="CL17" s="23"/>
      <c r="CM17" s="23"/>
      <c r="CN17" s="23"/>
      <c r="CO17" s="207"/>
      <c r="CP17" s="207"/>
      <c r="CQ17" s="207"/>
      <c r="CR17" s="207"/>
      <c r="CS17" s="53"/>
      <c r="CT17" s="53"/>
      <c r="CU17" s="53"/>
      <c r="CV17" s="53"/>
      <c r="CW17" s="190"/>
      <c r="CX17" s="190"/>
      <c r="CY17" s="190"/>
      <c r="DG17" s="105"/>
      <c r="DH17" s="105"/>
      <c r="DI17" s="105"/>
      <c r="DJ17" s="105"/>
      <c r="DK17" s="105"/>
      <c r="DL17" s="105"/>
      <c r="DM17" s="105"/>
      <c r="DN17" s="105"/>
      <c r="DO17" s="105"/>
      <c r="DP17" s="105"/>
    </row>
    <row r="18" spans="1:120" x14ac:dyDescent="0.3">
      <c r="A18" s="2" t="s">
        <v>88</v>
      </c>
      <c r="B18" s="2" t="s">
        <v>88</v>
      </c>
      <c r="D18" s="2" t="s">
        <v>242</v>
      </c>
      <c r="F18" s="105">
        <v>2</v>
      </c>
      <c r="G18" s="105"/>
      <c r="H18" s="105"/>
      <c r="I18" s="105"/>
      <c r="J18" s="105">
        <f t="shared" si="16"/>
        <v>2</v>
      </c>
      <c r="K18" s="105"/>
      <c r="L18" s="105"/>
      <c r="M18" s="105"/>
      <c r="N18" s="105"/>
      <c r="O18" s="2">
        <v>2031</v>
      </c>
      <c r="P18" s="2">
        <v>2035</v>
      </c>
      <c r="Q18" s="2">
        <v>2039</v>
      </c>
      <c r="R18" s="2">
        <v>2043</v>
      </c>
      <c r="S18" s="2" t="s">
        <v>881</v>
      </c>
      <c r="T18" s="2">
        <v>2043</v>
      </c>
      <c r="U18" s="2" cm="1">
        <f t="array" ref="U18">INDEX($Z$11:$BN$11,MATCH(TRUE,INDEX(Z18:BN18&lt;&gt;0,),0))</f>
        <v>2045</v>
      </c>
      <c r="V18" s="174">
        <f t="shared" si="20"/>
        <v>8000</v>
      </c>
      <c r="W18" s="175"/>
      <c r="X18" s="175">
        <f t="shared" si="17"/>
        <v>0</v>
      </c>
      <c r="Y18" s="23">
        <f>$V18*'Cost inputs'!$B$60/1000000</f>
        <v>5.5431902089523204</v>
      </c>
      <c r="Z18" s="181"/>
      <c r="AA18" s="181"/>
      <c r="AB18" s="181"/>
      <c r="AC18" s="181"/>
      <c r="AD18" s="181"/>
      <c r="AE18" s="181"/>
      <c r="AF18" s="181"/>
      <c r="AG18" s="181"/>
      <c r="AH18" s="181"/>
      <c r="AI18" s="181"/>
      <c r="AJ18" s="181"/>
      <c r="AK18" s="181"/>
      <c r="AL18" s="181"/>
      <c r="AM18" s="181"/>
      <c r="AN18" s="181"/>
      <c r="AO18" s="181"/>
      <c r="AP18" s="181"/>
      <c r="AQ18" s="181"/>
      <c r="AR18" s="181"/>
      <c r="AS18" s="181"/>
      <c r="AT18" s="23">
        <f>0.1*$Y18*'Cost inputs'!Z$10</f>
        <v>1.0544689990649352</v>
      </c>
      <c r="AU18" s="23">
        <f>0.9*$Y18*'Cost inputs'!AA$10</f>
        <v>9.7844178423235331</v>
      </c>
      <c r="AV18" s="181"/>
      <c r="AW18" s="181"/>
      <c r="AX18" s="181"/>
      <c r="AY18" s="181"/>
      <c r="AZ18" s="181"/>
      <c r="BF18" s="23"/>
      <c r="BH18" s="23"/>
      <c r="BI18" s="23"/>
      <c r="BJ18" s="23"/>
      <c r="BK18" s="23"/>
      <c r="BL18" s="23"/>
      <c r="BM18" s="23"/>
      <c r="BN18" s="23"/>
      <c r="BO18" s="23"/>
      <c r="BP18" s="23" t="s">
        <v>449</v>
      </c>
      <c r="BQ18" s="175" t="str">
        <f t="shared" si="14"/>
        <v/>
      </c>
      <c r="BR18" s="23" t="str">
        <f>IFERROR(VLOOKUP(BQ18,'LTP '!$R$4:$S$86,2,0),"")</f>
        <v/>
      </c>
      <c r="BS18" s="23"/>
      <c r="BT18" s="23"/>
      <c r="BU18" s="23"/>
      <c r="BV18" s="23"/>
      <c r="BW18" s="23"/>
      <c r="BX18" s="23"/>
      <c r="BY18" s="23"/>
      <c r="BZ18" s="23"/>
      <c r="CA18" s="23">
        <f t="shared" si="21"/>
        <v>10.838886841388469</v>
      </c>
      <c r="CB18" s="115">
        <f t="shared" si="22"/>
        <v>1354.8608551735585</v>
      </c>
      <c r="CC18" s="23"/>
      <c r="CD18" s="23"/>
      <c r="CE18" s="2">
        <f t="shared" si="15"/>
        <v>1</v>
      </c>
      <c r="CF18" s="23"/>
      <c r="CG18" s="23"/>
      <c r="CH18" s="23"/>
      <c r="CI18" s="23"/>
      <c r="CJ18" s="23"/>
      <c r="CK18" s="23"/>
      <c r="CL18" s="23"/>
      <c r="CM18" s="23"/>
      <c r="CN18" s="23"/>
      <c r="CO18" s="207"/>
      <c r="CP18" s="207"/>
      <c r="CQ18" s="207"/>
      <c r="CR18" s="207"/>
      <c r="CS18" s="53"/>
      <c r="CT18" s="53"/>
      <c r="CU18" s="53"/>
      <c r="CV18" s="53"/>
      <c r="CW18" s="190"/>
      <c r="CX18" s="190"/>
      <c r="CY18" s="190"/>
      <c r="DG18" s="105"/>
      <c r="DH18" s="105"/>
      <c r="DI18" s="105"/>
      <c r="DJ18" s="105"/>
      <c r="DK18" s="105"/>
      <c r="DL18" s="105"/>
      <c r="DM18" s="105"/>
      <c r="DN18" s="105"/>
      <c r="DO18" s="105"/>
      <c r="DP18" s="105"/>
    </row>
    <row r="19" spans="1:120" x14ac:dyDescent="0.3">
      <c r="A19" s="2" t="s">
        <v>88</v>
      </c>
      <c r="B19" s="2" t="s">
        <v>88</v>
      </c>
      <c r="D19" s="2" t="s">
        <v>243</v>
      </c>
      <c r="F19" s="105">
        <v>3</v>
      </c>
      <c r="G19" s="105"/>
      <c r="H19" s="105"/>
      <c r="I19" s="105"/>
      <c r="J19" s="105">
        <f t="shared" si="16"/>
        <v>3</v>
      </c>
      <c r="K19" s="105"/>
      <c r="L19" s="105"/>
      <c r="M19" s="105"/>
      <c r="N19" s="105"/>
      <c r="O19" s="2">
        <v>2036</v>
      </c>
      <c r="P19" s="2">
        <v>2040</v>
      </c>
      <c r="Q19" s="2">
        <v>2044</v>
      </c>
      <c r="R19" s="2">
        <v>2046</v>
      </c>
      <c r="S19" s="2" t="s">
        <v>881</v>
      </c>
      <c r="T19" s="2">
        <v>2046</v>
      </c>
      <c r="U19" s="2" cm="1">
        <f t="array" ref="U19">INDEX($Z$11:$BN$11,MATCH(TRUE,INDEX(Z19:BN19&lt;&gt;0,),0))</f>
        <v>2048</v>
      </c>
      <c r="V19" s="174">
        <f t="shared" si="20"/>
        <v>12000</v>
      </c>
      <c r="W19" s="175"/>
      <c r="X19" s="175">
        <f t="shared" si="17"/>
        <v>0</v>
      </c>
      <c r="Y19" s="23">
        <f>$V19*'Cost inputs'!$B$60/1000000</f>
        <v>8.3147853134284819</v>
      </c>
      <c r="Z19" s="181"/>
      <c r="AA19" s="181"/>
      <c r="AB19" s="181"/>
      <c r="AC19" s="181"/>
      <c r="AD19" s="181"/>
      <c r="AE19" s="181"/>
      <c r="AF19" s="181"/>
      <c r="AG19" s="181"/>
      <c r="AH19" s="181"/>
      <c r="AI19" s="181"/>
      <c r="AJ19" s="181"/>
      <c r="AK19" s="181"/>
      <c r="AL19" s="181"/>
      <c r="AM19" s="181"/>
      <c r="AN19" s="181"/>
      <c r="AO19" s="181"/>
      <c r="AP19" s="181"/>
      <c r="AQ19" s="181"/>
      <c r="AR19" s="181"/>
      <c r="AS19" s="181"/>
      <c r="AT19" s="181"/>
      <c r="AU19" s="181"/>
      <c r="AV19" s="181"/>
      <c r="AW19" s="23">
        <f>0.1*$Y19*'Cost inputs'!AC$10</f>
        <v>1.7334090956823445</v>
      </c>
      <c r="AX19" s="23">
        <f>0.9*$Y19*'Cost inputs'!AD$10</f>
        <v>16.084302998836474</v>
      </c>
      <c r="AY19" s="181"/>
      <c r="AZ19" s="181"/>
      <c r="BF19" s="23"/>
      <c r="BH19" s="23"/>
      <c r="BI19" s="23"/>
      <c r="BJ19" s="23"/>
      <c r="BK19" s="23"/>
      <c r="BL19" s="23"/>
      <c r="BM19" s="23"/>
      <c r="BN19" s="23"/>
      <c r="BO19" s="23"/>
      <c r="BP19" s="23" t="s">
        <v>449</v>
      </c>
      <c r="BQ19" s="175" t="str">
        <f t="shared" si="14"/>
        <v/>
      </c>
      <c r="BR19" s="23" t="str">
        <f>IFERROR(VLOOKUP(BQ19,'LTP '!$R$4:$S$86,2,0),"")</f>
        <v/>
      </c>
      <c r="BS19" s="23"/>
      <c r="BT19" s="23"/>
      <c r="BU19" s="23"/>
      <c r="BV19" s="23"/>
      <c r="BW19" s="23"/>
      <c r="BX19" s="23"/>
      <c r="BY19" s="23"/>
      <c r="BZ19" s="23"/>
      <c r="CA19" s="23">
        <f t="shared" si="21"/>
        <v>17.817712094518818</v>
      </c>
      <c r="CB19" s="115">
        <f t="shared" si="22"/>
        <v>1484.8093412099015</v>
      </c>
      <c r="CC19" s="23"/>
      <c r="CD19" s="23"/>
      <c r="CE19" s="2">
        <f t="shared" si="15"/>
        <v>1</v>
      </c>
      <c r="CF19" s="23"/>
      <c r="CG19" s="23"/>
      <c r="CH19" s="23"/>
      <c r="CI19" s="23"/>
      <c r="CJ19" s="23"/>
      <c r="CK19" s="23"/>
      <c r="CL19" s="23"/>
      <c r="CM19" s="23"/>
      <c r="CN19" s="23"/>
      <c r="CO19" s="207"/>
      <c r="CP19" s="207"/>
      <c r="CQ19" s="207"/>
      <c r="CR19" s="207"/>
      <c r="CS19" s="53"/>
      <c r="CT19" s="53"/>
      <c r="CU19" s="53"/>
      <c r="CV19" s="53"/>
      <c r="CW19" s="190"/>
      <c r="CX19" s="190"/>
      <c r="CY19" s="190"/>
      <c r="DG19" s="105"/>
      <c r="DH19" s="105"/>
      <c r="DI19" s="105"/>
      <c r="DJ19" s="105"/>
      <c r="DK19" s="105"/>
      <c r="DL19" s="105"/>
      <c r="DM19" s="105"/>
      <c r="DN19" s="105"/>
      <c r="DO19" s="105"/>
      <c r="DP19" s="105"/>
    </row>
    <row r="20" spans="1:120" x14ac:dyDescent="0.3">
      <c r="A20" s="2" t="s">
        <v>88</v>
      </c>
      <c r="B20" s="2" t="s">
        <v>88</v>
      </c>
      <c r="D20" s="2" t="s">
        <v>244</v>
      </c>
      <c r="F20" s="105">
        <v>2</v>
      </c>
      <c r="G20" s="105"/>
      <c r="H20" s="105"/>
      <c r="I20" s="105"/>
      <c r="J20" s="105">
        <f t="shared" si="16"/>
        <v>2</v>
      </c>
      <c r="K20" s="105"/>
      <c r="L20" s="105"/>
      <c r="M20" s="105"/>
      <c r="N20" s="105"/>
      <c r="O20" s="2">
        <v>2041</v>
      </c>
      <c r="P20" s="2">
        <v>2045</v>
      </c>
      <c r="Q20" s="2">
        <v>2049</v>
      </c>
      <c r="R20" s="2">
        <v>2051</v>
      </c>
      <c r="S20" s="2" t="s">
        <v>881</v>
      </c>
      <c r="T20" s="2">
        <v>2051</v>
      </c>
      <c r="U20" s="2" cm="1">
        <f t="array" ref="U20">INDEX($Z$11:$BN$11,MATCH(TRUE,INDEX(Z20:BN20&lt;&gt;0,),0))</f>
        <v>2053</v>
      </c>
      <c r="V20" s="174">
        <f t="shared" si="20"/>
        <v>8000</v>
      </c>
      <c r="W20" s="176"/>
      <c r="X20" s="175">
        <f t="shared" si="17"/>
        <v>0</v>
      </c>
      <c r="Y20" s="23">
        <f>$V20*'Cost inputs'!$B$60/1000000</f>
        <v>5.5431902089523204</v>
      </c>
      <c r="AC20" s="25"/>
      <c r="AD20" s="25"/>
      <c r="AE20" s="25"/>
      <c r="BB20" s="23">
        <f>0.1*$Y20*'Cost inputs'!AH$10</f>
        <v>1.3461800137672313</v>
      </c>
      <c r="BC20" s="23">
        <f>0.9*$Y20*'Cost inputs'!AI$10</f>
        <v>12.491204347746137</v>
      </c>
      <c r="BF20" s="23"/>
      <c r="BH20" s="23"/>
      <c r="BI20" s="23"/>
      <c r="BJ20" s="23"/>
      <c r="BK20" s="23"/>
      <c r="BL20" s="23"/>
      <c r="BM20" s="23"/>
      <c r="BN20" s="23"/>
      <c r="BO20" s="23"/>
      <c r="BP20" s="23" t="s">
        <v>449</v>
      </c>
      <c r="BQ20" s="175" t="str">
        <f t="shared" si="14"/>
        <v/>
      </c>
      <c r="BR20" s="23" t="str">
        <f>IFERROR(VLOOKUP(BQ20,'LTP '!$R$4:$S$86,2,0),"")</f>
        <v/>
      </c>
      <c r="BS20" s="23"/>
      <c r="BT20" s="23"/>
      <c r="BU20" s="23"/>
      <c r="BV20" s="23"/>
      <c r="BW20" s="23"/>
      <c r="BX20" s="23"/>
      <c r="BY20" s="23"/>
      <c r="BZ20" s="23"/>
      <c r="CA20" s="23">
        <f t="shared" si="21"/>
        <v>13.837384361513369</v>
      </c>
      <c r="CB20" s="115">
        <f t="shared" si="22"/>
        <v>1729.673045189171</v>
      </c>
      <c r="CC20" s="23"/>
      <c r="CD20" s="23"/>
      <c r="CE20" s="2">
        <f t="shared" si="15"/>
        <v>1</v>
      </c>
      <c r="CF20" s="23"/>
      <c r="CG20" s="23"/>
      <c r="CH20" s="23"/>
      <c r="CI20" s="23"/>
      <c r="CJ20" s="23"/>
      <c r="CK20" s="23"/>
      <c r="CL20" s="23"/>
      <c r="CM20" s="23"/>
      <c r="CN20" s="23"/>
      <c r="CO20" s="207"/>
      <c r="CP20" s="207"/>
      <c r="CQ20" s="207"/>
      <c r="CR20" s="207"/>
      <c r="CS20" s="53"/>
      <c r="CT20" s="53"/>
      <c r="CU20" s="53"/>
      <c r="CV20" s="53"/>
      <c r="CW20" s="190"/>
      <c r="CX20" s="190"/>
      <c r="CY20" s="190"/>
      <c r="DG20" s="105"/>
      <c r="DH20" s="105"/>
      <c r="DI20" s="105"/>
      <c r="DJ20" s="105"/>
      <c r="DK20" s="105"/>
      <c r="DL20" s="105"/>
      <c r="DM20" s="105"/>
      <c r="DN20" s="105"/>
      <c r="DO20" s="105"/>
      <c r="DP20" s="105"/>
    </row>
    <row r="21" spans="1:120" x14ac:dyDescent="0.3">
      <c r="A21" s="2" t="s">
        <v>88</v>
      </c>
      <c r="B21" s="2" t="s">
        <v>88</v>
      </c>
      <c r="D21" s="2" t="s">
        <v>244</v>
      </c>
      <c r="F21" s="105"/>
      <c r="G21" s="105">
        <v>1</v>
      </c>
      <c r="H21" s="105"/>
      <c r="I21" s="105"/>
      <c r="J21" s="105"/>
      <c r="K21" s="105">
        <f t="shared" si="16"/>
        <v>1</v>
      </c>
      <c r="L21" s="105"/>
      <c r="M21" s="105"/>
      <c r="N21" s="105"/>
      <c r="O21" s="2">
        <v>2041</v>
      </c>
      <c r="P21" s="2">
        <v>2045</v>
      </c>
      <c r="Q21" s="2">
        <v>2049</v>
      </c>
      <c r="R21" s="2">
        <v>2051</v>
      </c>
      <c r="S21" s="2" t="s">
        <v>881</v>
      </c>
      <c r="T21" s="2">
        <v>2051</v>
      </c>
      <c r="U21" s="2" cm="1">
        <f t="array" ref="U21">INDEX($Z$11:$BN$11,MATCH(TRUE,INDEX(Z21:BN21&lt;&gt;0,),0))</f>
        <v>2053</v>
      </c>
      <c r="V21" s="174">
        <f t="shared" si="20"/>
        <v>30000</v>
      </c>
      <c r="W21" s="176"/>
      <c r="X21" s="175">
        <f t="shared" si="17"/>
        <v>0</v>
      </c>
      <c r="Y21" s="23">
        <f>$V21*'Cost inputs'!$B$61/1000000</f>
        <v>3.9401159208744954</v>
      </c>
      <c r="Z21" s="25"/>
      <c r="AA21" s="25"/>
      <c r="AB21" s="25"/>
      <c r="BB21" s="23">
        <f>0.1*$Y21*'Cost inputs'!AH$10</f>
        <v>0.95686871723094036</v>
      </c>
      <c r="BC21" s="23">
        <f>0.1*$Y21*'Cost inputs'!AI$10</f>
        <v>0.98653164746509947</v>
      </c>
      <c r="BD21" s="23">
        <f>0.4*$Y21*'Cost inputs'!AJ$10</f>
        <v>4.06845651414607</v>
      </c>
      <c r="BE21" s="23">
        <f>0.4*$Y21*'Cost inputs'!AK$10</f>
        <v>4.1945786660845981</v>
      </c>
      <c r="BF21" s="23"/>
      <c r="BH21" s="23"/>
      <c r="BI21" s="23"/>
      <c r="BJ21" s="23"/>
      <c r="BK21" s="23"/>
      <c r="BL21" s="23"/>
      <c r="BM21" s="23"/>
      <c r="BN21" s="23"/>
      <c r="BO21" s="23"/>
      <c r="BP21" s="23" t="s">
        <v>449</v>
      </c>
      <c r="BQ21" s="175" t="str">
        <f t="shared" si="14"/>
        <v/>
      </c>
      <c r="BR21" s="23" t="str">
        <f>IFERROR(VLOOKUP(BQ21,'LTP '!$R$4:$S$86,2,0),"")</f>
        <v/>
      </c>
      <c r="BS21" s="23"/>
      <c r="BT21" s="23"/>
      <c r="BU21" s="23"/>
      <c r="BV21" s="23"/>
      <c r="BW21" s="23"/>
      <c r="BX21" s="23"/>
      <c r="BY21" s="23"/>
      <c r="BZ21" s="23"/>
      <c r="CA21" s="23">
        <f t="shared" si="21"/>
        <v>10.206435544926709</v>
      </c>
      <c r="CB21" s="115">
        <f t="shared" si="22"/>
        <v>340.21451816422365</v>
      </c>
      <c r="CC21" s="23"/>
      <c r="CD21" s="23"/>
      <c r="CE21" s="2">
        <f t="shared" si="15"/>
        <v>1</v>
      </c>
      <c r="CF21" s="23"/>
      <c r="CG21" s="23"/>
      <c r="CH21" s="23"/>
      <c r="CI21" s="23"/>
      <c r="CJ21" s="23"/>
      <c r="CK21" s="23"/>
      <c r="CL21" s="23"/>
      <c r="CM21" s="23"/>
      <c r="CN21" s="23"/>
      <c r="CX21" s="190"/>
      <c r="DG21" s="105"/>
      <c r="DH21" s="105"/>
      <c r="DI21" s="105"/>
      <c r="DJ21" s="105"/>
      <c r="DK21" s="105"/>
      <c r="DL21" s="105"/>
      <c r="DM21" s="105"/>
      <c r="DN21" s="105"/>
      <c r="DO21" s="105"/>
      <c r="DP21" s="105"/>
    </row>
    <row r="22" spans="1:120" x14ac:dyDescent="0.3">
      <c r="A22" s="2" t="s">
        <v>88</v>
      </c>
      <c r="B22" s="2" t="s">
        <v>88</v>
      </c>
      <c r="D22" s="2" t="s">
        <v>245</v>
      </c>
      <c r="F22" s="105">
        <v>3</v>
      </c>
      <c r="G22" s="105"/>
      <c r="H22" s="105"/>
      <c r="I22" s="105"/>
      <c r="J22" s="105">
        <f t="shared" si="16"/>
        <v>3</v>
      </c>
      <c r="K22" s="105"/>
      <c r="L22" s="105"/>
      <c r="M22" s="105"/>
      <c r="N22" s="105"/>
      <c r="O22" s="2">
        <v>2036</v>
      </c>
      <c r="P22" s="2">
        <v>2040</v>
      </c>
      <c r="Q22" s="2">
        <v>2044</v>
      </c>
      <c r="R22" s="2">
        <v>2046</v>
      </c>
      <c r="S22" s="2" t="s">
        <v>881</v>
      </c>
      <c r="T22" s="2">
        <v>2046</v>
      </c>
      <c r="U22" s="2" cm="1">
        <f t="array" ref="U22">INDEX($Z$11:$BN$11,MATCH(TRUE,INDEX(Z22:BN22&lt;&gt;0,),0))</f>
        <v>2048</v>
      </c>
      <c r="V22" s="174">
        <f t="shared" si="20"/>
        <v>12000</v>
      </c>
      <c r="W22" s="176"/>
      <c r="X22" s="175">
        <f t="shared" si="17"/>
        <v>0</v>
      </c>
      <c r="Y22" s="23">
        <f>$V22*'Cost inputs'!$B$60/1000000</f>
        <v>8.3147853134284819</v>
      </c>
      <c r="Z22" s="25"/>
      <c r="AA22" s="25"/>
      <c r="AB22" s="25"/>
      <c r="AW22" s="23">
        <f>0.1*$Y22*'Cost inputs'!AC$10</f>
        <v>1.7334090956823445</v>
      </c>
      <c r="AX22" s="23">
        <f>0.9*$Y22*'Cost inputs'!AD$10</f>
        <v>16.084302998836474</v>
      </c>
      <c r="BF22" s="23"/>
      <c r="BH22" s="23"/>
      <c r="BI22" s="23"/>
      <c r="BJ22" s="23"/>
      <c r="BK22" s="23"/>
      <c r="BL22" s="23"/>
      <c r="BM22" s="23"/>
      <c r="BN22" s="23"/>
      <c r="BO22" s="23"/>
      <c r="BP22" s="23" t="s">
        <v>449</v>
      </c>
      <c r="BQ22" s="175" t="str">
        <f t="shared" si="14"/>
        <v/>
      </c>
      <c r="BR22" s="23" t="str">
        <f>IFERROR(VLOOKUP(BQ22,'LTP '!$R$4:$S$86,2,0),"")</f>
        <v/>
      </c>
      <c r="BS22" s="23"/>
      <c r="BT22" s="23"/>
      <c r="BU22" s="23"/>
      <c r="BV22" s="23"/>
      <c r="BW22" s="23"/>
      <c r="BX22" s="23"/>
      <c r="BY22" s="23"/>
      <c r="BZ22" s="23"/>
      <c r="CA22" s="23">
        <f t="shared" si="21"/>
        <v>17.817712094518818</v>
      </c>
      <c r="CB22" s="115">
        <f t="shared" si="22"/>
        <v>1484.8093412099015</v>
      </c>
      <c r="CC22" s="23"/>
      <c r="CD22" s="23"/>
      <c r="CE22" s="2">
        <f t="shared" si="15"/>
        <v>1</v>
      </c>
      <c r="CF22" s="23"/>
      <c r="CG22" s="23"/>
      <c r="CH22" s="23"/>
      <c r="CI22" s="23"/>
      <c r="CJ22" s="23"/>
      <c r="CK22" s="23"/>
      <c r="CL22" s="23"/>
      <c r="CM22" s="23"/>
      <c r="CN22" s="23"/>
      <c r="CX22" s="190"/>
      <c r="DG22" s="105"/>
      <c r="DH22" s="105"/>
      <c r="DI22" s="105"/>
      <c r="DJ22" s="105"/>
      <c r="DK22" s="105"/>
      <c r="DL22" s="105"/>
      <c r="DM22" s="105"/>
      <c r="DN22" s="105"/>
      <c r="DO22" s="105"/>
      <c r="DP22" s="105"/>
    </row>
    <row r="23" spans="1:120" x14ac:dyDescent="0.3">
      <c r="A23" s="2" t="s">
        <v>88</v>
      </c>
      <c r="B23" s="2" t="s">
        <v>88</v>
      </c>
      <c r="D23" s="2" t="s">
        <v>246</v>
      </c>
      <c r="F23" s="105">
        <v>6</v>
      </c>
      <c r="G23" s="105"/>
      <c r="H23" s="105"/>
      <c r="I23" s="105"/>
      <c r="J23" s="105">
        <f t="shared" si="16"/>
        <v>6</v>
      </c>
      <c r="K23" s="105"/>
      <c r="L23" s="105"/>
      <c r="M23" s="105"/>
      <c r="N23" s="105"/>
      <c r="O23" s="2">
        <v>2041</v>
      </c>
      <c r="P23" s="2">
        <v>2045</v>
      </c>
      <c r="Q23" s="2">
        <v>2049</v>
      </c>
      <c r="R23" s="2">
        <v>2051</v>
      </c>
      <c r="S23" s="2" t="s">
        <v>881</v>
      </c>
      <c r="T23" s="2">
        <v>2051</v>
      </c>
      <c r="U23" s="2" cm="1">
        <f t="array" ref="U23">INDEX($Z$11:$BN$11,MATCH(TRUE,INDEX(Z23:BN23&lt;&gt;0,),0))</f>
        <v>2053</v>
      </c>
      <c r="V23" s="174">
        <f t="shared" si="20"/>
        <v>24000</v>
      </c>
      <c r="W23" s="175"/>
      <c r="X23" s="175">
        <f t="shared" si="17"/>
        <v>0</v>
      </c>
      <c r="Y23" s="23">
        <f>$V23*'Cost inputs'!$B$60/1000000</f>
        <v>16.629570626856964</v>
      </c>
      <c r="AQ23" s="181"/>
      <c r="AR23" s="181"/>
      <c r="AS23" s="181"/>
      <c r="AT23" s="181"/>
      <c r="AU23" s="181"/>
      <c r="AV23" s="181"/>
      <c r="AW23" s="181"/>
      <c r="AX23" s="181"/>
      <c r="AY23" s="181"/>
      <c r="AZ23" s="181"/>
      <c r="BA23" s="181"/>
      <c r="BB23" s="23">
        <f>0.1*$Y23*'Cost inputs'!AH$10</f>
        <v>4.0385400413016939</v>
      </c>
      <c r="BC23" s="23">
        <f>0.9*$Y23*'Cost inputs'!AI$10</f>
        <v>37.473613043238416</v>
      </c>
      <c r="BD23" s="181"/>
      <c r="BE23" s="181"/>
      <c r="BF23" s="23"/>
      <c r="BH23" s="23"/>
      <c r="BI23" s="23"/>
      <c r="BJ23" s="23"/>
      <c r="BK23" s="23"/>
      <c r="BL23" s="23"/>
      <c r="BM23" s="23"/>
      <c r="BN23" s="23"/>
      <c r="BO23" s="23"/>
      <c r="BP23" s="23" t="s">
        <v>449</v>
      </c>
      <c r="BQ23" s="175" t="str">
        <f t="shared" si="14"/>
        <v/>
      </c>
      <c r="BR23" s="23" t="str">
        <f>IFERROR(VLOOKUP(BQ23,'LTP '!$R$4:$S$86,2,0),"")</f>
        <v/>
      </c>
      <c r="BS23" s="23"/>
      <c r="BT23" s="23"/>
      <c r="BU23" s="23"/>
      <c r="BV23" s="23"/>
      <c r="BW23" s="23"/>
      <c r="BX23" s="23"/>
      <c r="BY23" s="23"/>
      <c r="BZ23" s="23"/>
      <c r="CA23" s="23">
        <f t="shared" si="21"/>
        <v>41.51215308454011</v>
      </c>
      <c r="CB23" s="115">
        <f t="shared" si="22"/>
        <v>1729.673045189171</v>
      </c>
      <c r="CC23" s="23"/>
      <c r="CD23" s="23"/>
      <c r="CE23" s="2">
        <f t="shared" si="15"/>
        <v>1</v>
      </c>
      <c r="CF23" s="23"/>
      <c r="CG23" s="23"/>
      <c r="CH23" s="23"/>
      <c r="CI23" s="23"/>
      <c r="CJ23" s="23"/>
      <c r="CK23" s="23"/>
      <c r="CL23" s="23"/>
      <c r="CM23" s="23"/>
      <c r="CN23" s="23"/>
      <c r="CO23" s="207"/>
      <c r="CP23" s="207"/>
      <c r="CQ23" s="207"/>
      <c r="CR23" s="207"/>
      <c r="CS23" s="53"/>
      <c r="CT23" s="53"/>
      <c r="CU23" s="53"/>
      <c r="CV23" s="53"/>
      <c r="CW23" s="190"/>
      <c r="CX23" s="190"/>
      <c r="CY23" s="190"/>
      <c r="DG23" s="105"/>
      <c r="DH23" s="105"/>
      <c r="DI23" s="105"/>
      <c r="DJ23" s="105"/>
      <c r="DK23" s="105"/>
      <c r="DL23" s="105"/>
      <c r="DM23" s="105"/>
      <c r="DN23" s="105"/>
      <c r="DO23" s="105"/>
      <c r="DP23" s="105"/>
    </row>
    <row r="24" spans="1:120" x14ac:dyDescent="0.3">
      <c r="A24" s="2" t="s">
        <v>88</v>
      </c>
      <c r="B24" s="2" t="s">
        <v>88</v>
      </c>
      <c r="D24" s="2" t="s">
        <v>246</v>
      </c>
      <c r="F24" s="105"/>
      <c r="G24" s="105">
        <v>1</v>
      </c>
      <c r="H24" s="105"/>
      <c r="I24" s="105"/>
      <c r="J24" s="105"/>
      <c r="K24" s="105">
        <f t="shared" ref="K24" si="23">G24</f>
        <v>1</v>
      </c>
      <c r="L24" s="105"/>
      <c r="M24" s="105"/>
      <c r="N24" s="105"/>
      <c r="O24" s="2">
        <v>2041</v>
      </c>
      <c r="P24" s="2">
        <v>2045</v>
      </c>
      <c r="Q24" s="2">
        <v>2049</v>
      </c>
      <c r="R24" s="2">
        <v>2051</v>
      </c>
      <c r="S24" s="2" t="s">
        <v>881</v>
      </c>
      <c r="T24" s="2">
        <v>2051</v>
      </c>
      <c r="U24" s="2" cm="1">
        <f t="array" ref="U24">INDEX($Z$11:$BN$11,MATCH(TRUE,INDEX(Z24:BN24&lt;&gt;0,),0))</f>
        <v>2053</v>
      </c>
      <c r="V24" s="174">
        <f t="shared" si="20"/>
        <v>30000</v>
      </c>
      <c r="W24" s="175"/>
      <c r="X24" s="175">
        <f t="shared" si="17"/>
        <v>0</v>
      </c>
      <c r="Y24" s="23">
        <f>$V24*'Cost inputs'!$B$61/1000000</f>
        <v>3.9401159208744954</v>
      </c>
      <c r="AQ24" s="181"/>
      <c r="AR24" s="181"/>
      <c r="AS24" s="181"/>
      <c r="AT24" s="181"/>
      <c r="AU24" s="181"/>
      <c r="AV24" s="181"/>
      <c r="AW24" s="181"/>
      <c r="AX24" s="181"/>
      <c r="AY24" s="181"/>
      <c r="AZ24" s="181"/>
      <c r="BA24" s="181"/>
      <c r="BB24" s="23">
        <f>0.1*$Y24*'Cost inputs'!AH$10</f>
        <v>0.95686871723094036</v>
      </c>
      <c r="BC24" s="23">
        <f>0.1*$Y24*'Cost inputs'!AI$10</f>
        <v>0.98653164746509947</v>
      </c>
      <c r="BD24" s="23">
        <f>0.4*$Y24*'Cost inputs'!AJ$10</f>
        <v>4.06845651414607</v>
      </c>
      <c r="BE24" s="23">
        <f>0.4*$Y24*'Cost inputs'!AK$10</f>
        <v>4.1945786660845981</v>
      </c>
      <c r="BF24" s="23"/>
      <c r="BH24" s="23"/>
      <c r="BI24" s="23"/>
      <c r="BJ24" s="23"/>
      <c r="BK24" s="23"/>
      <c r="BL24" s="23"/>
      <c r="BM24" s="23"/>
      <c r="BN24" s="23"/>
      <c r="BO24" s="23"/>
      <c r="BP24" s="23" t="s">
        <v>449</v>
      </c>
      <c r="BQ24" s="175" t="str">
        <f t="shared" si="14"/>
        <v/>
      </c>
      <c r="BR24" s="23" t="str">
        <f>IFERROR(VLOOKUP(BQ24,'LTP '!$R$4:$S$86,2,0),"")</f>
        <v/>
      </c>
      <c r="BS24" s="23"/>
      <c r="BT24" s="23"/>
      <c r="BU24" s="23"/>
      <c r="BV24" s="23"/>
      <c r="BW24" s="23"/>
      <c r="BX24" s="23"/>
      <c r="BY24" s="23"/>
      <c r="BZ24" s="23"/>
      <c r="CA24" s="23">
        <f t="shared" si="21"/>
        <v>10.206435544926709</v>
      </c>
      <c r="CB24" s="115">
        <f t="shared" si="22"/>
        <v>340.21451816422365</v>
      </c>
      <c r="CC24" s="23"/>
      <c r="CD24" s="23"/>
      <c r="CE24" s="2">
        <f t="shared" si="15"/>
        <v>1</v>
      </c>
      <c r="CF24" s="23"/>
      <c r="CG24" s="23"/>
      <c r="CH24" s="23"/>
      <c r="CI24" s="23"/>
      <c r="CJ24" s="23"/>
      <c r="CK24" s="23"/>
      <c r="CL24" s="23"/>
      <c r="CM24" s="23"/>
      <c r="CN24" s="23"/>
      <c r="CO24" s="207"/>
      <c r="CP24" s="207"/>
      <c r="CQ24" s="207"/>
      <c r="CR24" s="207"/>
      <c r="CS24" s="53"/>
      <c r="CT24" s="53"/>
      <c r="CU24" s="53"/>
      <c r="CV24" s="53"/>
      <c r="CW24" s="190"/>
      <c r="CX24" s="190"/>
      <c r="CY24" s="190"/>
      <c r="DG24" s="105"/>
      <c r="DH24" s="105"/>
      <c r="DI24" s="105"/>
      <c r="DJ24" s="105"/>
      <c r="DK24" s="105"/>
      <c r="DL24" s="105"/>
      <c r="DM24" s="105"/>
      <c r="DN24" s="105"/>
      <c r="DO24" s="105"/>
      <c r="DP24" s="105"/>
    </row>
    <row r="25" spans="1:120" x14ac:dyDescent="0.3">
      <c r="A25" s="2" t="s">
        <v>459</v>
      </c>
      <c r="E25" s="7" t="s">
        <v>460</v>
      </c>
      <c r="F25" s="105"/>
      <c r="G25" s="105"/>
      <c r="H25" s="105"/>
      <c r="I25" s="105"/>
      <c r="J25" s="105"/>
      <c r="K25" s="105"/>
      <c r="L25" s="105"/>
      <c r="M25" s="105"/>
      <c r="N25" s="105"/>
      <c r="V25" s="175"/>
      <c r="W25" s="175"/>
      <c r="X25" s="175"/>
      <c r="Y25" s="175"/>
      <c r="Z25" s="23"/>
      <c r="AA25" s="23"/>
      <c r="AB25" s="23"/>
      <c r="BF25" s="23"/>
      <c r="BH25" s="23"/>
      <c r="BI25" s="23"/>
      <c r="BJ25" s="23"/>
      <c r="BK25" s="23"/>
      <c r="BL25" s="23"/>
      <c r="BM25" s="23"/>
      <c r="BN25" s="23"/>
      <c r="BO25" s="23"/>
      <c r="BP25" s="23" t="s">
        <v>455</v>
      </c>
      <c r="BQ25" s="175" t="str">
        <f t="shared" si="14"/>
        <v/>
      </c>
      <c r="BR25" s="23" t="str">
        <f>IFERROR(VLOOKUP(BQ25,'LTP '!$R$4:$S$86,2,0),"")</f>
        <v/>
      </c>
      <c r="BS25" s="23"/>
      <c r="BT25" s="23"/>
      <c r="BU25" s="23"/>
      <c r="BV25" s="23"/>
      <c r="BW25" s="23"/>
      <c r="BX25" s="23"/>
      <c r="BY25" s="23"/>
      <c r="BZ25" s="23"/>
      <c r="CA25" s="23">
        <f t="shared" si="21"/>
        <v>0</v>
      </c>
      <c r="CB25" s="115" t="str">
        <f t="shared" si="22"/>
        <v/>
      </c>
      <c r="CC25" s="23"/>
      <c r="CD25" s="23"/>
      <c r="CE25" s="2">
        <f t="shared" si="15"/>
        <v>0</v>
      </c>
      <c r="CF25" s="23"/>
      <c r="CG25" s="23"/>
      <c r="CH25" s="23"/>
      <c r="CI25" s="23"/>
      <c r="CJ25" s="23"/>
      <c r="CK25" s="23"/>
      <c r="CL25" s="23"/>
      <c r="CM25" s="23"/>
      <c r="CN25" s="23"/>
      <c r="CO25" s="207"/>
      <c r="CP25" s="207"/>
      <c r="CQ25" s="207"/>
      <c r="CR25" s="207"/>
      <c r="CS25" s="53"/>
      <c r="CT25" s="53"/>
      <c r="CU25" s="53"/>
      <c r="CV25" s="53"/>
      <c r="CW25" s="190"/>
      <c r="CX25" s="190"/>
      <c r="CY25" s="190"/>
      <c r="DG25" s="105"/>
      <c r="DH25" s="105"/>
      <c r="DI25" s="105"/>
      <c r="DJ25" s="105"/>
      <c r="DK25" s="105"/>
      <c r="DL25" s="105"/>
      <c r="DM25" s="105"/>
      <c r="DN25" s="105"/>
      <c r="DO25" s="105"/>
      <c r="DP25" s="105"/>
    </row>
    <row r="26" spans="1:120" x14ac:dyDescent="0.3">
      <c r="A26" s="2" t="s">
        <v>461</v>
      </c>
      <c r="B26" s="2" t="s">
        <v>190</v>
      </c>
      <c r="D26" s="2" t="s">
        <v>462</v>
      </c>
      <c r="E26" s="2" t="s">
        <v>463</v>
      </c>
      <c r="F26" s="105"/>
      <c r="G26" s="105"/>
      <c r="H26" s="105"/>
      <c r="I26" s="105"/>
      <c r="J26" s="105"/>
      <c r="K26" s="105"/>
      <c r="L26" s="105"/>
      <c r="M26" s="105"/>
      <c r="N26" s="105"/>
      <c r="V26" s="175"/>
      <c r="W26" s="175"/>
      <c r="X26" s="175">
        <f t="shared" si="17"/>
        <v>0</v>
      </c>
      <c r="Y26" s="175"/>
      <c r="AF26" s="181"/>
      <c r="AG26" s="181"/>
      <c r="AH26" s="181"/>
      <c r="AI26" s="181"/>
      <c r="AJ26" s="181"/>
      <c r="AK26" s="181"/>
      <c r="AL26" s="181"/>
      <c r="AM26" s="181"/>
      <c r="AN26" s="181"/>
      <c r="AO26" s="181"/>
      <c r="AP26" s="181"/>
      <c r="BF26" s="23"/>
      <c r="BH26" s="23"/>
      <c r="BI26" s="23"/>
      <c r="BJ26" s="23"/>
      <c r="BK26" s="23"/>
      <c r="BL26" s="23"/>
      <c r="BM26" s="23"/>
      <c r="BN26" s="23"/>
      <c r="BO26" s="23"/>
      <c r="BP26" s="23" t="s">
        <v>449</v>
      </c>
      <c r="BQ26" s="175" t="str">
        <f t="shared" si="14"/>
        <v/>
      </c>
      <c r="BR26" s="23" t="str">
        <f>IFERROR(VLOOKUP(BQ26,'LTP '!$R$4:$S$86,2,0),"")</f>
        <v/>
      </c>
      <c r="BS26" s="23"/>
      <c r="BT26" s="23"/>
      <c r="BU26" s="23"/>
      <c r="BV26" s="23"/>
      <c r="BW26" s="23"/>
      <c r="BX26" s="23"/>
      <c r="BY26" s="23"/>
      <c r="BZ26" s="23"/>
      <c r="CA26" s="23">
        <f t="shared" si="21"/>
        <v>0</v>
      </c>
      <c r="CB26" s="115" t="str">
        <f t="shared" si="22"/>
        <v/>
      </c>
      <c r="CC26" s="23"/>
      <c r="CD26" s="23"/>
      <c r="CE26" s="2">
        <f t="shared" si="15"/>
        <v>1</v>
      </c>
      <c r="CF26" s="23"/>
      <c r="CG26" s="23"/>
      <c r="CH26" s="23"/>
      <c r="CI26" s="23"/>
      <c r="CJ26" s="23"/>
      <c r="CK26" s="23"/>
      <c r="CL26" s="23"/>
      <c r="CM26" s="23"/>
      <c r="CN26" s="23"/>
      <c r="CO26" s="207"/>
      <c r="CP26" s="207"/>
      <c r="CQ26" s="207"/>
      <c r="CR26" s="207"/>
      <c r="CS26" s="53"/>
      <c r="CT26" s="53"/>
      <c r="CU26" s="53"/>
      <c r="CV26" s="53"/>
      <c r="CW26" s="190"/>
      <c r="CX26" s="190"/>
      <c r="CY26" s="190"/>
      <c r="DG26" s="105"/>
      <c r="DH26" s="105"/>
      <c r="DI26" s="105"/>
      <c r="DJ26" s="105"/>
      <c r="DK26" s="105"/>
      <c r="DL26" s="105"/>
      <c r="DM26" s="105"/>
      <c r="DN26" s="105"/>
      <c r="DO26" s="105"/>
      <c r="DP26" s="105"/>
    </row>
    <row r="27" spans="1:120" x14ac:dyDescent="0.3">
      <c r="A27" s="2" t="s">
        <v>461</v>
      </c>
      <c r="B27" s="2" t="s">
        <v>190</v>
      </c>
      <c r="D27" s="2" t="s">
        <v>464</v>
      </c>
      <c r="E27" s="2" t="s">
        <v>465</v>
      </c>
      <c r="F27" s="105"/>
      <c r="G27" s="105"/>
      <c r="H27" s="105"/>
      <c r="I27" s="105"/>
      <c r="J27" s="105"/>
      <c r="K27" s="105"/>
      <c r="L27" s="105"/>
      <c r="M27" s="105"/>
      <c r="N27" s="105"/>
      <c r="U27" s="175"/>
      <c r="V27" s="175"/>
      <c r="W27" s="175"/>
      <c r="X27" s="175">
        <f t="shared" si="17"/>
        <v>0</v>
      </c>
      <c r="Y27" s="175"/>
      <c r="AJ27" s="181"/>
      <c r="AK27" s="181"/>
      <c r="AL27" s="181"/>
      <c r="AM27" s="181"/>
      <c r="AN27" s="181"/>
      <c r="AO27" s="181"/>
      <c r="AP27" s="181"/>
      <c r="BF27" s="23"/>
      <c r="BH27" s="23"/>
      <c r="BI27" s="23"/>
      <c r="BJ27" s="23"/>
      <c r="BK27" s="23"/>
      <c r="BL27" s="23"/>
      <c r="BM27" s="23"/>
      <c r="BN27" s="23"/>
      <c r="BO27" s="23"/>
      <c r="BP27" s="23" t="s">
        <v>455</v>
      </c>
      <c r="BQ27" s="175" t="str">
        <f t="shared" si="14"/>
        <v/>
      </c>
      <c r="BR27" s="23" t="str">
        <f>IFERROR(VLOOKUP(BQ27,'LTP '!$R$4:$S$86,2,0),"")</f>
        <v/>
      </c>
      <c r="BS27" s="23"/>
      <c r="BT27" s="23"/>
      <c r="BU27" s="23"/>
      <c r="BV27" s="23"/>
      <c r="BW27" s="23"/>
      <c r="BX27" s="23"/>
      <c r="BY27" s="23"/>
      <c r="BZ27" s="23"/>
      <c r="CA27" s="23">
        <f t="shared" si="21"/>
        <v>0</v>
      </c>
      <c r="CB27" s="115" t="str">
        <f t="shared" si="22"/>
        <v/>
      </c>
      <c r="CC27" s="23"/>
      <c r="CD27" s="23"/>
      <c r="CE27" s="2">
        <f t="shared" si="15"/>
        <v>1</v>
      </c>
      <c r="CF27" s="23"/>
      <c r="CG27" s="23"/>
      <c r="CH27" s="23"/>
      <c r="CI27" s="23"/>
      <c r="CJ27" s="23"/>
      <c r="CK27" s="23"/>
      <c r="CL27" s="23"/>
      <c r="CM27" s="23"/>
      <c r="CN27" s="23"/>
      <c r="CO27" s="207"/>
      <c r="CP27" s="207"/>
      <c r="CQ27" s="207"/>
      <c r="CR27" s="207"/>
      <c r="CS27" s="53"/>
      <c r="CT27" s="53"/>
      <c r="CU27" s="53"/>
      <c r="CV27" s="53"/>
      <c r="CW27" s="190"/>
      <c r="CX27" s="190"/>
      <c r="CY27" s="190"/>
      <c r="DG27" s="105"/>
      <c r="DH27" s="105"/>
      <c r="DI27" s="105"/>
      <c r="DJ27" s="105"/>
      <c r="DK27" s="105"/>
      <c r="DL27" s="105"/>
      <c r="DM27" s="105"/>
      <c r="DN27" s="105"/>
      <c r="DO27" s="105"/>
      <c r="DP27" s="105"/>
    </row>
    <row r="28" spans="1:120" x14ac:dyDescent="0.3">
      <c r="A28" s="2" t="s">
        <v>93</v>
      </c>
      <c r="B28" s="2" t="s">
        <v>190</v>
      </c>
      <c r="D28" s="2" t="s">
        <v>466</v>
      </c>
      <c r="E28" s="177" t="s">
        <v>467</v>
      </c>
      <c r="F28" s="178">
        <v>1</v>
      </c>
      <c r="G28" s="178"/>
      <c r="H28" s="178"/>
      <c r="I28" s="178"/>
      <c r="J28" s="178">
        <f>F28</f>
        <v>1</v>
      </c>
      <c r="K28" s="178"/>
      <c r="L28" s="178"/>
      <c r="M28" s="178"/>
      <c r="N28" s="178"/>
      <c r="O28" s="177"/>
      <c r="P28" s="177"/>
      <c r="Q28" s="177">
        <v>2023</v>
      </c>
      <c r="R28" s="177">
        <v>2030</v>
      </c>
      <c r="S28" s="177" t="s">
        <v>881</v>
      </c>
      <c r="T28" s="177">
        <v>2030</v>
      </c>
      <c r="U28" s="177" cm="1">
        <f t="array" ref="U28">INDEX($Z$11:$BN$11,MATCH(TRUE,INDEX(Z28:BN28&lt;&gt;0,),0))</f>
        <v>2032</v>
      </c>
      <c r="V28" s="179">
        <f t="shared" ref="V28:V35" si="24">SUMPRODUCT(J28:M28,$J$8:$M$8)</f>
        <v>4000</v>
      </c>
      <c r="W28" s="175"/>
      <c r="X28" s="175">
        <f t="shared" si="17"/>
        <v>3.6441146982332411</v>
      </c>
      <c r="Y28" s="180">
        <f>$V28*'Cost inputs'!$B$60/1000000</f>
        <v>2.7715951044761602</v>
      </c>
      <c r="Z28" s="177"/>
      <c r="AA28" s="177"/>
      <c r="AB28" s="177"/>
      <c r="AC28" s="177"/>
      <c r="AD28" s="177"/>
      <c r="AE28" s="177"/>
      <c r="AF28" s="177"/>
      <c r="AG28" s="180">
        <f>0.1*$Y28*'Cost inputs'!M$10</f>
        <v>0.35452035200245563</v>
      </c>
      <c r="AH28" s="180">
        <f>0.9*$Y28*'Cost inputs'!N$10</f>
        <v>3.2895943462307855</v>
      </c>
      <c r="AI28" s="177"/>
      <c r="AJ28" s="177"/>
      <c r="AK28" s="177"/>
      <c r="AL28" s="177"/>
      <c r="AM28" s="177"/>
      <c r="AN28" s="177"/>
      <c r="AO28" s="177"/>
      <c r="AP28" s="177"/>
      <c r="AQ28" s="177"/>
      <c r="AR28" s="177"/>
      <c r="AS28" s="177"/>
      <c r="AT28" s="177"/>
      <c r="AU28" s="208"/>
      <c r="AV28" s="208"/>
      <c r="AW28" s="208"/>
      <c r="AX28" s="208"/>
      <c r="AY28" s="208"/>
      <c r="AZ28" s="208"/>
      <c r="BA28" s="208"/>
      <c r="BB28" s="208"/>
      <c r="BC28" s="208"/>
      <c r="BD28" s="208"/>
      <c r="BE28" s="208"/>
      <c r="BF28" s="180"/>
      <c r="BG28" s="177"/>
      <c r="BH28" s="180"/>
      <c r="BI28" s="180"/>
      <c r="BJ28" s="180"/>
      <c r="BK28" s="23"/>
      <c r="BL28" s="23"/>
      <c r="BM28" s="23"/>
      <c r="BN28" s="23"/>
      <c r="BO28" s="23"/>
      <c r="BP28" s="23" t="s">
        <v>449</v>
      </c>
      <c r="BQ28" s="175" t="str">
        <f t="shared" si="14"/>
        <v/>
      </c>
      <c r="BR28" s="23" t="str">
        <f>IFERROR(VLOOKUP(BQ28,'LTP '!$R$4:$S$86,2,0),"")</f>
        <v/>
      </c>
      <c r="BS28" s="23"/>
      <c r="BT28" s="23"/>
      <c r="BU28" s="23"/>
      <c r="BV28" s="23"/>
      <c r="BW28" s="23"/>
      <c r="BX28" s="23"/>
      <c r="BY28" s="23"/>
      <c r="BZ28" s="23"/>
      <c r="CA28" s="23">
        <f t="shared" si="21"/>
        <v>3.6441146982332411</v>
      </c>
      <c r="CB28" s="115">
        <f t="shared" si="22"/>
        <v>911.02867455831029</v>
      </c>
      <c r="CC28" s="23"/>
      <c r="CD28" s="23"/>
      <c r="CE28" s="2">
        <f t="shared" si="15"/>
        <v>1</v>
      </c>
      <c r="CF28" s="23"/>
      <c r="CG28" s="23"/>
      <c r="CH28" s="23"/>
      <c r="CI28" s="23"/>
      <c r="CJ28" s="23"/>
      <c r="CK28" s="23"/>
      <c r="CL28" s="23"/>
      <c r="CM28" s="23"/>
      <c r="CN28" s="23"/>
      <c r="CO28" s="207"/>
      <c r="CP28" s="207"/>
      <c r="CQ28" s="207"/>
      <c r="CR28" s="207"/>
      <c r="CS28" s="53"/>
      <c r="CT28" s="53"/>
      <c r="CU28" s="53"/>
      <c r="CV28" s="53"/>
      <c r="CW28" s="190"/>
      <c r="CX28" s="190"/>
      <c r="CY28" s="190"/>
      <c r="DG28" s="105"/>
      <c r="DH28" s="105"/>
      <c r="DI28" s="105"/>
      <c r="DJ28" s="105"/>
      <c r="DK28" s="105"/>
      <c r="DL28" s="105"/>
      <c r="DM28" s="105"/>
      <c r="DN28" s="105"/>
      <c r="DO28" s="105"/>
      <c r="DP28" s="105"/>
    </row>
    <row r="29" spans="1:120" x14ac:dyDescent="0.3">
      <c r="A29" s="177" t="s">
        <v>468</v>
      </c>
      <c r="B29" s="2" t="s">
        <v>190</v>
      </c>
      <c r="D29" s="2" t="s">
        <v>466</v>
      </c>
      <c r="E29" s="177" t="s">
        <v>469</v>
      </c>
      <c r="F29" s="178">
        <f>7015/4000</f>
        <v>1.7537499999999999</v>
      </c>
      <c r="G29" s="178"/>
      <c r="H29" s="178"/>
      <c r="I29" s="178"/>
      <c r="J29" s="178">
        <f>F29</f>
        <v>1.7537499999999999</v>
      </c>
      <c r="K29" s="178"/>
      <c r="L29" s="178"/>
      <c r="M29" s="178"/>
      <c r="N29" s="178"/>
      <c r="O29" s="177"/>
      <c r="P29" s="177"/>
      <c r="Q29" s="177">
        <v>2023</v>
      </c>
      <c r="R29" s="177">
        <v>2027</v>
      </c>
      <c r="S29" s="177" t="s">
        <v>881</v>
      </c>
      <c r="T29" s="177">
        <v>2027</v>
      </c>
      <c r="U29" s="177" cm="1">
        <f t="array" ref="U29">INDEX($Z$11:$BN$11,MATCH(TRUE,INDEX(Z29:BN29&lt;&gt;0,),0))</f>
        <v>2029</v>
      </c>
      <c r="V29" s="179">
        <f t="shared" si="24"/>
        <v>7015</v>
      </c>
      <c r="W29" s="175"/>
      <c r="X29" s="175">
        <f t="shared" si="17"/>
        <v>5.8315462731254399</v>
      </c>
      <c r="Y29" s="180">
        <f>$V29*'Cost inputs'!$B$60/1000000</f>
        <v>4.8606849144750663</v>
      </c>
      <c r="Z29" s="177"/>
      <c r="AA29" s="177"/>
      <c r="AB29" s="177"/>
      <c r="AC29" s="177"/>
      <c r="AD29" s="180">
        <f>0.1*$Y29*'Cost inputs'!J$10</f>
        <v>0.5673262256178071</v>
      </c>
      <c r="AE29" s="180">
        <f>0.9*$Y29*'Cost inputs'!K$10</f>
        <v>5.2642200475076324</v>
      </c>
      <c r="AF29" s="177"/>
      <c r="AG29" s="177"/>
      <c r="AH29" s="177"/>
      <c r="AI29" s="177"/>
      <c r="AJ29" s="177"/>
      <c r="AK29" s="177"/>
      <c r="AL29" s="177"/>
      <c r="AM29" s="177"/>
      <c r="AN29" s="177"/>
      <c r="AO29" s="177"/>
      <c r="AP29" s="177"/>
      <c r="AQ29" s="177"/>
      <c r="AR29" s="208"/>
      <c r="AS29" s="208"/>
      <c r="AT29" s="208"/>
      <c r="AU29" s="208"/>
      <c r="AV29" s="208"/>
      <c r="AW29" s="208"/>
      <c r="AX29" s="208"/>
      <c r="AY29" s="208"/>
      <c r="AZ29" s="208"/>
      <c r="BA29" s="208"/>
      <c r="BB29" s="208"/>
      <c r="BC29" s="208"/>
      <c r="BD29" s="208"/>
      <c r="BE29" s="208"/>
      <c r="BF29" s="180"/>
      <c r="BG29" s="177"/>
      <c r="BH29" s="180"/>
      <c r="BI29" s="180"/>
      <c r="BJ29" s="180"/>
      <c r="BK29" s="23"/>
      <c r="BL29" s="23"/>
      <c r="BM29" s="23"/>
      <c r="BN29" s="23"/>
      <c r="BO29" s="23"/>
      <c r="BP29" s="23" t="s">
        <v>449</v>
      </c>
      <c r="BQ29" s="175" t="str">
        <f t="shared" si="14"/>
        <v/>
      </c>
      <c r="BR29" s="23" t="str">
        <f>IFERROR(VLOOKUP(BQ29,'LTP '!$R$4:$S$86,2,0),"")</f>
        <v/>
      </c>
      <c r="BS29" s="23"/>
      <c r="BT29" s="23"/>
      <c r="BU29" s="23"/>
      <c r="BV29" s="23"/>
      <c r="BW29" s="23"/>
      <c r="BX29" s="23"/>
      <c r="BY29" s="23"/>
      <c r="BZ29" s="23"/>
      <c r="CA29" s="23">
        <f t="shared" si="21"/>
        <v>5.8315462731254399</v>
      </c>
      <c r="CB29" s="115">
        <f t="shared" si="22"/>
        <v>831.29668897012687</v>
      </c>
      <c r="CC29" s="23"/>
      <c r="CD29" s="23"/>
      <c r="CE29" s="2">
        <f t="shared" si="15"/>
        <v>1</v>
      </c>
      <c r="CF29" s="23"/>
      <c r="CG29" s="23"/>
      <c r="CH29" s="23"/>
      <c r="CI29" s="23"/>
      <c r="CJ29" s="23"/>
      <c r="CK29" s="23"/>
      <c r="CL29" s="23"/>
      <c r="CM29" s="23"/>
      <c r="CN29" s="23"/>
      <c r="CO29" s="207"/>
      <c r="CP29" s="207"/>
      <c r="CQ29" s="207"/>
      <c r="CR29" s="207"/>
      <c r="CS29" s="53"/>
      <c r="CT29" s="53"/>
      <c r="CU29" s="53"/>
      <c r="CV29" s="53"/>
      <c r="CW29" s="190"/>
      <c r="CX29" s="190"/>
      <c r="CY29" s="190"/>
      <c r="DG29" s="105"/>
      <c r="DH29" s="105"/>
      <c r="DI29" s="105"/>
      <c r="DJ29" s="105"/>
      <c r="DK29" s="105"/>
      <c r="DL29" s="105"/>
      <c r="DM29" s="105"/>
      <c r="DN29" s="105"/>
      <c r="DO29" s="105"/>
      <c r="DP29" s="105"/>
    </row>
    <row r="30" spans="1:120" x14ac:dyDescent="0.3">
      <c r="A30" s="177" t="s">
        <v>468</v>
      </c>
      <c r="B30" s="2" t="s">
        <v>190</v>
      </c>
      <c r="D30" s="2" t="s">
        <v>466</v>
      </c>
      <c r="E30" s="177" t="s">
        <v>470</v>
      </c>
      <c r="F30" s="178">
        <v>0.75</v>
      </c>
      <c r="G30" s="178"/>
      <c r="H30" s="178"/>
      <c r="I30" s="178"/>
      <c r="J30" s="178">
        <f>F30</f>
        <v>0.75</v>
      </c>
      <c r="K30" s="178"/>
      <c r="L30" s="178"/>
      <c r="M30" s="178"/>
      <c r="N30" s="178"/>
      <c r="O30" s="177"/>
      <c r="P30" s="177"/>
      <c r="Q30" s="177">
        <v>2023</v>
      </c>
      <c r="R30" s="177">
        <v>2027</v>
      </c>
      <c r="S30" s="177" t="s">
        <v>881</v>
      </c>
      <c r="T30" s="177">
        <v>2027</v>
      </c>
      <c r="U30" s="177" cm="1">
        <f t="array" ref="U30">INDEX($Z$11:$BN$11,MATCH(TRUE,INDEX(Z30:BN30&lt;&gt;0,),0))</f>
        <v>2029</v>
      </c>
      <c r="V30" s="179">
        <f t="shared" si="24"/>
        <v>3000</v>
      </c>
      <c r="W30" s="176"/>
      <c r="X30" s="175">
        <f t="shared" si="17"/>
        <v>2.4938900669103803</v>
      </c>
      <c r="Y30" s="180">
        <f>$V30*'Cost inputs'!$B$60/1000000</f>
        <v>2.0786963283571205</v>
      </c>
      <c r="Z30" s="209"/>
      <c r="AA30" s="209"/>
      <c r="AB30" s="209"/>
      <c r="AC30" s="209"/>
      <c r="AD30" s="180">
        <f>0.1*$Y30*'Cost inputs'!J$10</f>
        <v>0.24261991116941148</v>
      </c>
      <c r="AE30" s="180">
        <f>0.9*$Y30*'Cost inputs'!K$10</f>
        <v>2.2512701557409689</v>
      </c>
      <c r="AF30" s="209"/>
      <c r="AG30" s="177"/>
      <c r="AH30" s="177"/>
      <c r="AI30" s="177"/>
      <c r="AJ30" s="177"/>
      <c r="AK30" s="177"/>
      <c r="AL30" s="177"/>
      <c r="AM30" s="177"/>
      <c r="AN30" s="177"/>
      <c r="AO30" s="177"/>
      <c r="AP30" s="177"/>
      <c r="AQ30" s="177"/>
      <c r="AR30" s="177"/>
      <c r="AS30" s="177"/>
      <c r="AT30" s="177"/>
      <c r="AU30" s="177"/>
      <c r="AV30" s="177"/>
      <c r="AW30" s="177"/>
      <c r="AX30" s="177"/>
      <c r="AY30" s="177"/>
      <c r="AZ30" s="177"/>
      <c r="BA30" s="177"/>
      <c r="BB30" s="177"/>
      <c r="BC30" s="177"/>
      <c r="BD30" s="177"/>
      <c r="BE30" s="177"/>
      <c r="BF30" s="180"/>
      <c r="BG30" s="177"/>
      <c r="BH30" s="180"/>
      <c r="BI30" s="180"/>
      <c r="BJ30" s="180"/>
      <c r="BK30" s="23"/>
      <c r="BL30" s="23"/>
      <c r="BM30" s="23"/>
      <c r="BN30" s="23"/>
      <c r="BO30" s="23"/>
      <c r="BP30" s="23" t="s">
        <v>449</v>
      </c>
      <c r="BQ30" s="175" t="str">
        <f t="shared" si="14"/>
        <v/>
      </c>
      <c r="BR30" s="23" t="str">
        <f>IFERROR(VLOOKUP(BQ30,'LTP '!$R$4:$S$86,2,0),"")</f>
        <v/>
      </c>
      <c r="BS30" s="23"/>
      <c r="BT30" s="23"/>
      <c r="BU30" s="23"/>
      <c r="BV30" s="23"/>
      <c r="BW30" s="23"/>
      <c r="BX30" s="23"/>
      <c r="BY30" s="23"/>
      <c r="BZ30" s="23"/>
      <c r="CA30" s="23">
        <f t="shared" si="21"/>
        <v>2.4938900669103803</v>
      </c>
      <c r="CB30" s="115">
        <f t="shared" si="22"/>
        <v>831.29668897012675</v>
      </c>
      <c r="CC30" s="23"/>
      <c r="CD30" s="23"/>
      <c r="CE30" s="2">
        <f t="shared" si="15"/>
        <v>1</v>
      </c>
      <c r="CF30" s="23"/>
      <c r="CG30" s="23"/>
      <c r="CH30" s="23"/>
      <c r="CI30" s="23"/>
      <c r="CJ30" s="23"/>
      <c r="CK30" s="23"/>
      <c r="CL30" s="23"/>
      <c r="CM30" s="23"/>
      <c r="CN30" s="23"/>
      <c r="CO30" s="207"/>
      <c r="CP30" s="207"/>
      <c r="CQ30" s="207"/>
      <c r="CR30" s="207"/>
      <c r="CS30" s="53"/>
      <c r="CT30" s="53"/>
      <c r="CU30" s="53"/>
      <c r="CV30" s="53"/>
      <c r="CW30" s="190"/>
      <c r="CX30" s="190"/>
      <c r="CY30" s="190"/>
      <c r="DG30" s="105"/>
      <c r="DH30" s="105"/>
      <c r="DI30" s="105"/>
      <c r="DJ30" s="105"/>
      <c r="DK30" s="105"/>
      <c r="DL30" s="105"/>
      <c r="DM30" s="105"/>
      <c r="DN30" s="105"/>
      <c r="DO30" s="105"/>
      <c r="DP30" s="105"/>
    </row>
    <row r="31" spans="1:120" x14ac:dyDescent="0.3">
      <c r="A31" s="2" t="s">
        <v>871</v>
      </c>
      <c r="B31" s="2" t="s">
        <v>190</v>
      </c>
      <c r="D31" s="2" t="s">
        <v>872</v>
      </c>
      <c r="E31" s="2" t="s">
        <v>873</v>
      </c>
      <c r="F31" s="105">
        <v>1</v>
      </c>
      <c r="G31" s="105"/>
      <c r="H31" s="105"/>
      <c r="I31" s="105"/>
      <c r="J31" s="105">
        <f t="shared" ref="J31" si="25">F31</f>
        <v>1</v>
      </c>
      <c r="K31" s="105"/>
      <c r="L31" s="105"/>
      <c r="M31" s="105"/>
      <c r="N31" s="105"/>
      <c r="Q31" s="2">
        <v>2023</v>
      </c>
      <c r="R31" s="2">
        <v>2042</v>
      </c>
      <c r="S31" s="2" t="s">
        <v>940</v>
      </c>
      <c r="U31" s="5"/>
      <c r="V31" s="174">
        <f t="shared" si="24"/>
        <v>4000</v>
      </c>
      <c r="W31" s="176"/>
      <c r="X31" s="175">
        <f t="shared" ref="X31" si="26">SUM(Z31:AI31)</f>
        <v>0</v>
      </c>
      <c r="Y31" s="23">
        <f>$V31*'Cost inputs'!$B$60/1000000</f>
        <v>2.7715951044761602</v>
      </c>
      <c r="Z31" s="23"/>
      <c r="AA31" s="201">
        <f>'sequential acq phasing'!AS28*$Y31*'Cost inputs'!G$10</f>
        <v>0</v>
      </c>
      <c r="AB31" s="201">
        <f>'sequential acq phasing'!AT28*$Y31*'Cost inputs'!H$10</f>
        <v>0</v>
      </c>
      <c r="AC31" s="201">
        <f>'sequential acq phasing'!AU28*$Y31*'Cost inputs'!I$10</f>
        <v>0</v>
      </c>
      <c r="AD31" s="201">
        <f>'sequential acq phasing'!AV28*$Y31*'Cost inputs'!J$10</f>
        <v>0</v>
      </c>
      <c r="AE31" s="201">
        <f>'sequential acq phasing'!AW28*$Y31*'Cost inputs'!K$10</f>
        <v>0</v>
      </c>
      <c r="AF31" s="201">
        <f>'sequential acq phasing'!AX28*$Y31*'Cost inputs'!L$10</f>
        <v>0</v>
      </c>
      <c r="AG31" s="201">
        <f>'sequential acq phasing'!AY28*$Y31*'Cost inputs'!M$10</f>
        <v>0</v>
      </c>
      <c r="AH31" s="201">
        <f>'sequential acq phasing'!AZ28*$Y31*'Cost inputs'!N$10</f>
        <v>0</v>
      </c>
      <c r="AI31" s="201">
        <f>'sequential acq phasing'!BA28*$Y31*'Cost inputs'!O$10</f>
        <v>0</v>
      </c>
      <c r="AJ31" s="201">
        <f>'sequential acq phasing'!BB28*$Y31*'Cost inputs'!P$10</f>
        <v>0</v>
      </c>
      <c r="AK31" s="201">
        <f>'sequential acq phasing'!BC28*$Y31*'Cost inputs'!Q$10</f>
        <v>0</v>
      </c>
      <c r="AL31" s="201">
        <f>'sequential acq phasing'!BD28*$Y31*'Cost inputs'!R$10</f>
        <v>0</v>
      </c>
      <c r="AM31" s="201">
        <f>'sequential acq phasing'!BE28*$Y31*'Cost inputs'!S$10</f>
        <v>0</v>
      </c>
      <c r="AN31" s="201">
        <f>'sequential acq phasing'!BF28*$Y31*'Cost inputs'!T$10</f>
        <v>0</v>
      </c>
      <c r="AO31" s="201">
        <f>'sequential acq phasing'!BG28*$Y31*'Cost inputs'!U$10</f>
        <v>0</v>
      </c>
      <c r="AP31" s="201">
        <f>'sequential acq phasing'!BH28*$Y31*'Cost inputs'!V$10</f>
        <v>0</v>
      </c>
      <c r="AQ31" s="201">
        <f>'sequential acq phasing'!BI28*$Y31*'Cost inputs'!W$10</f>
        <v>0</v>
      </c>
      <c r="AR31" s="201">
        <f>'sequential acq phasing'!BJ28*$Y31*'Cost inputs'!X$10</f>
        <v>0.49600549741003458</v>
      </c>
      <c r="AS31" s="201">
        <f>'sequential acq phasing'!BK28*$Y31*'Cost inputs'!Y$10</f>
        <v>4.6024350104677101</v>
      </c>
      <c r="AT31" s="201">
        <f>'sequential acq phasing'!BL28*$Y31*'Cost inputs'!Z$10</f>
        <v>0</v>
      </c>
      <c r="AU31" s="201">
        <f>'sequential acq phasing'!BM28*$Y31*'Cost inputs'!AA$10</f>
        <v>0</v>
      </c>
      <c r="AV31" s="201"/>
      <c r="BF31" s="23"/>
      <c r="BH31" s="23"/>
      <c r="BI31" s="23"/>
      <c r="BJ31" s="23"/>
      <c r="BK31" s="23"/>
      <c r="BL31" s="23"/>
      <c r="BM31" s="23"/>
      <c r="BN31" s="23"/>
      <c r="BO31" s="23"/>
      <c r="BP31" s="23" t="s">
        <v>449</v>
      </c>
      <c r="BQ31" s="175" t="str">
        <f t="shared" si="14"/>
        <v/>
      </c>
      <c r="BR31" s="23"/>
      <c r="BS31" s="23"/>
      <c r="BT31" s="23"/>
      <c r="BU31" s="23"/>
      <c r="BV31" s="23"/>
      <c r="BW31" s="23"/>
      <c r="BX31" s="23"/>
      <c r="BY31" s="23"/>
      <c r="BZ31" s="23"/>
      <c r="CA31" s="23"/>
      <c r="CB31" s="115"/>
      <c r="CC31" s="23"/>
      <c r="CD31" s="23"/>
      <c r="CF31" s="23"/>
      <c r="CG31" s="23"/>
      <c r="CH31" s="105"/>
      <c r="CI31" s="105"/>
      <c r="CJ31" s="105"/>
      <c r="CL31" s="23"/>
      <c r="CM31" s="23"/>
      <c r="CN31" s="23"/>
      <c r="CO31" s="207"/>
      <c r="CP31" s="207"/>
      <c r="CQ31" s="207"/>
      <c r="CR31" s="207"/>
      <c r="CS31" s="53"/>
      <c r="CT31" s="53"/>
      <c r="CU31" s="53"/>
      <c r="CV31" s="53"/>
      <c r="CW31" s="190"/>
      <c r="CX31" s="190"/>
      <c r="CY31" s="190"/>
      <c r="DG31" s="105"/>
      <c r="DH31" s="105"/>
      <c r="DI31" s="105"/>
      <c r="DJ31" s="105"/>
      <c r="DK31" s="105"/>
      <c r="DL31" s="105"/>
      <c r="DM31" s="105"/>
      <c r="DN31" s="105"/>
      <c r="DO31" s="105"/>
      <c r="DP31" s="105"/>
    </row>
    <row r="32" spans="1:120" x14ac:dyDescent="0.3">
      <c r="A32" s="2" t="s">
        <v>471</v>
      </c>
      <c r="B32" s="2" t="s">
        <v>190</v>
      </c>
      <c r="D32" s="2" t="s">
        <v>466</v>
      </c>
      <c r="E32" s="2" t="s">
        <v>472</v>
      </c>
      <c r="F32" s="105"/>
      <c r="G32" s="105"/>
      <c r="H32" s="105"/>
      <c r="I32" s="105"/>
      <c r="J32" s="105">
        <v>0.75</v>
      </c>
      <c r="K32" s="105"/>
      <c r="L32" s="105"/>
      <c r="M32" s="105"/>
      <c r="N32" s="105"/>
      <c r="Q32" s="2" t="s">
        <v>471</v>
      </c>
      <c r="R32" s="2" t="s">
        <v>876</v>
      </c>
      <c r="U32" s="2" cm="1">
        <f t="array" ref="U32">INDEX($Z$11:$BN$11,MATCH(TRUE,INDEX(Z32:BN32&lt;&gt;0,),0))</f>
        <v>2028</v>
      </c>
      <c r="V32" s="174">
        <f t="shared" si="24"/>
        <v>3000</v>
      </c>
      <c r="W32" s="175"/>
      <c r="X32" s="175">
        <f t="shared" si="17"/>
        <v>2.4189040416201557</v>
      </c>
      <c r="Y32" s="23">
        <f>$V32*'Cost inputs'!$B$60/1000000</f>
        <v>2.0786963283571205</v>
      </c>
      <c r="AC32" s="23">
        <f>0.1*$Y32*'Cost inputs'!I$10</f>
        <v>0.23532484109545249</v>
      </c>
      <c r="AD32" s="23">
        <f>0.9*$Y32*'Cost inputs'!J$10</f>
        <v>2.1835792005247034</v>
      </c>
      <c r="AF32" s="181"/>
      <c r="AG32" s="181"/>
      <c r="AH32" s="181"/>
      <c r="AI32" s="181"/>
      <c r="AJ32" s="181"/>
      <c r="AK32" s="181"/>
      <c r="AL32" s="181"/>
      <c r="AM32" s="181"/>
      <c r="AN32" s="181"/>
      <c r="AO32" s="181"/>
      <c r="AP32" s="181"/>
      <c r="BF32" s="23"/>
      <c r="BH32" s="23"/>
      <c r="BI32" s="23"/>
      <c r="BJ32" s="23"/>
      <c r="BK32" s="23"/>
      <c r="BL32" s="23"/>
      <c r="BM32" s="23"/>
      <c r="BN32" s="23"/>
      <c r="BO32" s="23"/>
      <c r="BP32" s="23" t="s">
        <v>449</v>
      </c>
      <c r="BQ32" s="175" t="str">
        <f t="shared" si="14"/>
        <v/>
      </c>
      <c r="BR32" s="23" t="str">
        <f>IFERROR(VLOOKUP(BQ32,'LTP '!$R$4:$S$86,2,0),"")</f>
        <v/>
      </c>
      <c r="BS32" s="23"/>
      <c r="BT32" s="23"/>
      <c r="BU32" s="23"/>
      <c r="BV32" s="23"/>
      <c r="BW32" s="23"/>
      <c r="BX32" s="23"/>
      <c r="BY32" s="23"/>
      <c r="BZ32" s="23"/>
      <c r="CA32" s="23">
        <f t="shared" si="21"/>
        <v>2.4189040416201557</v>
      </c>
      <c r="CB32" s="115">
        <f t="shared" si="22"/>
        <v>806.30134720671856</v>
      </c>
      <c r="CC32" s="23"/>
      <c r="CD32" s="23"/>
      <c r="CE32" s="2">
        <f t="shared" ref="CE32:CE41" si="27">COUNTIF($B$291:$B$319,B32)</f>
        <v>1</v>
      </c>
      <c r="CF32" s="23"/>
      <c r="CG32" s="23"/>
      <c r="CH32" s="23"/>
      <c r="CI32" s="23"/>
      <c r="CJ32" s="23"/>
      <c r="CK32" s="23"/>
      <c r="CL32" s="23"/>
      <c r="CM32" s="23"/>
      <c r="CN32" s="23"/>
      <c r="CO32" s="207"/>
      <c r="CP32" s="207"/>
      <c r="CQ32" s="207"/>
      <c r="CR32" s="207"/>
      <c r="CS32" s="53"/>
      <c r="CT32" s="53"/>
      <c r="CU32" s="53"/>
      <c r="CV32" s="53"/>
      <c r="CW32" s="190"/>
      <c r="CX32" s="190"/>
      <c r="CY32" s="190"/>
      <c r="DG32" s="105"/>
      <c r="DH32" s="105"/>
      <c r="DI32" s="105"/>
      <c r="DJ32" s="105"/>
      <c r="DK32" s="105"/>
      <c r="DL32" s="105"/>
      <c r="DM32" s="105"/>
      <c r="DN32" s="105"/>
      <c r="DO32" s="105"/>
      <c r="DP32" s="105"/>
    </row>
    <row r="33" spans="1:120" x14ac:dyDescent="0.3">
      <c r="A33" s="2" t="s">
        <v>471</v>
      </c>
      <c r="B33" s="2" t="s">
        <v>190</v>
      </c>
      <c r="D33" s="2" t="s">
        <v>466</v>
      </c>
      <c r="E33" s="2" t="s">
        <v>473</v>
      </c>
      <c r="G33" s="105"/>
      <c r="H33" s="105"/>
      <c r="I33" s="105"/>
      <c r="J33" s="105">
        <v>2</v>
      </c>
      <c r="K33" s="105"/>
      <c r="L33" s="105"/>
      <c r="M33" s="105"/>
      <c r="N33" s="105" t="s">
        <v>474</v>
      </c>
      <c r="Q33" s="2" t="s">
        <v>471</v>
      </c>
      <c r="R33" s="2" t="s">
        <v>876</v>
      </c>
      <c r="U33" s="2" cm="1">
        <f t="array" ref="U33">INDEX($Z$11:$BN$11,MATCH(TRUE,INDEX(Z33:BN33&lt;&gt;0,),0))</f>
        <v>2028</v>
      </c>
      <c r="V33" s="174">
        <f t="shared" si="24"/>
        <v>8000</v>
      </c>
      <c r="W33" s="175"/>
      <c r="X33" s="175">
        <f t="shared" si="17"/>
        <v>6.3756799041385026</v>
      </c>
      <c r="Y33" s="23">
        <f>(1-'Cost inputs'!$B$79/'Cost inputs'!$B$81)*'Cost inputs'!$B$60*V33/1000000</f>
        <v>5.2799284694063191</v>
      </c>
      <c r="Z33" s="23"/>
      <c r="AA33" s="23"/>
      <c r="AB33" s="23"/>
      <c r="AC33" s="23">
        <f>0.1*$Y33*'Cost inputs'!I$10</f>
        <v>0.59772960153366683</v>
      </c>
      <c r="AD33" s="23">
        <f>0.1*$Y33*'Cost inputs'!J$10</f>
        <v>0.6162592191812104</v>
      </c>
      <c r="AE33" s="23">
        <f>0.4*$Y33*'Cost inputs'!K$10</f>
        <v>2.5414530199033116</v>
      </c>
      <c r="AF33" s="23">
        <f>0.4*$Y33*'Cost inputs'!L$10</f>
        <v>2.620238063520314</v>
      </c>
      <c r="AG33" s="23"/>
      <c r="AH33" s="23"/>
      <c r="AI33" s="23"/>
      <c r="AU33" s="181"/>
      <c r="AV33" s="181"/>
      <c r="AW33" s="181"/>
      <c r="AX33" s="181"/>
      <c r="AY33" s="181"/>
      <c r="AZ33" s="181"/>
      <c r="BA33" s="181"/>
      <c r="BB33" s="181"/>
      <c r="BC33" s="181"/>
      <c r="BD33" s="181"/>
      <c r="BE33" s="181"/>
      <c r="BF33" s="23"/>
      <c r="BH33" s="23"/>
      <c r="BI33" s="23"/>
      <c r="BJ33" s="23"/>
      <c r="BK33" s="23"/>
      <c r="BL33" s="23"/>
      <c r="BM33" s="23"/>
      <c r="BN33" s="23"/>
      <c r="BO33" s="23"/>
      <c r="BP33" s="23" t="s">
        <v>449</v>
      </c>
      <c r="BQ33" s="175" t="str">
        <f t="shared" si="14"/>
        <v/>
      </c>
      <c r="BR33" s="23" t="str">
        <f>IFERROR(VLOOKUP(BQ33,'LTP '!$R$4:$S$86,2,0),"")</f>
        <v/>
      </c>
      <c r="BS33" s="23"/>
      <c r="BT33" s="23"/>
      <c r="BU33" s="23"/>
      <c r="BV33" s="23"/>
      <c r="BW33" s="23"/>
      <c r="BX33" s="23"/>
      <c r="BY33" s="23"/>
      <c r="BZ33" s="23"/>
      <c r="CA33" s="23">
        <f t="shared" si="21"/>
        <v>6.3756799041385026</v>
      </c>
      <c r="CB33" s="115">
        <f t="shared" si="22"/>
        <v>796.95998801731275</v>
      </c>
      <c r="CC33" s="23"/>
      <c r="CD33" s="23"/>
      <c r="CE33" s="2">
        <f t="shared" si="27"/>
        <v>1</v>
      </c>
      <c r="CF33" s="23"/>
      <c r="CG33" s="23"/>
      <c r="CH33" s="23"/>
      <c r="CI33" s="23"/>
      <c r="CJ33" s="23"/>
      <c r="CK33" s="23"/>
      <c r="CL33" s="23"/>
      <c r="CM33" s="23"/>
      <c r="CN33" s="23"/>
      <c r="CO33" s="207"/>
      <c r="CP33" s="207"/>
      <c r="CQ33" s="207"/>
      <c r="CR33" s="207"/>
      <c r="CS33" s="53"/>
      <c r="CT33" s="53"/>
      <c r="CU33" s="53"/>
      <c r="CV33" s="53"/>
      <c r="CW33" s="190"/>
      <c r="CX33" s="190"/>
      <c r="CY33" s="190"/>
      <c r="DG33" s="105"/>
      <c r="DH33" s="105"/>
      <c r="DI33" s="105"/>
      <c r="DJ33" s="105"/>
      <c r="DK33" s="105"/>
      <c r="DL33" s="105"/>
      <c r="DM33" s="105"/>
      <c r="DN33" s="105"/>
      <c r="DO33" s="105"/>
      <c r="DP33" s="105"/>
    </row>
    <row r="34" spans="1:120" x14ac:dyDescent="0.3">
      <c r="A34" s="2" t="s">
        <v>471</v>
      </c>
      <c r="B34" s="2" t="s">
        <v>191</v>
      </c>
      <c r="D34" s="2" t="s">
        <v>475</v>
      </c>
      <c r="E34" s="2" t="s">
        <v>476</v>
      </c>
      <c r="G34" s="105"/>
      <c r="H34" s="105"/>
      <c r="I34" s="105"/>
      <c r="J34" s="105">
        <v>1</v>
      </c>
      <c r="K34" s="105"/>
      <c r="L34" s="105"/>
      <c r="M34" s="105"/>
      <c r="N34" s="105" t="s">
        <v>477</v>
      </c>
      <c r="Q34" s="2" t="s">
        <v>471</v>
      </c>
      <c r="R34" s="2" t="s">
        <v>876</v>
      </c>
      <c r="U34" s="2" cm="1">
        <f t="array" ref="U34">INDEX($Z$11:$BN$11,MATCH(TRUE,INDEX(Z34:BN34&lt;&gt;0,),0))</f>
        <v>2028</v>
      </c>
      <c r="V34" s="174">
        <f t="shared" si="24"/>
        <v>4000</v>
      </c>
      <c r="X34" s="175">
        <f t="shared" si="17"/>
        <v>3.2252053888268737</v>
      </c>
      <c r="Y34" s="23">
        <f>$V34*'Cost inputs'!$B$60/1000000</f>
        <v>2.7715951044761602</v>
      </c>
      <c r="AC34" s="23">
        <f>0.1*$Y34*'Cost inputs'!I$10</f>
        <v>0.31376645479393661</v>
      </c>
      <c r="AD34" s="23">
        <f>0.9*$Y34*'Cost inputs'!J$10</f>
        <v>2.9114389340329372</v>
      </c>
      <c r="BF34" s="23"/>
      <c r="BO34" s="23"/>
      <c r="BP34" s="23" t="s">
        <v>449</v>
      </c>
      <c r="BQ34" s="175" t="str">
        <f t="shared" si="14"/>
        <v/>
      </c>
      <c r="BR34" s="23" t="str">
        <f>IFERROR(VLOOKUP(BQ34,'LTP '!$R$4:$S$86,2,0),"")</f>
        <v/>
      </c>
      <c r="CA34" s="23">
        <f t="shared" si="21"/>
        <v>3.2252053888268737</v>
      </c>
      <c r="CB34" s="115">
        <f t="shared" si="22"/>
        <v>806.30134720671845</v>
      </c>
      <c r="CE34" s="2">
        <f t="shared" si="27"/>
        <v>1</v>
      </c>
      <c r="CN34" s="23"/>
      <c r="DG34" s="105"/>
      <c r="DH34" s="105"/>
      <c r="DI34" s="105"/>
      <c r="DJ34" s="105"/>
      <c r="DK34" s="105"/>
      <c r="DL34" s="105"/>
      <c r="DM34" s="105"/>
      <c r="DN34" s="105"/>
      <c r="DO34" s="105"/>
      <c r="DP34" s="105"/>
    </row>
    <row r="35" spans="1:120" x14ac:dyDescent="0.3">
      <c r="A35" s="2" t="s">
        <v>471</v>
      </c>
      <c r="B35" s="2" t="s">
        <v>191</v>
      </c>
      <c r="D35" s="2" t="s">
        <v>478</v>
      </c>
      <c r="E35" s="2" t="s">
        <v>479</v>
      </c>
      <c r="F35" s="105"/>
      <c r="G35" s="105"/>
      <c r="H35" s="105"/>
      <c r="J35" s="105"/>
      <c r="K35" s="105"/>
      <c r="L35" s="105"/>
      <c r="M35" s="105">
        <v>2</v>
      </c>
      <c r="N35" s="105" t="s">
        <v>480</v>
      </c>
      <c r="Q35" s="2" t="s">
        <v>471</v>
      </c>
      <c r="U35" s="175"/>
      <c r="V35" s="174">
        <f t="shared" si="24"/>
        <v>4000</v>
      </c>
      <c r="W35" s="175"/>
      <c r="X35" s="175">
        <f t="shared" si="17"/>
        <v>0</v>
      </c>
      <c r="Y35" s="175"/>
      <c r="Z35" s="23"/>
      <c r="AA35" s="23"/>
      <c r="AB35" s="23"/>
      <c r="AC35" s="23"/>
      <c r="AD35" s="23"/>
      <c r="BF35" s="23"/>
      <c r="BH35" s="23"/>
      <c r="BI35" s="23"/>
      <c r="BJ35" s="23"/>
      <c r="BK35" s="23"/>
      <c r="BL35" s="23"/>
      <c r="BM35" s="23"/>
      <c r="BN35" s="23"/>
      <c r="BO35" s="23"/>
      <c r="BP35" s="23" t="s">
        <v>455</v>
      </c>
      <c r="BQ35" s="175" t="str">
        <f t="shared" si="14"/>
        <v/>
      </c>
      <c r="BR35" s="23" t="str">
        <f>IFERROR(VLOOKUP(BQ35,'LTP '!$R$4:$S$86,2,0),"")</f>
        <v/>
      </c>
      <c r="BS35" s="23"/>
      <c r="BT35" s="23"/>
      <c r="BU35" s="23"/>
      <c r="BV35" s="23"/>
      <c r="BW35" s="23"/>
      <c r="BX35" s="23"/>
      <c r="BY35" s="23"/>
      <c r="BZ35" s="23"/>
      <c r="CA35" s="23">
        <f t="shared" si="21"/>
        <v>0</v>
      </c>
      <c r="CB35" s="115" t="str">
        <f t="shared" si="22"/>
        <v/>
      </c>
      <c r="CC35" s="23"/>
      <c r="CD35" s="23"/>
      <c r="CE35" s="2">
        <f t="shared" si="27"/>
        <v>1</v>
      </c>
      <c r="CF35" s="23"/>
      <c r="CG35" s="23"/>
      <c r="CH35" s="23"/>
      <c r="CI35" s="23"/>
      <c r="CJ35" s="23"/>
      <c r="CK35" s="23"/>
      <c r="CL35" s="23"/>
      <c r="CM35" s="23"/>
      <c r="CN35" s="23"/>
      <c r="CO35" s="207"/>
      <c r="CP35" s="207"/>
      <c r="CQ35" s="207"/>
      <c r="CR35" s="207"/>
      <c r="CS35" s="53"/>
      <c r="CT35" s="53"/>
      <c r="CU35" s="53"/>
      <c r="CV35" s="53"/>
      <c r="CW35" s="190"/>
      <c r="CX35" s="190"/>
      <c r="CY35" s="190"/>
      <c r="DG35" s="105"/>
      <c r="DH35" s="105"/>
      <c r="DI35" s="105"/>
      <c r="DJ35" s="105"/>
      <c r="DK35" s="105"/>
      <c r="DL35" s="105"/>
      <c r="DM35" s="105"/>
      <c r="DN35" s="105"/>
      <c r="DO35" s="105"/>
      <c r="DP35" s="105"/>
    </row>
    <row r="36" spans="1:120" x14ac:dyDescent="0.3">
      <c r="A36" s="2" t="s">
        <v>322</v>
      </c>
      <c r="B36" s="2" t="s">
        <v>190</v>
      </c>
      <c r="D36" s="2" t="s">
        <v>450</v>
      </c>
      <c r="E36" s="2" t="s">
        <v>327</v>
      </c>
      <c r="F36" s="105"/>
      <c r="G36" s="105"/>
      <c r="H36" s="105"/>
      <c r="J36" s="105"/>
      <c r="K36" s="105">
        <v>1</v>
      </c>
      <c r="L36" s="105"/>
      <c r="M36" s="105"/>
      <c r="N36" s="105"/>
      <c r="V36" s="175"/>
      <c r="X36" s="175">
        <f t="shared" si="17"/>
        <v>8.6351259999999996</v>
      </c>
      <c r="Y36" s="175"/>
      <c r="Z36" s="181">
        <f>VLOOKUP($E36,'LTP '!$D$4:$N$86,2+Z$11-$Z$11,0)/1000000</f>
        <v>0</v>
      </c>
      <c r="AA36" s="181">
        <v>0.63512599999999997</v>
      </c>
      <c r="AB36" s="181">
        <v>2</v>
      </c>
      <c r="AC36" s="181">
        <f>(9.403463-0.768337-SUM(AA36:AB36))</f>
        <v>6</v>
      </c>
      <c r="AD36" s="181"/>
      <c r="AE36" s="181">
        <f>VLOOKUP($E36,'LTP '!$D$4:$N$86,2+AE$11-$Z$11,0)/1000000</f>
        <v>0</v>
      </c>
      <c r="AF36" s="181">
        <f>VLOOKUP($E36,'LTP '!$D$4:$N$86,2+AF$11-$Z$11,0)/1000000</f>
        <v>0</v>
      </c>
      <c r="AG36" s="181">
        <f>VLOOKUP($E36,'LTP '!$D$4:$N$86,2+AG$11-$Z$11,0)/1000000</f>
        <v>0</v>
      </c>
      <c r="AH36" s="181">
        <f>VLOOKUP($E36,'LTP '!$D$4:$N$86,2+AH$11-$Z$11,0)/1000000</f>
        <v>0</v>
      </c>
      <c r="AI36" s="181">
        <f>VLOOKUP($E36,'LTP '!$D$4:$N$86,2+AI$11-$Z$11,0)/1000000</f>
        <v>0</v>
      </c>
      <c r="BF36" s="23"/>
      <c r="BO36" s="23"/>
      <c r="BP36" s="23" t="s">
        <v>451</v>
      </c>
      <c r="BQ36" s="175" t="str">
        <f t="shared" si="14"/>
        <v>N.009960.06.01 - Metro Park West - develop reserve</v>
      </c>
      <c r="BR36" s="23" t="str">
        <f>IFERROR(VLOOKUP(BQ36,'LTP '!$R$4:$S$86,2,0),"")</f>
        <v>PC3201501 - General park development</v>
      </c>
      <c r="CA36" s="23">
        <f t="shared" si="21"/>
        <v>8.6351259999999996</v>
      </c>
      <c r="CB36" s="115" t="str">
        <f t="shared" si="22"/>
        <v/>
      </c>
      <c r="CE36" s="2">
        <f t="shared" si="27"/>
        <v>1</v>
      </c>
      <c r="CN36" s="23"/>
      <c r="DG36" s="105"/>
      <c r="DH36" s="105"/>
      <c r="DI36" s="105"/>
      <c r="DJ36" s="105"/>
      <c r="DK36" s="105"/>
      <c r="DL36" s="105"/>
      <c r="DM36" s="105"/>
      <c r="DN36" s="105"/>
      <c r="DO36" s="105"/>
      <c r="DP36" s="105"/>
    </row>
    <row r="37" spans="1:120" x14ac:dyDescent="0.3">
      <c r="A37" s="2" t="s">
        <v>322</v>
      </c>
      <c r="B37" s="2" t="s">
        <v>190</v>
      </c>
      <c r="D37" s="2" t="s">
        <v>450</v>
      </c>
      <c r="E37" s="2" t="s">
        <v>328</v>
      </c>
      <c r="F37" s="105"/>
      <c r="G37" s="105"/>
      <c r="H37" s="105"/>
      <c r="J37" s="105">
        <v>1</v>
      </c>
      <c r="K37" s="105"/>
      <c r="L37" s="105"/>
      <c r="M37" s="105"/>
      <c r="N37" s="105"/>
      <c r="V37" s="175"/>
      <c r="X37" s="175">
        <f t="shared" si="17"/>
        <v>0.33360499999999998</v>
      </c>
      <c r="Y37" s="175"/>
      <c r="Z37" s="181">
        <v>0.33360499999999998</v>
      </c>
      <c r="AA37" s="181"/>
      <c r="AB37" s="181">
        <f>VLOOKUP($E37,'LTP '!$D$4:$N$86,2+AB$11-$Z$11,0)/1000000</f>
        <v>0</v>
      </c>
      <c r="AC37" s="181">
        <f>VLOOKUP($E37,'LTP '!$D$4:$N$86,2+AC$11-$Z$11,0)/1000000</f>
        <v>0</v>
      </c>
      <c r="AD37" s="181">
        <f>VLOOKUP($E37,'LTP '!$D$4:$N$86,2+AD$11-$Z$11,0)/1000000</f>
        <v>0</v>
      </c>
      <c r="AE37" s="181">
        <f>VLOOKUP($E37,'LTP '!$D$4:$N$86,2+AE$11-$Z$11,0)/1000000</f>
        <v>0</v>
      </c>
      <c r="AF37" s="181">
        <f>VLOOKUP($E37,'LTP '!$D$4:$N$86,2+AF$11-$Z$11,0)/1000000</f>
        <v>0</v>
      </c>
      <c r="AG37" s="181">
        <f>VLOOKUP($E37,'LTP '!$D$4:$N$86,2+AG$11-$Z$11,0)/1000000</f>
        <v>0</v>
      </c>
      <c r="AH37" s="181">
        <f>VLOOKUP($E37,'LTP '!$D$4:$N$86,2+AH$11-$Z$11,0)/1000000</f>
        <v>0</v>
      </c>
      <c r="AI37" s="181">
        <f>VLOOKUP($E37,'LTP '!$D$4:$N$86,2+AI$11-$Z$11,0)/1000000</f>
        <v>0</v>
      </c>
      <c r="BF37" s="23"/>
      <c r="BH37" s="23"/>
      <c r="BI37" s="23"/>
      <c r="BJ37" s="23"/>
      <c r="BK37" s="23"/>
      <c r="BL37" s="23"/>
      <c r="BM37" s="23"/>
      <c r="BN37" s="23"/>
      <c r="BO37" s="23"/>
      <c r="BP37" s="23" t="s">
        <v>451</v>
      </c>
      <c r="BQ37" s="175" t="str">
        <f t="shared" si="14"/>
        <v>N.009960.06.02 - 86 Harvest Ave, Orewa - develop new neig</v>
      </c>
      <c r="BR37" s="23" t="str">
        <f>IFERROR(VLOOKUP(BQ37,'LTP '!$R$4:$S$86,2,0),"")</f>
        <v>PC3201501 - General park development</v>
      </c>
      <c r="BS37" s="23"/>
      <c r="BT37" s="23"/>
      <c r="BU37" s="23"/>
      <c r="BV37" s="23"/>
      <c r="BW37" s="23"/>
      <c r="BX37" s="23"/>
      <c r="BY37" s="23"/>
      <c r="BZ37" s="23"/>
      <c r="CA37" s="23">
        <f t="shared" si="21"/>
        <v>0.33360499999999998</v>
      </c>
      <c r="CB37" s="115" t="str">
        <f t="shared" si="22"/>
        <v/>
      </c>
      <c r="CC37" s="23"/>
      <c r="CD37" s="23"/>
      <c r="CE37" s="2">
        <f t="shared" si="27"/>
        <v>1</v>
      </c>
      <c r="CF37" s="23"/>
      <c r="CG37" s="23"/>
      <c r="CH37" s="23"/>
      <c r="CI37" s="23"/>
      <c r="CJ37" s="23"/>
      <c r="CK37" s="23"/>
      <c r="CL37" s="23"/>
      <c r="CM37" s="23"/>
      <c r="CN37" s="23"/>
      <c r="CO37" s="207"/>
      <c r="CP37" s="207"/>
      <c r="CQ37" s="207"/>
      <c r="CR37" s="207"/>
      <c r="CS37" s="53"/>
      <c r="CT37" s="53"/>
      <c r="CU37" s="53"/>
      <c r="CV37" s="53"/>
      <c r="CW37" s="190"/>
      <c r="CX37" s="190"/>
      <c r="CY37" s="190"/>
      <c r="DG37" s="105"/>
      <c r="DH37" s="105"/>
      <c r="DI37" s="105"/>
      <c r="DJ37" s="105"/>
      <c r="DK37" s="105"/>
      <c r="DL37" s="105"/>
      <c r="DM37" s="105"/>
      <c r="DN37" s="105"/>
      <c r="DO37" s="105"/>
      <c r="DP37" s="105"/>
    </row>
    <row r="38" spans="1:120" x14ac:dyDescent="0.3">
      <c r="A38" s="2" t="s">
        <v>395</v>
      </c>
      <c r="B38" s="2" t="s">
        <v>190</v>
      </c>
      <c r="C38" s="2" t="s">
        <v>902</v>
      </c>
      <c r="D38" s="2" t="s">
        <v>450</v>
      </c>
      <c r="E38" s="2" t="s">
        <v>400</v>
      </c>
      <c r="F38" s="105"/>
      <c r="G38" s="105"/>
      <c r="H38" s="105"/>
      <c r="J38" s="105"/>
      <c r="K38" s="105"/>
      <c r="L38" s="105"/>
      <c r="M38" s="105"/>
      <c r="N38" s="105"/>
      <c r="V38" s="175"/>
      <c r="X38" s="175">
        <f t="shared" si="17"/>
        <v>0</v>
      </c>
      <c r="Y38" s="175"/>
      <c r="Z38" s="181"/>
      <c r="AA38" s="181"/>
      <c r="AB38" s="181">
        <f>VLOOKUP($E38,'LTP '!$D$4:$N$86,2+AB$11-$Z$11,0)/1000000</f>
        <v>0</v>
      </c>
      <c r="AC38" s="181">
        <f>VLOOKUP($E38,'LTP '!$D$4:$N$86,2+AC$11-$Z$11,0)/1000000</f>
        <v>0</v>
      </c>
      <c r="AD38" s="181">
        <f>VLOOKUP($E38,'LTP '!$D$4:$N$86,2+AD$11-$Z$11,0)/1000000</f>
        <v>0</v>
      </c>
      <c r="AE38" s="181">
        <f>VLOOKUP($E38,'LTP '!$D$4:$N$86,2+AE$11-$Z$11,0)/1000000</f>
        <v>0</v>
      </c>
      <c r="AF38" s="181">
        <f>VLOOKUP($E38,'LTP '!$D$4:$N$86,2+AF$11-$Z$11,0)/1000000</f>
        <v>0</v>
      </c>
      <c r="AG38" s="181">
        <f>VLOOKUP($E38,'LTP '!$D$4:$N$86,2+AG$11-$Z$11,0)/1000000</f>
        <v>0</v>
      </c>
      <c r="AH38" s="181">
        <f>VLOOKUP($E38,'LTP '!$D$4:$N$86,2+AH$11-$Z$11,0)/1000000</f>
        <v>0</v>
      </c>
      <c r="AI38" s="181">
        <f>VLOOKUP($E38,'LTP '!$D$4:$N$86,2+AI$11-$Z$11,0)/1000000</f>
        <v>0</v>
      </c>
      <c r="BF38" s="23"/>
      <c r="BH38" s="23"/>
      <c r="BI38" s="23"/>
      <c r="BJ38" s="23"/>
      <c r="BK38" s="23"/>
      <c r="BL38" s="23"/>
      <c r="BM38" s="23"/>
      <c r="BN38" s="23"/>
      <c r="BO38" s="23"/>
      <c r="BP38" s="23" t="s">
        <v>455</v>
      </c>
      <c r="BQ38" s="175" t="str">
        <f t="shared" si="14"/>
        <v/>
      </c>
      <c r="BR38" s="23" t="str">
        <f>IFERROR(VLOOKUP(BQ38,'LTP '!$R$4:$S$86,2,0),"")</f>
        <v/>
      </c>
      <c r="BS38" s="23"/>
      <c r="BT38" s="23"/>
      <c r="BU38" s="23"/>
      <c r="BV38" s="23"/>
      <c r="BW38" s="23"/>
      <c r="BX38" s="23"/>
      <c r="BY38" s="23"/>
      <c r="BZ38" s="23"/>
      <c r="CA38" s="23">
        <f t="shared" si="21"/>
        <v>0</v>
      </c>
      <c r="CB38" s="115" t="str">
        <f t="shared" si="22"/>
        <v/>
      </c>
      <c r="CC38" s="23"/>
      <c r="CD38" s="23"/>
      <c r="CE38" s="2">
        <f t="shared" si="27"/>
        <v>1</v>
      </c>
      <c r="CF38" s="23"/>
      <c r="CG38" s="23"/>
      <c r="CH38" s="23"/>
      <c r="CI38" s="23"/>
      <c r="CJ38" s="23"/>
      <c r="CK38" s="23"/>
      <c r="CL38" s="23"/>
      <c r="CM38" s="23"/>
      <c r="CN38" s="23"/>
      <c r="CO38" s="207"/>
      <c r="CP38" s="207"/>
      <c r="CQ38" s="207"/>
      <c r="CR38" s="207"/>
      <c r="CS38" s="53"/>
      <c r="CT38" s="53"/>
      <c r="CU38" s="53"/>
      <c r="CV38" s="53"/>
      <c r="CW38" s="190"/>
      <c r="CX38" s="190"/>
      <c r="CY38" s="190"/>
      <c r="DG38" s="105"/>
      <c r="DH38" s="105"/>
      <c r="DI38" s="105"/>
      <c r="DJ38" s="105"/>
      <c r="DK38" s="105"/>
      <c r="DL38" s="105"/>
      <c r="DM38" s="105"/>
      <c r="DN38" s="105"/>
      <c r="DO38" s="105"/>
      <c r="DP38" s="105"/>
    </row>
    <row r="39" spans="1:120" x14ac:dyDescent="0.3">
      <c r="A39" s="2" t="s">
        <v>322</v>
      </c>
      <c r="B39" s="2" t="s">
        <v>191</v>
      </c>
      <c r="D39" s="2" t="s">
        <v>450</v>
      </c>
      <c r="E39" s="2" t="s">
        <v>351</v>
      </c>
      <c r="F39" s="105"/>
      <c r="G39" s="105"/>
      <c r="H39" s="105"/>
      <c r="J39" s="105"/>
      <c r="K39" s="105"/>
      <c r="L39" s="105"/>
      <c r="M39" s="105">
        <v>2</v>
      </c>
      <c r="N39" s="105" t="s">
        <v>480</v>
      </c>
      <c r="Q39" s="2" t="s">
        <v>471</v>
      </c>
      <c r="U39" s="175"/>
      <c r="V39" s="175"/>
      <c r="W39" s="175"/>
      <c r="X39" s="175">
        <f t="shared" si="17"/>
        <v>3.2028439999999998</v>
      </c>
      <c r="Y39" s="175"/>
      <c r="Z39" s="181">
        <v>0.05</v>
      </c>
      <c r="AA39" s="181">
        <v>0.45</v>
      </c>
      <c r="AB39" s="181">
        <v>1</v>
      </c>
      <c r="AC39" s="181">
        <f>3.202844-SUM(Y39:AB39)</f>
        <v>1.7028439999999998</v>
      </c>
      <c r="AD39" s="181"/>
      <c r="AE39" s="181">
        <f>VLOOKUP($E39,'LTP '!$D$4:$N$86,2+AE$11-$Z$11,0)/1000000</f>
        <v>0</v>
      </c>
      <c r="AF39" s="181">
        <f>VLOOKUP($E39,'LTP '!$D$4:$N$86,2+AF$11-$Z$11,0)/1000000</f>
        <v>0</v>
      </c>
      <c r="AG39" s="181">
        <f>VLOOKUP($E39,'LTP '!$D$4:$N$86,2+AG$11-$Z$11,0)/1000000</f>
        <v>0</v>
      </c>
      <c r="AH39" s="181">
        <f>VLOOKUP($E39,'LTP '!$D$4:$N$86,2+AH$11-$Z$11,0)/1000000</f>
        <v>0</v>
      </c>
      <c r="AI39" s="181">
        <f>VLOOKUP($E39,'LTP '!$D$4:$N$86,2+AI$11-$Z$11,0)/1000000</f>
        <v>0</v>
      </c>
      <c r="AJ39" s="181"/>
      <c r="AK39" s="181"/>
      <c r="AL39" s="181"/>
      <c r="AM39" s="181"/>
      <c r="AN39" s="181"/>
      <c r="AO39" s="181"/>
      <c r="AP39" s="181"/>
      <c r="BF39" s="23"/>
      <c r="BH39" s="23"/>
      <c r="BI39" s="23"/>
      <c r="BJ39" s="23"/>
      <c r="BK39" s="23"/>
      <c r="BL39" s="23"/>
      <c r="BM39" s="23"/>
      <c r="BN39" s="23"/>
      <c r="BO39" s="23"/>
      <c r="BP39" s="23" t="s">
        <v>451</v>
      </c>
      <c r="BQ39" s="175" t="str">
        <f t="shared" si="14"/>
        <v>N.009960.16.05 - Waterloo res Milldale-dvp new subrb prk</v>
      </c>
      <c r="BR39" s="23" t="str">
        <f>IFERROR(VLOOKUP(BQ39,'LTP '!$R$4:$S$86,2,0),"")</f>
        <v>PC3201501 - General park development</v>
      </c>
      <c r="BS39" s="23"/>
      <c r="BT39" s="23"/>
      <c r="BU39" s="23"/>
      <c r="BV39" s="23"/>
      <c r="BW39" s="23"/>
      <c r="BX39" s="23"/>
      <c r="BY39" s="23"/>
      <c r="BZ39" s="23"/>
      <c r="CA39" s="23">
        <f t="shared" si="21"/>
        <v>3.2028439999999998</v>
      </c>
      <c r="CB39" s="115" t="str">
        <f t="shared" si="22"/>
        <v/>
      </c>
      <c r="CC39" s="23"/>
      <c r="CD39" s="23"/>
      <c r="CE39" s="2">
        <f t="shared" si="27"/>
        <v>1</v>
      </c>
      <c r="CF39" s="23"/>
      <c r="CG39" s="23"/>
      <c r="CH39" s="23"/>
      <c r="CI39" s="23"/>
      <c r="CJ39" s="23"/>
      <c r="CK39" s="23"/>
      <c r="CL39" s="23"/>
      <c r="CM39" s="23"/>
      <c r="CN39" s="23"/>
      <c r="CO39" s="207"/>
      <c r="CP39" s="207"/>
      <c r="CQ39" s="207"/>
      <c r="CR39" s="207"/>
      <c r="CS39" s="53"/>
      <c r="CT39" s="53"/>
      <c r="CU39" s="53"/>
      <c r="CV39" s="53"/>
      <c r="CW39" s="190"/>
      <c r="CX39" s="190"/>
      <c r="CY39" s="190"/>
      <c r="DG39" s="105"/>
      <c r="DH39" s="105"/>
      <c r="DI39" s="105"/>
      <c r="DJ39" s="105"/>
      <c r="DK39" s="105"/>
      <c r="DL39" s="105"/>
      <c r="DM39" s="105"/>
      <c r="DN39" s="105"/>
      <c r="DO39" s="105"/>
      <c r="DP39" s="105"/>
    </row>
    <row r="40" spans="1:120" x14ac:dyDescent="0.3">
      <c r="A40" s="2" t="s">
        <v>382</v>
      </c>
      <c r="B40" s="2" t="s">
        <v>191</v>
      </c>
      <c r="D40" s="2" t="s">
        <v>450</v>
      </c>
      <c r="E40" s="2" t="s">
        <v>390</v>
      </c>
      <c r="F40" s="105"/>
      <c r="G40" s="105"/>
      <c r="H40" s="105"/>
      <c r="J40" s="105"/>
      <c r="K40" s="105">
        <v>1</v>
      </c>
      <c r="L40" s="105"/>
      <c r="M40" s="105"/>
      <c r="N40" s="105"/>
      <c r="V40" s="175"/>
      <c r="X40" s="175">
        <f t="shared" si="17"/>
        <v>0.48182501</v>
      </c>
      <c r="Y40" s="175"/>
      <c r="Z40" s="181">
        <f>VLOOKUP($E40,'LTP '!$D$4:$N$86,2+Z$11-$Z$11,0)/1000000</f>
        <v>9.2100099999999994E-3</v>
      </c>
      <c r="AA40" s="181">
        <f>VLOOKUP($E40,'LTP '!$D$4:$N$86,2+AA$11-$Z$11,0)/1000000</f>
        <v>0.215702</v>
      </c>
      <c r="AB40" s="181">
        <f>VLOOKUP($E40,'LTP '!$D$4:$N$86,2+AB$11-$Z$11,0)/1000000</f>
        <v>0.256913</v>
      </c>
      <c r="AC40" s="181">
        <f>VLOOKUP($E40,'LTP '!$D$4:$N$86,2+AC$11-$Z$11,0)/1000000</f>
        <v>0</v>
      </c>
      <c r="AD40" s="181">
        <f>VLOOKUP($E40,'LTP '!$D$4:$N$86,2+AD$11-$Z$11,0)/1000000</f>
        <v>0</v>
      </c>
      <c r="AE40" s="181">
        <f>VLOOKUP($E40,'LTP '!$D$4:$N$86,2+AE$11-$Z$11,0)/1000000</f>
        <v>0</v>
      </c>
      <c r="AF40" s="181">
        <f>VLOOKUP($E40,'LTP '!$D$4:$N$86,2+AF$11-$Z$11,0)/1000000</f>
        <v>0</v>
      </c>
      <c r="AG40" s="181">
        <f>VLOOKUP($E40,'LTP '!$D$4:$N$86,2+AG$11-$Z$11,0)/1000000</f>
        <v>0</v>
      </c>
      <c r="AH40" s="181">
        <f>VLOOKUP($E40,'LTP '!$D$4:$N$86,2+AH$11-$Z$11,0)/1000000</f>
        <v>0</v>
      </c>
      <c r="AI40" s="181">
        <f>VLOOKUP($E40,'LTP '!$D$4:$N$86,2+AI$11-$Z$11,0)/1000000</f>
        <v>0</v>
      </c>
      <c r="BF40" s="23"/>
      <c r="BH40" s="23"/>
      <c r="BI40" s="23"/>
      <c r="BJ40" s="23"/>
      <c r="BK40" s="23"/>
      <c r="BL40" s="23"/>
      <c r="BM40" s="23"/>
      <c r="BN40" s="23"/>
      <c r="BO40" s="23"/>
      <c r="BP40" s="23" t="s">
        <v>451</v>
      </c>
      <c r="BQ40" s="175" t="str">
        <f t="shared" si="14"/>
        <v>N.009964.06.27 - Sd War Memorial pk-dvlp new pathway</v>
      </c>
      <c r="BR40" s="23" t="str">
        <f>IFERROR(VLOOKUP(BQ40,'LTP '!$R$4:$S$86,2,0),"")</f>
        <v>PC3201527 - Locally driven initiatives (LDI Capex)</v>
      </c>
      <c r="BS40" s="23"/>
      <c r="BT40" s="23"/>
      <c r="BU40" s="23"/>
      <c r="BV40" s="23"/>
      <c r="BW40" s="23"/>
      <c r="BX40" s="23"/>
      <c r="BY40" s="23"/>
      <c r="BZ40" s="23"/>
      <c r="CA40" s="23">
        <f t="shared" si="21"/>
        <v>0.48182501</v>
      </c>
      <c r="CB40" s="115" t="str">
        <f t="shared" si="22"/>
        <v/>
      </c>
      <c r="CC40" s="23"/>
      <c r="CD40" s="23"/>
      <c r="CE40" s="2">
        <f t="shared" si="27"/>
        <v>1</v>
      </c>
      <c r="CF40" s="23"/>
      <c r="CG40" s="23"/>
      <c r="CH40" s="23"/>
      <c r="CI40" s="23"/>
      <c r="CJ40" s="23"/>
      <c r="CK40" s="23"/>
      <c r="CL40" s="23"/>
      <c r="CM40" s="23"/>
      <c r="CN40" s="23"/>
      <c r="CO40" s="207"/>
      <c r="CP40" s="207"/>
      <c r="CQ40" s="207"/>
      <c r="CR40" s="207"/>
      <c r="CS40" s="53"/>
      <c r="CT40" s="53"/>
      <c r="CU40" s="53"/>
      <c r="CV40" s="53"/>
      <c r="CW40" s="190"/>
      <c r="CX40" s="190"/>
      <c r="CY40" s="190"/>
      <c r="DG40" s="105"/>
      <c r="DH40" s="105"/>
      <c r="DI40" s="105"/>
      <c r="DJ40" s="105"/>
      <c r="DK40" s="105"/>
      <c r="DL40" s="105"/>
      <c r="DM40" s="105"/>
      <c r="DN40" s="105"/>
      <c r="DO40" s="105"/>
      <c r="DP40" s="105"/>
    </row>
    <row r="41" spans="1:120" x14ac:dyDescent="0.3">
      <c r="A41" s="2" t="s">
        <v>193</v>
      </c>
      <c r="C41" s="2" t="s">
        <v>481</v>
      </c>
      <c r="F41" s="105"/>
      <c r="G41" s="105"/>
      <c r="H41" s="105"/>
      <c r="J41" s="105"/>
      <c r="K41" s="105"/>
      <c r="L41" s="105"/>
      <c r="M41" s="105"/>
      <c r="N41" s="105"/>
      <c r="U41" s="175"/>
      <c r="V41" s="175"/>
      <c r="W41" s="175"/>
      <c r="X41" s="175">
        <f t="shared" si="17"/>
        <v>0</v>
      </c>
      <c r="Y41" s="175"/>
      <c r="BF41" s="23"/>
      <c r="BH41" s="23"/>
      <c r="BI41" s="23"/>
      <c r="BJ41" s="23"/>
      <c r="BK41" s="23"/>
      <c r="BL41" s="23"/>
      <c r="BM41" s="23"/>
      <c r="BN41" s="23"/>
      <c r="BO41" s="23"/>
      <c r="BP41" s="23" t="s">
        <v>455</v>
      </c>
      <c r="BQ41" s="175" t="str">
        <f t="shared" si="14"/>
        <v/>
      </c>
      <c r="BR41" s="23" t="str">
        <f>IFERROR(VLOOKUP(BQ41,'LTP '!$R$4:$S$86,2,0),"")</f>
        <v/>
      </c>
      <c r="BS41" s="23"/>
      <c r="BT41" s="23"/>
      <c r="BU41" s="23"/>
      <c r="BV41" s="23"/>
      <c r="BW41" s="23"/>
      <c r="BX41" s="23"/>
      <c r="BY41" s="23"/>
      <c r="BZ41" s="23"/>
      <c r="CA41" s="23">
        <f t="shared" si="21"/>
        <v>0</v>
      </c>
      <c r="CB41" s="115" t="str">
        <f t="shared" si="22"/>
        <v/>
      </c>
      <c r="CC41" s="23"/>
      <c r="CD41" s="23"/>
      <c r="CE41" s="2">
        <f t="shared" si="27"/>
        <v>0</v>
      </c>
      <c r="CF41" s="23"/>
      <c r="CG41" s="23"/>
      <c r="CH41" s="23"/>
      <c r="CI41" s="23"/>
      <c r="CJ41" s="23"/>
      <c r="CK41" s="23"/>
      <c r="CL41" s="23"/>
      <c r="CM41" s="23"/>
      <c r="CN41" s="23"/>
      <c r="CO41" s="207"/>
      <c r="CP41" s="207"/>
      <c r="CQ41" s="207"/>
      <c r="CR41" s="207"/>
      <c r="CS41" s="53"/>
      <c r="CT41" s="53"/>
      <c r="CU41" s="53"/>
      <c r="CV41" s="53"/>
      <c r="CW41" s="190"/>
      <c r="CX41" s="190"/>
      <c r="CY41" s="190"/>
      <c r="DG41" s="105"/>
      <c r="DH41" s="105"/>
      <c r="DI41" s="105"/>
      <c r="DJ41" s="105"/>
      <c r="DK41" s="105"/>
      <c r="DL41" s="105"/>
      <c r="DM41" s="105"/>
      <c r="DN41" s="105"/>
      <c r="DO41" s="105"/>
      <c r="DP41" s="105"/>
    </row>
    <row r="42" spans="1:120" x14ac:dyDescent="0.3">
      <c r="B42" s="2" t="s">
        <v>193</v>
      </c>
      <c r="D42" s="2" t="s">
        <v>801</v>
      </c>
      <c r="F42" s="105"/>
      <c r="G42" s="105"/>
      <c r="H42" s="105"/>
      <c r="I42" s="105"/>
      <c r="J42" s="105"/>
      <c r="K42" s="105">
        <v>1</v>
      </c>
      <c r="L42" s="105"/>
      <c r="M42" s="105"/>
      <c r="N42" s="105"/>
      <c r="V42" s="174"/>
      <c r="W42" s="176"/>
      <c r="X42" s="175">
        <f t="shared" ref="X42" si="28">SUM(Z42:AI42)</f>
        <v>0.27336199999999999</v>
      </c>
      <c r="Y42" s="23"/>
      <c r="Z42" s="182"/>
      <c r="AA42" s="182">
        <v>7.3361999999999997E-2</v>
      </c>
      <c r="AB42" s="182">
        <v>0.2</v>
      </c>
      <c r="BF42" s="23"/>
      <c r="BH42" s="23"/>
      <c r="BI42" s="23"/>
      <c r="BJ42" s="23"/>
      <c r="BK42" s="23"/>
      <c r="BL42" s="23"/>
      <c r="BM42" s="23"/>
      <c r="BN42" s="23"/>
      <c r="BO42" s="23"/>
      <c r="BP42" s="23" t="s">
        <v>451</v>
      </c>
      <c r="BQ42" s="175">
        <f t="shared" si="14"/>
        <v>0</v>
      </c>
      <c r="BR42" s="23"/>
      <c r="BS42" s="23"/>
      <c r="BT42" s="23"/>
      <c r="BU42" s="23"/>
      <c r="BV42" s="23"/>
      <c r="BW42" s="23"/>
      <c r="BX42" s="23"/>
      <c r="BY42" s="23"/>
      <c r="BZ42" s="23"/>
      <c r="CA42" s="23"/>
      <c r="CB42" s="115"/>
      <c r="CC42" s="23"/>
      <c r="CD42" s="23"/>
      <c r="CF42" s="23"/>
      <c r="CG42" s="23"/>
      <c r="CH42" s="23"/>
      <c r="CI42" s="23"/>
      <c r="CJ42" s="23"/>
      <c r="CK42" s="23"/>
      <c r="CL42" s="23"/>
      <c r="CO42" s="23"/>
      <c r="CP42" s="23"/>
      <c r="CS42" s="23"/>
      <c r="CT42" s="23"/>
      <c r="CU42" s="23"/>
      <c r="CV42" s="23"/>
      <c r="CW42" s="23"/>
      <c r="CX42" s="23"/>
      <c r="CY42" s="23"/>
      <c r="CZ42" s="23"/>
      <c r="DA42" s="23"/>
      <c r="DG42" s="105"/>
      <c r="DH42" s="105"/>
      <c r="DI42" s="105"/>
      <c r="DJ42" s="105"/>
      <c r="DK42" s="105"/>
      <c r="DL42" s="105"/>
      <c r="DM42" s="105"/>
      <c r="DN42" s="105"/>
      <c r="DO42" s="105"/>
      <c r="DP42" s="105"/>
    </row>
    <row r="43" spans="1:120" x14ac:dyDescent="0.3">
      <c r="A43" s="2" t="s">
        <v>93</v>
      </c>
      <c r="B43" s="2" t="s">
        <v>193</v>
      </c>
      <c r="D43" s="2" t="s">
        <v>192</v>
      </c>
      <c r="F43" s="105">
        <v>11</v>
      </c>
      <c r="G43" s="105"/>
      <c r="H43" s="105"/>
      <c r="I43" s="105"/>
      <c r="J43" s="105">
        <f>F43</f>
        <v>11</v>
      </c>
      <c r="K43" s="105"/>
      <c r="L43" s="105"/>
      <c r="M43" s="105"/>
      <c r="N43" s="105"/>
      <c r="O43" s="2">
        <v>2046</v>
      </c>
      <c r="P43" s="2">
        <v>2050</v>
      </c>
      <c r="Q43" s="2">
        <v>2054</v>
      </c>
      <c r="R43" s="2">
        <v>2056</v>
      </c>
      <c r="S43" s="2" t="s">
        <v>881</v>
      </c>
      <c r="T43" s="2">
        <v>2056</v>
      </c>
      <c r="U43" s="2" cm="1">
        <f t="array" ref="U43">INDEX($Z$11:$BN$11,MATCH(TRUE,INDEX(Z43:BN43&lt;&gt;0,),0))</f>
        <v>2058</v>
      </c>
      <c r="V43" s="174">
        <f t="shared" ref="V43:V52" si="29">SUMPRODUCT(J43:M43,$J$8:$M$8)</f>
        <v>44000</v>
      </c>
      <c r="X43" s="175">
        <f t="shared" si="17"/>
        <v>0</v>
      </c>
      <c r="Y43" s="23">
        <f>$V43*'Cost inputs'!$B$60/1000000</f>
        <v>30.487546149237765</v>
      </c>
      <c r="BF43" s="23"/>
      <c r="BG43" s="23">
        <f>0.1*$Y43*'Cost inputs'!AM$10</f>
        <v>8.6250010054390014</v>
      </c>
      <c r="BH43" s="23">
        <f>0.9*$Y43*'Cost inputs'!AN$10</f>
        <v>80.03138432946848</v>
      </c>
      <c r="BI43" s="23"/>
      <c r="BJ43" s="23"/>
      <c r="BK43" s="23"/>
      <c r="BL43" s="23"/>
      <c r="BM43" s="23"/>
      <c r="BN43" s="23"/>
      <c r="BO43" s="23"/>
      <c r="BP43" s="23" t="s">
        <v>449</v>
      </c>
      <c r="BQ43" s="175" t="str">
        <f t="shared" si="14"/>
        <v/>
      </c>
      <c r="BR43" s="23" t="str">
        <f>IFERROR(VLOOKUP(BQ43,'LTP '!$R$4:$S$86,2,0),"")</f>
        <v/>
      </c>
      <c r="BS43" s="23"/>
      <c r="BT43" s="23"/>
      <c r="BU43" s="23"/>
      <c r="BV43" s="23"/>
      <c r="BW43" s="23"/>
      <c r="BX43" s="23"/>
      <c r="BY43" s="23"/>
      <c r="BZ43" s="23"/>
      <c r="CA43" s="23">
        <f t="shared" si="21"/>
        <v>88.656385334907483</v>
      </c>
      <c r="CB43" s="115">
        <f t="shared" si="22"/>
        <v>2014.9178485206246</v>
      </c>
      <c r="CC43" s="23"/>
      <c r="CD43" s="23"/>
      <c r="CE43" s="2">
        <f t="shared" ref="CE43:CE55" si="30">COUNTIF($B$291:$B$319,B43)</f>
        <v>1</v>
      </c>
      <c r="CF43" s="23"/>
      <c r="CG43" s="23"/>
      <c r="CH43" s="23"/>
      <c r="CI43" s="23"/>
      <c r="CK43" s="23"/>
      <c r="CL43" s="23"/>
      <c r="CM43" s="23"/>
      <c r="CN43" s="23"/>
      <c r="CO43" s="23"/>
      <c r="CP43" s="23"/>
      <c r="CQ43" s="23"/>
      <c r="CR43" s="23"/>
      <c r="CS43" s="23"/>
      <c r="CT43" s="23"/>
      <c r="CU43" s="23"/>
      <c r="CV43" s="23"/>
      <c r="CW43" s="23"/>
      <c r="CX43" s="23"/>
      <c r="CY43" s="23"/>
      <c r="CZ43" s="23"/>
      <c r="DA43" s="23"/>
      <c r="DG43" s="105"/>
      <c r="DH43" s="105"/>
      <c r="DI43" s="105"/>
      <c r="DJ43" s="105"/>
      <c r="DK43" s="105"/>
      <c r="DL43" s="105"/>
      <c r="DM43" s="105"/>
      <c r="DN43" s="105"/>
      <c r="DO43" s="105"/>
      <c r="DP43" s="105"/>
    </row>
    <row r="44" spans="1:120" x14ac:dyDescent="0.3">
      <c r="A44" s="2" t="s">
        <v>93</v>
      </c>
      <c r="B44" s="2" t="s">
        <v>193</v>
      </c>
      <c r="D44" s="2" t="s">
        <v>249</v>
      </c>
      <c r="F44" s="105">
        <v>8</v>
      </c>
      <c r="G44" s="105"/>
      <c r="H44" s="105"/>
      <c r="I44" s="105"/>
      <c r="J44" s="105">
        <f>F44</f>
        <v>8</v>
      </c>
      <c r="K44" s="105"/>
      <c r="L44" s="105"/>
      <c r="M44" s="105"/>
      <c r="N44" s="105"/>
      <c r="O44" s="2">
        <v>2046</v>
      </c>
      <c r="P44" s="2">
        <v>2050</v>
      </c>
      <c r="Q44" s="2">
        <v>2054</v>
      </c>
      <c r="R44" s="2">
        <v>2056</v>
      </c>
      <c r="S44" s="2" t="s">
        <v>881</v>
      </c>
      <c r="T44" s="2">
        <v>2056</v>
      </c>
      <c r="U44" s="2" cm="1">
        <f t="array" ref="U44">INDEX($Z$11:$BN$11,MATCH(TRUE,INDEX(Z44:BN44&lt;&gt;0,),0))</f>
        <v>2058</v>
      </c>
      <c r="V44" s="174">
        <f t="shared" si="29"/>
        <v>32000</v>
      </c>
      <c r="W44" s="175"/>
      <c r="X44" s="175">
        <f t="shared" si="17"/>
        <v>0</v>
      </c>
      <c r="Y44" s="23">
        <f>$V44*'Cost inputs'!$B$60/1000000</f>
        <v>22.172760835809282</v>
      </c>
      <c r="AF44" s="181"/>
      <c r="AG44" s="181"/>
      <c r="AH44" s="181"/>
      <c r="AI44" s="181"/>
      <c r="AJ44" s="181"/>
      <c r="AK44" s="181"/>
      <c r="AL44" s="181"/>
      <c r="AM44" s="181"/>
      <c r="AN44" s="181"/>
      <c r="AO44" s="181"/>
      <c r="AP44" s="181"/>
      <c r="BF44" s="23"/>
      <c r="BG44" s="23">
        <f>0.1*$Y44*'Cost inputs'!AM$10</f>
        <v>6.2727280039556375</v>
      </c>
      <c r="BH44" s="23">
        <f>0.9*$Y44*'Cost inputs'!AN$10</f>
        <v>58.204643148704342</v>
      </c>
      <c r="BI44" s="23"/>
      <c r="BJ44" s="23"/>
      <c r="BK44" s="23"/>
      <c r="BL44" s="23"/>
      <c r="BM44" s="23"/>
      <c r="BN44" s="23"/>
      <c r="BO44" s="23"/>
      <c r="BP44" s="23" t="s">
        <v>449</v>
      </c>
      <c r="BQ44" s="175" t="str">
        <f t="shared" si="14"/>
        <v/>
      </c>
      <c r="BR44" s="23" t="str">
        <f>IFERROR(VLOOKUP(BQ44,'LTP '!$R$4:$S$86,2,0),"")</f>
        <v/>
      </c>
      <c r="BS44" s="23"/>
      <c r="BT44" s="23"/>
      <c r="BU44" s="23"/>
      <c r="BV44" s="23"/>
      <c r="BW44" s="23"/>
      <c r="BX44" s="23"/>
      <c r="BY44" s="23"/>
      <c r="BZ44" s="23"/>
      <c r="CA44" s="23">
        <f t="shared" si="21"/>
        <v>64.477371152659984</v>
      </c>
      <c r="CB44" s="115">
        <f t="shared" si="22"/>
        <v>2014.9178485206246</v>
      </c>
      <c r="CC44" s="23"/>
      <c r="CD44" s="23"/>
      <c r="CE44" s="2">
        <f t="shared" si="30"/>
        <v>1</v>
      </c>
      <c r="CF44" s="23"/>
      <c r="CG44" s="23"/>
      <c r="CH44" s="23"/>
      <c r="CI44" s="23"/>
      <c r="CJ44" s="23"/>
      <c r="CK44" s="23"/>
      <c r="CL44" s="23"/>
      <c r="CM44" s="23"/>
      <c r="CN44" s="23"/>
      <c r="CO44" s="23"/>
      <c r="CP44" s="23"/>
      <c r="CQ44" s="23"/>
      <c r="CR44" s="23"/>
      <c r="CS44" s="23"/>
      <c r="CT44" s="23"/>
      <c r="CU44" s="23"/>
      <c r="CV44" s="23"/>
      <c r="CW44" s="23"/>
      <c r="CX44" s="23"/>
      <c r="CY44" s="23"/>
      <c r="CZ44" s="23"/>
      <c r="DA44" s="23"/>
      <c r="DG44" s="105"/>
      <c r="DH44" s="105"/>
      <c r="DI44" s="105"/>
      <c r="DJ44" s="105"/>
      <c r="DK44" s="105"/>
      <c r="DL44" s="105"/>
      <c r="DM44" s="105"/>
      <c r="DN44" s="105"/>
      <c r="DO44" s="105"/>
      <c r="DP44" s="105"/>
    </row>
    <row r="45" spans="1:120" x14ac:dyDescent="0.3">
      <c r="A45" s="2" t="s">
        <v>93</v>
      </c>
      <c r="B45" s="2" t="s">
        <v>193</v>
      </c>
      <c r="D45" s="2" t="s">
        <v>249</v>
      </c>
      <c r="F45" s="105"/>
      <c r="G45" s="105">
        <v>2</v>
      </c>
      <c r="H45" s="105"/>
      <c r="I45" s="105"/>
      <c r="J45" s="105"/>
      <c r="K45" s="105">
        <f>G45</f>
        <v>2</v>
      </c>
      <c r="L45" s="105"/>
      <c r="M45" s="105"/>
      <c r="N45" s="105"/>
      <c r="O45" s="2">
        <v>2046</v>
      </c>
      <c r="P45" s="2">
        <v>2050</v>
      </c>
      <c r="Q45" s="2">
        <v>2054</v>
      </c>
      <c r="R45" s="2">
        <v>2056</v>
      </c>
      <c r="S45" s="2" t="s">
        <v>881</v>
      </c>
      <c r="T45" s="2">
        <v>2056</v>
      </c>
      <c r="U45" s="2" cm="1">
        <f t="array" ref="U45">INDEX($Z$11:$BN$11,MATCH(TRUE,INDEX(Z45:BN45&lt;&gt;0,),0))</f>
        <v>2058</v>
      </c>
      <c r="V45" s="174">
        <f t="shared" si="29"/>
        <v>60000</v>
      </c>
      <c r="W45" s="175"/>
      <c r="X45" s="175">
        <f t="shared" si="17"/>
        <v>0</v>
      </c>
      <c r="Y45" s="23">
        <f>$V45*'Cost inputs'!$B$61/1000000</f>
        <v>7.8802318417489907</v>
      </c>
      <c r="AF45" s="181"/>
      <c r="AG45" s="181"/>
      <c r="AH45" s="181"/>
      <c r="AI45" s="181"/>
      <c r="AJ45" s="181"/>
      <c r="AK45" s="181"/>
      <c r="AL45" s="181"/>
      <c r="AM45" s="181"/>
      <c r="AN45" s="181"/>
      <c r="AO45" s="181"/>
      <c r="AP45" s="181"/>
      <c r="BF45" s="23"/>
      <c r="BG45" s="23">
        <f>0.1*$Y45*'Cost inputs'!AM$10</f>
        <v>2.2293367667399746</v>
      </c>
      <c r="BH45" s="23">
        <f>0.1*$Y45*'Cost inputs'!AN$10</f>
        <v>2.2984462065089133</v>
      </c>
      <c r="BI45" s="23">
        <f>0.4*$Y45*'Cost inputs'!AO$10</f>
        <v>9.4787921556427595</v>
      </c>
      <c r="BJ45" s="23">
        <f>0.4*$Y45*'Cost inputs'!AP$10</f>
        <v>9.7726347124676831</v>
      </c>
      <c r="BK45" s="23"/>
      <c r="BL45" s="23"/>
      <c r="BM45" s="23"/>
      <c r="BN45" s="23"/>
      <c r="BO45" s="23"/>
      <c r="BP45" s="23" t="s">
        <v>449</v>
      </c>
      <c r="BQ45" s="175" t="str">
        <f t="shared" si="14"/>
        <v/>
      </c>
      <c r="BR45" s="23" t="str">
        <f>IFERROR(VLOOKUP(BQ45,'LTP '!$R$4:$S$86,2,0),"")</f>
        <v/>
      </c>
      <c r="BS45" s="23"/>
      <c r="BT45" s="23"/>
      <c r="BU45" s="23"/>
      <c r="BV45" s="23"/>
      <c r="BW45" s="23"/>
      <c r="BX45" s="23"/>
      <c r="BY45" s="23"/>
      <c r="BZ45" s="23"/>
      <c r="CA45" s="23">
        <f t="shared" si="21"/>
        <v>23.779209841359332</v>
      </c>
      <c r="CB45" s="115">
        <f t="shared" si="22"/>
        <v>396.32016402265549</v>
      </c>
      <c r="CC45" s="23"/>
      <c r="CD45" s="23"/>
      <c r="CE45" s="2">
        <f t="shared" si="30"/>
        <v>1</v>
      </c>
      <c r="CF45" s="23"/>
      <c r="CG45" s="23"/>
      <c r="CH45" s="23"/>
      <c r="CI45" s="23"/>
      <c r="CJ45" s="183"/>
      <c r="CK45" s="23"/>
      <c r="CL45" s="23"/>
      <c r="CM45" s="23"/>
      <c r="CN45" s="23"/>
      <c r="CO45" s="23"/>
      <c r="CP45" s="23"/>
      <c r="CQ45" s="23"/>
      <c r="CR45" s="23"/>
      <c r="CS45" s="23"/>
      <c r="CT45" s="23"/>
      <c r="CU45" s="23"/>
      <c r="CV45" s="23"/>
      <c r="CW45" s="23"/>
      <c r="CX45" s="23"/>
      <c r="CY45" s="23"/>
      <c r="CZ45" s="23"/>
      <c r="DA45" s="23"/>
      <c r="DG45" s="105"/>
      <c r="DH45" s="105"/>
      <c r="DI45" s="105"/>
      <c r="DJ45" s="105"/>
      <c r="DK45" s="105"/>
      <c r="DL45" s="105"/>
      <c r="DM45" s="105"/>
      <c r="DN45" s="105"/>
      <c r="DO45" s="105"/>
      <c r="DP45" s="105"/>
    </row>
    <row r="46" spans="1:120" x14ac:dyDescent="0.3">
      <c r="A46" s="2" t="s">
        <v>93</v>
      </c>
      <c r="B46" s="2" t="s">
        <v>191</v>
      </c>
      <c r="D46" s="2" t="s">
        <v>478</v>
      </c>
      <c r="E46" s="2" t="s">
        <v>482</v>
      </c>
      <c r="F46" s="105">
        <v>7</v>
      </c>
      <c r="G46" s="105"/>
      <c r="H46" s="105"/>
      <c r="I46" s="105"/>
      <c r="J46" s="105">
        <f>F46</f>
        <v>7</v>
      </c>
      <c r="K46" s="105"/>
      <c r="L46" s="105"/>
      <c r="M46" s="105"/>
      <c r="N46" s="105"/>
      <c r="Q46" s="2">
        <v>2023</v>
      </c>
      <c r="R46" s="2">
        <v>2041</v>
      </c>
      <c r="S46" s="2" t="s">
        <v>940</v>
      </c>
      <c r="T46" s="2">
        <v>2039</v>
      </c>
      <c r="V46" s="174">
        <f t="shared" si="29"/>
        <v>28000</v>
      </c>
      <c r="W46" s="175"/>
      <c r="X46" s="175">
        <f t="shared" si="17"/>
        <v>7.0757777809601645</v>
      </c>
      <c r="Y46" s="23">
        <f>$V46*'Cost inputs'!$B$60/1000000</f>
        <v>19.401165731333123</v>
      </c>
      <c r="AA46" s="201">
        <f>'sequential acq phasing'!AS29*$Y46*'Cost inputs'!G$10</f>
        <v>0</v>
      </c>
      <c r="AB46" s="201">
        <f>'sequential acq phasing'!AT29*$Y46*'Cost inputs'!H$10</f>
        <v>0</v>
      </c>
      <c r="AC46" s="201">
        <f>'sequential acq phasing'!AU29*$Y46*'Cost inputs'!I$10</f>
        <v>0</v>
      </c>
      <c r="AD46" s="201">
        <f>'sequential acq phasing'!AV29*$Y46*'Cost inputs'!J$10</f>
        <v>0.32349321489254862</v>
      </c>
      <c r="AE46" s="201">
        <f>'sequential acq phasing'!AW29*$Y46*'Cost inputs'!K$10</f>
        <v>0.70225693978775527</v>
      </c>
      <c r="AF46" s="201">
        <f>'sequential acq phasing'!AX29*$Y46*'Cost inputs'!L$10</f>
        <v>1.2354355161854855</v>
      </c>
      <c r="AG46" s="201">
        <f>'sequential acq phasing'!AY29*$Y46*'Cost inputs'!M$10</f>
        <v>1.5249977638635888</v>
      </c>
      <c r="AH46" s="201">
        <f>'sequential acq phasing'!AZ29*$Y46*'Cost inputs'!N$10</f>
        <v>3.2895943462307864</v>
      </c>
      <c r="AI46" s="201">
        <f>'sequential acq phasing'!BA29*$Y46*'Cost inputs'!O$10</f>
        <v>0</v>
      </c>
      <c r="AJ46" s="201">
        <f>'sequential acq phasing'!BB29*$Y46*'Cost inputs'!P$10</f>
        <v>0.38852338842931355</v>
      </c>
      <c r="AK46" s="201">
        <f>'sequential acq phasing'!BC29*$Y46*'Cost inputs'!Q$10</f>
        <v>3.6051085212356</v>
      </c>
      <c r="AL46" s="201">
        <f>'sequential acq phasing'!BD29*$Y46*'Cost inputs'!R$10</f>
        <v>0.41298520948821144</v>
      </c>
      <c r="AM46" s="201">
        <f>'sequential acq phasing'!BE29*$Y46*'Cost inputs'!S$10</f>
        <v>3.8320897588411142</v>
      </c>
      <c r="AN46" s="201">
        <f>'sequential acq phasing'!BF29*$Y46*'Cost inputs'!T$10</f>
        <v>0.43898717126279868</v>
      </c>
      <c r="AO46" s="201">
        <f>'sequential acq phasing'!BG29*$Y46*'Cost inputs'!U$10</f>
        <v>4.5259577357194543</v>
      </c>
      <c r="AP46" s="201">
        <f>'sequential acq phasing'!BH29*$Y46*'Cost inputs'!V$10</f>
        <v>4.1996361829740811</v>
      </c>
      <c r="AQ46" s="201">
        <f>'sequential acq phasing'!BI29*$Y46*'Cost inputs'!W$10</f>
        <v>0</v>
      </c>
      <c r="AR46" s="201">
        <f>'sequential acq phasing'!BJ29*$Y46*'Cost inputs'!X$10</f>
        <v>0.49600549741003458</v>
      </c>
      <c r="AS46" s="201">
        <f>'sequential acq phasing'!BK29*$Y46*'Cost inputs'!Y$10</f>
        <v>4.602435010467711</v>
      </c>
      <c r="AT46" s="201">
        <f>'sequential acq phasing'!BL29*$Y46*'Cost inputs'!Z$10</f>
        <v>0</v>
      </c>
      <c r="AU46" s="201">
        <f>'sequential acq phasing'!BM29*$Y46*'Cost inputs'!AA$10</f>
        <v>0</v>
      </c>
      <c r="BF46" s="23"/>
      <c r="BH46" s="23"/>
      <c r="BI46" s="23"/>
      <c r="BJ46" s="23"/>
      <c r="BK46" s="23"/>
      <c r="BL46" s="23"/>
      <c r="BM46" s="23"/>
      <c r="BN46" s="23"/>
      <c r="BO46" s="23"/>
      <c r="BP46" s="23" t="s">
        <v>449</v>
      </c>
      <c r="BQ46" s="175" t="str">
        <f t="shared" si="14"/>
        <v/>
      </c>
      <c r="BR46" s="23" t="str">
        <f>IFERROR(VLOOKUP(BQ46,'LTP '!$R$4:$S$86,2,0),"")</f>
        <v/>
      </c>
      <c r="BS46" s="23"/>
      <c r="BT46" s="23"/>
      <c r="BU46" s="23"/>
      <c r="BV46" s="23"/>
      <c r="BW46" s="23"/>
      <c r="BX46" s="23"/>
      <c r="BY46" s="23"/>
      <c r="BZ46" s="23"/>
      <c r="CA46" s="23">
        <f t="shared" si="21"/>
        <v>29.577506256788485</v>
      </c>
      <c r="CB46" s="115">
        <f t="shared" si="22"/>
        <v>1056.3395091710172</v>
      </c>
      <c r="CC46" s="23"/>
      <c r="CD46" s="23"/>
      <c r="CE46" s="2">
        <f t="shared" si="30"/>
        <v>1</v>
      </c>
      <c r="CF46" s="23"/>
      <c r="CG46" s="23"/>
      <c r="CH46" s="105"/>
      <c r="CI46" s="105"/>
      <c r="CJ46" s="105"/>
      <c r="CK46" s="116"/>
      <c r="CL46" s="116"/>
      <c r="CM46" s="116"/>
      <c r="CN46" s="116"/>
      <c r="CO46" s="116"/>
      <c r="CP46" s="116"/>
      <c r="CQ46" s="116"/>
      <c r="CR46" s="116"/>
      <c r="CS46" s="116"/>
      <c r="CT46" s="116"/>
      <c r="CU46" s="116"/>
      <c r="CV46" s="116"/>
      <c r="CW46" s="116"/>
      <c r="CX46" s="116"/>
      <c r="CY46" s="116"/>
      <c r="CZ46" s="116"/>
      <c r="DA46" s="116"/>
      <c r="DG46" s="105"/>
      <c r="DH46" s="105"/>
      <c r="DI46" s="105"/>
      <c r="DJ46" s="105"/>
      <c r="DK46" s="105"/>
      <c r="DL46" s="105"/>
      <c r="DM46" s="105"/>
      <c r="DN46" s="105"/>
      <c r="DO46" s="105"/>
      <c r="DP46" s="105"/>
    </row>
    <row r="47" spans="1:120" x14ac:dyDescent="0.3">
      <c r="A47" s="2" t="s">
        <v>93</v>
      </c>
      <c r="B47" s="2" t="s">
        <v>191</v>
      </c>
      <c r="C47" s="210" t="s">
        <v>351</v>
      </c>
      <c r="D47" s="2" t="s">
        <v>478</v>
      </c>
      <c r="E47" s="2" t="s">
        <v>483</v>
      </c>
      <c r="F47" s="105"/>
      <c r="G47" s="105">
        <v>1</v>
      </c>
      <c r="H47" s="105"/>
      <c r="I47" s="105"/>
      <c r="J47" s="105"/>
      <c r="K47" s="105">
        <f>G47</f>
        <v>1</v>
      </c>
      <c r="L47" s="105"/>
      <c r="M47" s="105"/>
      <c r="N47" s="105"/>
      <c r="Q47" s="2">
        <v>2023</v>
      </c>
      <c r="R47" s="2">
        <v>2041</v>
      </c>
      <c r="S47" s="2" t="s">
        <v>940</v>
      </c>
      <c r="T47" s="2">
        <v>2039</v>
      </c>
      <c r="V47" s="174">
        <f t="shared" si="29"/>
        <v>30000</v>
      </c>
      <c r="W47" s="175"/>
      <c r="X47" s="175">
        <f t="shared" si="17"/>
        <v>0</v>
      </c>
      <c r="Y47" s="23">
        <f>$V47*'Cost inputs'!$B$61/1000000</f>
        <v>3.9401159208744954</v>
      </c>
      <c r="Z47" s="181"/>
      <c r="AA47" s="201">
        <f>'sequential acq phasing'!AS30*$Y47*'Cost inputs'!G$10</f>
        <v>0</v>
      </c>
      <c r="AB47" s="201">
        <f>'sequential acq phasing'!AT30*$Y47*'Cost inputs'!H$10</f>
        <v>0</v>
      </c>
      <c r="AC47" s="201">
        <f>'sequential acq phasing'!AU30*$Y47*'Cost inputs'!I$10</f>
        <v>0</v>
      </c>
      <c r="AD47" s="201">
        <f>'sequential acq phasing'!AV30*$Y47*'Cost inputs'!J$10</f>
        <v>0</v>
      </c>
      <c r="AE47" s="201">
        <f>'sequential acq phasing'!AW30*$Y47*'Cost inputs'!K$10</f>
        <v>0</v>
      </c>
      <c r="AF47" s="201">
        <f>'sequential acq phasing'!AX30*$Y47*'Cost inputs'!L$10</f>
        <v>0</v>
      </c>
      <c r="AG47" s="201">
        <f>'sequential acq phasing'!AY30*$Y47*'Cost inputs'!M$10</f>
        <v>0</v>
      </c>
      <c r="AH47" s="201">
        <f>'sequential acq phasing'!AZ30*$Y47*'Cost inputs'!N$10</f>
        <v>0</v>
      </c>
      <c r="AI47" s="201">
        <f>'sequential acq phasing'!BA30*$Y47*'Cost inputs'!O$10</f>
        <v>0</v>
      </c>
      <c r="AJ47" s="201">
        <f>'sequential acq phasing'!BB30*$Y47*'Cost inputs'!P$10</f>
        <v>0</v>
      </c>
      <c r="AK47" s="201">
        <f>'sequential acq phasing'!BC30*$Y47*'Cost inputs'!Q$10</f>
        <v>0</v>
      </c>
      <c r="AL47" s="201">
        <f>'sequential acq phasing'!BD30*$Y47*'Cost inputs'!R$10</f>
        <v>0</v>
      </c>
      <c r="AM47" s="201">
        <f>'sequential acq phasing'!BE30*$Y47*'Cost inputs'!S$10</f>
        <v>0</v>
      </c>
      <c r="AN47" s="201">
        <f>'sequential acq phasing'!BF30*$Y47*'Cost inputs'!T$10</f>
        <v>0.62406674761359948</v>
      </c>
      <c r="AO47" s="201">
        <f>'sequential acq phasing'!BG30*$Y47*'Cost inputs'!U$10</f>
        <v>0.64341281678962103</v>
      </c>
      <c r="AP47" s="201">
        <f>'sequential acq phasing'!BH30*$Y47*'Cost inputs'!V$10</f>
        <v>2.6534344564403969</v>
      </c>
      <c r="AQ47" s="201">
        <f>'sequential acq phasing'!BI30*$Y47*'Cost inputs'!W$10</f>
        <v>2.7356909245900489</v>
      </c>
      <c r="AR47" s="201">
        <f>'sequential acq phasing'!BJ30*$Y47*'Cost inputs'!X$10</f>
        <v>0</v>
      </c>
      <c r="AS47" s="201">
        <f>'sequential acq phasing'!BK30*$Y47*'Cost inputs'!Y$10</f>
        <v>0</v>
      </c>
      <c r="AT47" s="201">
        <f>'sequential acq phasing'!BL30*$Y47*'Cost inputs'!Z$10</f>
        <v>0</v>
      </c>
      <c r="AU47" s="201">
        <f>'sequential acq phasing'!BM30*$Y47*'Cost inputs'!AA$10</f>
        <v>0</v>
      </c>
      <c r="BF47" s="23"/>
      <c r="BH47" s="23"/>
      <c r="BI47" s="23"/>
      <c r="BJ47" s="23"/>
      <c r="BK47" s="23"/>
      <c r="BL47" s="23"/>
      <c r="BM47" s="23"/>
      <c r="BN47" s="23"/>
      <c r="BO47" s="23"/>
      <c r="BP47" s="23" t="s">
        <v>449</v>
      </c>
      <c r="BQ47" s="175" t="str">
        <f t="shared" si="14"/>
        <v/>
      </c>
      <c r="BR47" s="23" t="str">
        <f>IFERROR(VLOOKUP(BQ47,'LTP '!$R$4:$S$86,2,0),"")</f>
        <v/>
      </c>
      <c r="BS47" s="23"/>
      <c r="BT47" s="23"/>
      <c r="BU47" s="23"/>
      <c r="BV47" s="23"/>
      <c r="BW47" s="23"/>
      <c r="BX47" s="23"/>
      <c r="BY47" s="23"/>
      <c r="BZ47" s="23"/>
      <c r="CA47" s="23">
        <f t="shared" si="21"/>
        <v>6.6566049454336662</v>
      </c>
      <c r="CB47" s="115">
        <f t="shared" si="22"/>
        <v>221.88683151445554</v>
      </c>
      <c r="CC47" s="23"/>
      <c r="CD47" s="23"/>
      <c r="CE47" s="2">
        <f t="shared" si="30"/>
        <v>1</v>
      </c>
      <c r="CF47" s="23"/>
      <c r="CG47" s="23"/>
      <c r="CH47" s="105"/>
      <c r="CI47" s="105"/>
      <c r="CJ47" s="105"/>
      <c r="CK47" s="116"/>
      <c r="CL47" s="116"/>
      <c r="CM47" s="116"/>
      <c r="CN47" s="116"/>
      <c r="CO47" s="116"/>
      <c r="CP47" s="116"/>
      <c r="CQ47" s="116"/>
      <c r="CR47" s="116"/>
      <c r="CS47" s="116"/>
      <c r="CT47" s="116"/>
      <c r="CU47" s="116"/>
      <c r="CV47" s="116"/>
      <c r="CW47" s="116"/>
      <c r="CX47" s="116"/>
      <c r="CY47" s="116"/>
      <c r="CZ47" s="116"/>
      <c r="DA47" s="116"/>
      <c r="DG47" s="105"/>
      <c r="DH47" s="105"/>
      <c r="DI47" s="105"/>
      <c r="DJ47" s="105"/>
      <c r="DK47" s="105"/>
      <c r="DL47" s="105"/>
      <c r="DM47" s="105"/>
      <c r="DN47" s="105"/>
      <c r="DO47" s="105"/>
      <c r="DP47" s="105"/>
    </row>
    <row r="48" spans="1:120" x14ac:dyDescent="0.3">
      <c r="A48" s="2" t="s">
        <v>90</v>
      </c>
      <c r="B48" s="2" t="s">
        <v>193</v>
      </c>
      <c r="D48" s="2" t="s">
        <v>248</v>
      </c>
      <c r="F48" s="105">
        <v>6</v>
      </c>
      <c r="G48" s="105"/>
      <c r="H48" s="105"/>
      <c r="I48" s="105"/>
      <c r="J48" s="105">
        <f>F48</f>
        <v>6</v>
      </c>
      <c r="K48" s="105"/>
      <c r="L48" s="105"/>
      <c r="M48" s="105"/>
      <c r="N48" s="105"/>
      <c r="O48" s="2">
        <v>2031</v>
      </c>
      <c r="P48" s="2">
        <v>2035</v>
      </c>
      <c r="Q48" s="2">
        <v>2039</v>
      </c>
      <c r="R48" s="2">
        <v>2044</v>
      </c>
      <c r="S48" s="2" t="s">
        <v>881</v>
      </c>
      <c r="T48" s="2">
        <v>2044</v>
      </c>
      <c r="U48" s="2" cm="1">
        <f t="array" ref="U48">INDEX($Z$11:$BN$11,MATCH(TRUE,INDEX(Z48:BN48&lt;&gt;0,),0))</f>
        <v>2046</v>
      </c>
      <c r="V48" s="174">
        <f t="shared" si="29"/>
        <v>24000</v>
      </c>
      <c r="W48" s="175"/>
      <c r="X48" s="175">
        <f t="shared" si="17"/>
        <v>0</v>
      </c>
      <c r="Y48" s="23">
        <f>$V48*'Cost inputs'!$B$60/1000000</f>
        <v>16.629570626856964</v>
      </c>
      <c r="AU48" s="23">
        <f>0.1*$Y48*'Cost inputs'!AA$10</f>
        <v>3.2614726141078449</v>
      </c>
      <c r="AV48" s="23">
        <f>0.9*$Y48*'Cost inputs'!AB$10</f>
        <v>30.263204386306693</v>
      </c>
      <c r="AW48" s="181"/>
      <c r="AX48" s="181"/>
      <c r="AY48" s="181"/>
      <c r="AZ48" s="181"/>
      <c r="BA48" s="181"/>
      <c r="BB48" s="181"/>
      <c r="BC48" s="181"/>
      <c r="BD48" s="181"/>
      <c r="BE48" s="181"/>
      <c r="BF48" s="23"/>
      <c r="BH48" s="23"/>
      <c r="BI48" s="23"/>
      <c r="BJ48" s="23"/>
      <c r="BK48" s="23"/>
      <c r="BL48" s="23"/>
      <c r="BM48" s="23"/>
      <c r="BN48" s="23"/>
      <c r="BO48" s="23"/>
      <c r="BP48" s="23" t="s">
        <v>449</v>
      </c>
      <c r="BQ48" s="175" t="str">
        <f t="shared" si="14"/>
        <v/>
      </c>
      <c r="BR48" s="23" t="str">
        <f>IFERROR(VLOOKUP(BQ48,'LTP '!$R$4:$S$86,2,0),"")</f>
        <v/>
      </c>
      <c r="BS48" s="23"/>
      <c r="BT48" s="23"/>
      <c r="BU48" s="23"/>
      <c r="BV48" s="23"/>
      <c r="BW48" s="23"/>
      <c r="BX48" s="23"/>
      <c r="BY48" s="23"/>
      <c r="BZ48" s="23"/>
      <c r="CA48" s="23">
        <f t="shared" si="21"/>
        <v>33.524677000414542</v>
      </c>
      <c r="CB48" s="115">
        <f t="shared" si="22"/>
        <v>1396.8615416839393</v>
      </c>
      <c r="CC48" s="23"/>
      <c r="CD48" s="23"/>
      <c r="CE48" s="2">
        <f t="shared" si="30"/>
        <v>1</v>
      </c>
      <c r="CF48" s="23"/>
      <c r="CG48" s="23"/>
      <c r="CH48" s="23"/>
      <c r="CI48" s="23"/>
      <c r="CJ48" s="23"/>
      <c r="CK48" s="23"/>
      <c r="CL48" s="23"/>
      <c r="CM48" s="23"/>
      <c r="CN48" s="23"/>
      <c r="CO48" s="207"/>
      <c r="CP48" s="207"/>
      <c r="CQ48" s="207"/>
      <c r="CR48" s="207"/>
      <c r="CS48" s="53"/>
      <c r="CT48" s="53"/>
      <c r="CU48" s="53"/>
      <c r="CV48" s="53"/>
      <c r="CW48" s="211"/>
      <c r="CX48" s="211"/>
      <c r="CY48" s="212"/>
      <c r="CZ48" s="212"/>
      <c r="DA48" s="212"/>
      <c r="DB48" s="212"/>
      <c r="DG48" s="105"/>
      <c r="DH48" s="105"/>
      <c r="DI48" s="105"/>
      <c r="DJ48" s="105"/>
      <c r="DK48" s="105"/>
      <c r="DL48" s="105"/>
      <c r="DM48" s="105"/>
      <c r="DN48" s="105"/>
      <c r="DO48" s="105"/>
      <c r="DP48" s="105"/>
    </row>
    <row r="49" spans="1:120" x14ac:dyDescent="0.3">
      <c r="A49" s="2" t="s">
        <v>93</v>
      </c>
      <c r="B49" s="2" t="s">
        <v>193</v>
      </c>
      <c r="D49" s="2" t="s">
        <v>248</v>
      </c>
      <c r="F49" s="105"/>
      <c r="G49" s="105">
        <v>1</v>
      </c>
      <c r="H49" s="105"/>
      <c r="I49" s="105"/>
      <c r="J49" s="105"/>
      <c r="K49" s="105">
        <f>G49</f>
        <v>1</v>
      </c>
      <c r="L49" s="105"/>
      <c r="M49" s="105"/>
      <c r="N49" s="105"/>
      <c r="O49" s="2">
        <v>2031</v>
      </c>
      <c r="P49" s="2">
        <v>2035</v>
      </c>
      <c r="Q49" s="2">
        <v>2039</v>
      </c>
      <c r="R49" s="2">
        <v>2046</v>
      </c>
      <c r="S49" s="2" t="s">
        <v>881</v>
      </c>
      <c r="T49" s="2">
        <v>2046</v>
      </c>
      <c r="U49" s="2" cm="1">
        <f t="array" ref="U49">INDEX($Z$11:$BN$11,MATCH(TRUE,INDEX(Z49:BN49&lt;&gt;0,),0))</f>
        <v>2048</v>
      </c>
      <c r="V49" s="174">
        <f t="shared" si="29"/>
        <v>30000</v>
      </c>
      <c r="W49" s="175"/>
      <c r="X49" s="175">
        <f t="shared" si="17"/>
        <v>0</v>
      </c>
      <c r="Y49" s="23">
        <f>$V49*'Cost inputs'!$B$61/1000000</f>
        <v>3.9401159208744954</v>
      </c>
      <c r="AR49" s="181"/>
      <c r="AS49" s="181"/>
      <c r="AT49" s="181"/>
      <c r="AU49" s="181"/>
      <c r="AV49" s="181"/>
      <c r="AW49" s="23">
        <f>0.1*$Y49*'Cost inputs'!AC$10</f>
        <v>0.82140819249492858</v>
      </c>
      <c r="AX49" s="23">
        <f>0.1*$Y49*'Cost inputs'!AD$10</f>
        <v>0.84687184646227132</v>
      </c>
      <c r="AY49" s="23">
        <f>0.4*$Y49*'Cost inputs'!AE$10</f>
        <v>3.4924994948104064</v>
      </c>
      <c r="AZ49" s="23">
        <f>0.4*$Y49*'Cost inputs'!AF$10</f>
        <v>3.6007669791495283</v>
      </c>
      <c r="BA49" s="181"/>
      <c r="BB49" s="181"/>
      <c r="BC49" s="181"/>
      <c r="BD49" s="181"/>
      <c r="BE49" s="181"/>
      <c r="BF49" s="23"/>
      <c r="BH49" s="23"/>
      <c r="BI49" s="23"/>
      <c r="BJ49" s="23"/>
      <c r="BK49" s="23"/>
      <c r="BL49" s="23"/>
      <c r="BM49" s="23"/>
      <c r="BN49" s="23"/>
      <c r="BO49" s="23"/>
      <c r="BP49" s="23" t="s">
        <v>449</v>
      </c>
      <c r="BQ49" s="175" t="str">
        <f t="shared" si="14"/>
        <v/>
      </c>
      <c r="BR49" s="23" t="str">
        <f>IFERROR(VLOOKUP(BQ49,'LTP '!$R$4:$S$86,2,0),"")</f>
        <v/>
      </c>
      <c r="BS49" s="23"/>
      <c r="BT49" s="23"/>
      <c r="BU49" s="23"/>
      <c r="BV49" s="23"/>
      <c r="BW49" s="23"/>
      <c r="BX49" s="23"/>
      <c r="BY49" s="23"/>
      <c r="BZ49" s="23"/>
      <c r="CA49" s="23">
        <f t="shared" si="21"/>
        <v>8.7615465129171337</v>
      </c>
      <c r="CB49" s="115">
        <f t="shared" si="22"/>
        <v>292.05155043057113</v>
      </c>
      <c r="CC49" s="23"/>
      <c r="CD49" s="23"/>
      <c r="CE49" s="2">
        <f t="shared" si="30"/>
        <v>1</v>
      </c>
      <c r="CF49" s="23"/>
      <c r="CG49" s="23"/>
      <c r="CH49" s="23"/>
      <c r="CI49" s="23"/>
      <c r="CJ49" s="23"/>
      <c r="CK49" s="23"/>
      <c r="CL49" s="23"/>
      <c r="CM49" s="23"/>
      <c r="CN49" s="23"/>
      <c r="CO49" s="207"/>
      <c r="CP49" s="207"/>
      <c r="CQ49" s="207"/>
      <c r="CR49" s="207"/>
      <c r="CS49" s="53"/>
      <c r="CT49" s="53"/>
      <c r="CU49" s="53"/>
      <c r="CV49" s="53"/>
      <c r="CW49" s="190"/>
      <c r="CX49" s="190"/>
      <c r="CY49" s="190"/>
      <c r="DG49" s="105"/>
      <c r="DH49" s="105"/>
      <c r="DI49" s="105"/>
      <c r="DJ49" s="105"/>
      <c r="DK49" s="105"/>
      <c r="DL49" s="105"/>
      <c r="DM49" s="105"/>
      <c r="DN49" s="105"/>
      <c r="DO49" s="105"/>
      <c r="DP49" s="105"/>
    </row>
    <row r="50" spans="1:120" x14ac:dyDescent="0.3">
      <c r="A50" s="2" t="s">
        <v>90</v>
      </c>
      <c r="B50" s="2" t="s">
        <v>193</v>
      </c>
      <c r="D50" s="2" t="s">
        <v>90</v>
      </c>
      <c r="F50" s="105">
        <v>24</v>
      </c>
      <c r="G50" s="105"/>
      <c r="H50" s="105"/>
      <c r="I50" s="105"/>
      <c r="J50" s="105">
        <f>F50</f>
        <v>24</v>
      </c>
      <c r="K50" s="105"/>
      <c r="L50" s="105"/>
      <c r="M50" s="105"/>
      <c r="N50" s="105"/>
      <c r="O50" s="2">
        <v>2046</v>
      </c>
      <c r="P50" s="2">
        <v>2050</v>
      </c>
      <c r="Q50" s="2">
        <v>2054</v>
      </c>
      <c r="R50" s="2">
        <v>2056</v>
      </c>
      <c r="S50" s="2" t="s">
        <v>881</v>
      </c>
      <c r="T50" s="2">
        <v>2056</v>
      </c>
      <c r="U50" s="2" cm="1">
        <f t="array" ref="U50">INDEX($Z$11:$BN$11,MATCH(TRUE,INDEX(Z50:BN50&lt;&gt;0,),0))</f>
        <v>2058</v>
      </c>
      <c r="V50" s="174">
        <f t="shared" si="29"/>
        <v>96000</v>
      </c>
      <c r="W50" s="175"/>
      <c r="X50" s="175">
        <f t="shared" si="17"/>
        <v>0</v>
      </c>
      <c r="Y50" s="23">
        <f>$V50*'Cost inputs'!$B$60/1000000</f>
        <v>66.518282507427855</v>
      </c>
      <c r="AF50" s="181"/>
      <c r="AG50" s="181"/>
      <c r="AH50" s="181"/>
      <c r="AI50" s="181"/>
      <c r="AJ50" s="181"/>
      <c r="AK50" s="181"/>
      <c r="AL50" s="181"/>
      <c r="AM50" s="181"/>
      <c r="AN50" s="181"/>
      <c r="AO50" s="181"/>
      <c r="AP50" s="181"/>
      <c r="BE50" s="23"/>
      <c r="BF50" s="23"/>
      <c r="BG50" s="23">
        <f>0.1*$Y50*'Cost inputs'!AM$10</f>
        <v>18.818184011866911</v>
      </c>
      <c r="BH50" s="23">
        <f>0.9*$Y50*'Cost inputs'!AN$10</f>
        <v>174.61392944611308</v>
      </c>
      <c r="BI50" s="23"/>
      <c r="BJ50" s="23"/>
      <c r="BK50" s="23"/>
      <c r="BL50" s="23"/>
      <c r="BM50" s="23"/>
      <c r="BN50" s="23"/>
      <c r="BO50" s="23"/>
      <c r="BP50" s="23" t="s">
        <v>449</v>
      </c>
      <c r="BQ50" s="175" t="str">
        <f t="shared" si="14"/>
        <v/>
      </c>
      <c r="BR50" s="23" t="str">
        <f>IFERROR(VLOOKUP(BQ50,'LTP '!$R$4:$S$86,2,0),"")</f>
        <v/>
      </c>
      <c r="BS50" s="23"/>
      <c r="BT50" s="23"/>
      <c r="BU50" s="23"/>
      <c r="BV50" s="23"/>
      <c r="BW50" s="23"/>
      <c r="BX50" s="23"/>
      <c r="BY50" s="23"/>
      <c r="BZ50" s="23"/>
      <c r="CA50" s="23">
        <f t="shared" si="21"/>
        <v>193.43211345797999</v>
      </c>
      <c r="CB50" s="115">
        <f t="shared" si="22"/>
        <v>2014.9178485206251</v>
      </c>
      <c r="CC50" s="23"/>
      <c r="CD50" s="23"/>
      <c r="CE50" s="2">
        <f t="shared" si="30"/>
        <v>1</v>
      </c>
      <c r="CF50" s="23"/>
      <c r="CG50" s="23"/>
      <c r="CH50" s="23"/>
      <c r="CI50" s="23"/>
      <c r="CJ50" s="23"/>
      <c r="CK50" s="23"/>
      <c r="CL50" s="23"/>
      <c r="CM50" s="23"/>
      <c r="CN50" s="23"/>
      <c r="CO50" s="207"/>
      <c r="CP50" s="207"/>
      <c r="CQ50" s="207"/>
      <c r="CR50" s="207"/>
      <c r="CS50" s="53"/>
      <c r="CT50" s="53"/>
      <c r="CU50" s="53"/>
      <c r="CV50" s="53"/>
      <c r="CW50" s="190"/>
      <c r="CX50" s="190"/>
      <c r="CY50" s="190"/>
      <c r="DG50" s="105"/>
      <c r="DH50" s="105"/>
      <c r="DI50" s="105"/>
      <c r="DJ50" s="105"/>
      <c r="DK50" s="105"/>
      <c r="DL50" s="105"/>
      <c r="DM50" s="105"/>
      <c r="DN50" s="105"/>
      <c r="DO50" s="105"/>
      <c r="DP50" s="105"/>
    </row>
    <row r="51" spans="1:120" x14ac:dyDescent="0.3">
      <c r="A51" s="2" t="s">
        <v>90</v>
      </c>
      <c r="B51" s="2" t="s">
        <v>193</v>
      </c>
      <c r="D51" s="2" t="s">
        <v>90</v>
      </c>
      <c r="F51" s="105"/>
      <c r="G51" s="105">
        <v>5</v>
      </c>
      <c r="H51" s="105"/>
      <c r="I51" s="105"/>
      <c r="J51" s="105"/>
      <c r="K51" s="105">
        <f>G51</f>
        <v>5</v>
      </c>
      <c r="L51" s="105"/>
      <c r="M51" s="105"/>
      <c r="N51" s="105"/>
      <c r="O51" s="2">
        <v>2046</v>
      </c>
      <c r="P51" s="2">
        <v>2050</v>
      </c>
      <c r="Q51" s="2">
        <v>2054</v>
      </c>
      <c r="R51" s="2">
        <v>2056</v>
      </c>
      <c r="S51" s="2" t="s">
        <v>881</v>
      </c>
      <c r="T51" s="2">
        <v>2056</v>
      </c>
      <c r="U51" s="2" cm="1">
        <f t="array" ref="U51">INDEX($Z$11:$BN$11,MATCH(TRUE,INDEX(Z51:BN51&lt;&gt;0,),0))</f>
        <v>2058</v>
      </c>
      <c r="V51" s="174">
        <f t="shared" si="29"/>
        <v>150000</v>
      </c>
      <c r="W51" s="175"/>
      <c r="X51" s="175">
        <f t="shared" si="17"/>
        <v>0</v>
      </c>
      <c r="Y51" s="23">
        <f>$V51*'Cost inputs'!$B$61/1000000</f>
        <v>19.700579604372475</v>
      </c>
      <c r="AC51" s="181"/>
      <c r="AD51" s="181"/>
      <c r="AE51" s="181"/>
      <c r="AF51" s="181"/>
      <c r="AG51" s="181"/>
      <c r="AH51" s="181"/>
      <c r="AI51" s="181"/>
      <c r="AJ51" s="181"/>
      <c r="AK51" s="181"/>
      <c r="AL51" s="181"/>
      <c r="AM51" s="181"/>
      <c r="AN51" s="181"/>
      <c r="AO51" s="181"/>
      <c r="AP51" s="181"/>
      <c r="BF51" s="23"/>
      <c r="BG51" s="23">
        <f>0.1*$Y51*'Cost inputs'!AM$10</f>
        <v>5.5733419168499356</v>
      </c>
      <c r="BH51" s="23">
        <f>0.1*$Y51*'Cost inputs'!AN$10</f>
        <v>5.7461155162722832</v>
      </c>
      <c r="BI51" s="23">
        <f>0.4*$Y51*'Cost inputs'!AO$10</f>
        <v>23.696980389106894</v>
      </c>
      <c r="BJ51" s="23">
        <f>0.4*$Y51*'Cost inputs'!AP$10</f>
        <v>24.431586781169209</v>
      </c>
      <c r="BK51" s="23"/>
      <c r="BL51" s="23"/>
      <c r="BM51" s="23"/>
      <c r="BN51" s="23"/>
      <c r="BO51" s="23"/>
      <c r="BP51" s="23" t="s">
        <v>449</v>
      </c>
      <c r="BQ51" s="175" t="str">
        <f t="shared" si="14"/>
        <v/>
      </c>
      <c r="BR51" s="23" t="str">
        <f>IFERROR(VLOOKUP(BQ51,'LTP '!$R$4:$S$86,2,0),"")</f>
        <v/>
      </c>
      <c r="BS51" s="23"/>
      <c r="BT51" s="23"/>
      <c r="BU51" s="23"/>
      <c r="BV51" s="23"/>
      <c r="BW51" s="23"/>
      <c r="BX51" s="23"/>
      <c r="BY51" s="23"/>
      <c r="BZ51" s="23"/>
      <c r="CA51" s="23">
        <f t="shared" si="21"/>
        <v>59.448024603398324</v>
      </c>
      <c r="CB51" s="115">
        <f t="shared" si="22"/>
        <v>396.32016402265549</v>
      </c>
      <c r="CC51" s="23"/>
      <c r="CD51" s="23"/>
      <c r="CE51" s="2">
        <f t="shared" si="30"/>
        <v>1</v>
      </c>
      <c r="CF51" s="23"/>
      <c r="CG51" s="23"/>
      <c r="CH51" s="23"/>
      <c r="CI51" s="23"/>
      <c r="CJ51" s="23"/>
      <c r="CK51" s="23"/>
      <c r="CL51" s="23"/>
      <c r="CM51" s="23"/>
      <c r="CN51" s="23"/>
      <c r="CO51" s="207"/>
      <c r="CP51" s="207"/>
      <c r="CQ51" s="207"/>
      <c r="CR51" s="207"/>
      <c r="CS51" s="53"/>
      <c r="CT51" s="53"/>
      <c r="CU51" s="53"/>
      <c r="CV51" s="53"/>
      <c r="CW51" s="190"/>
      <c r="CX51" s="190"/>
      <c r="CY51" s="190"/>
      <c r="DG51" s="105"/>
      <c r="DH51" s="105"/>
      <c r="DI51" s="105"/>
      <c r="DJ51" s="105"/>
      <c r="DK51" s="105"/>
      <c r="DL51" s="105"/>
      <c r="DM51" s="105"/>
      <c r="DN51" s="105"/>
      <c r="DO51" s="105"/>
      <c r="DP51" s="105"/>
    </row>
    <row r="52" spans="1:120" x14ac:dyDescent="0.3">
      <c r="A52" s="2" t="s">
        <v>96</v>
      </c>
      <c r="B52" s="2" t="s">
        <v>96</v>
      </c>
      <c r="D52" s="2" t="s">
        <v>266</v>
      </c>
      <c r="F52" s="105">
        <v>1</v>
      </c>
      <c r="G52" s="105"/>
      <c r="H52" s="105"/>
      <c r="I52" s="105"/>
      <c r="J52" s="105">
        <f>F52</f>
        <v>1</v>
      </c>
      <c r="K52" s="105"/>
      <c r="L52" s="105"/>
      <c r="M52" s="105"/>
      <c r="N52" s="105"/>
      <c r="O52" s="2">
        <v>2021</v>
      </c>
      <c r="P52" s="2">
        <v>2025</v>
      </c>
      <c r="Q52" s="2">
        <v>2029</v>
      </c>
      <c r="R52" s="2">
        <v>2041</v>
      </c>
      <c r="S52" s="2" t="s">
        <v>881</v>
      </c>
      <c r="T52" s="2">
        <v>2041</v>
      </c>
      <c r="U52" s="2" cm="1">
        <f t="array" ref="U52">INDEX($Z$11:$BN$11,MATCH(TRUE,INDEX(Z52:BN52&lt;&gt;0,),0))</f>
        <v>2043</v>
      </c>
      <c r="V52" s="174">
        <f t="shared" si="29"/>
        <v>4000</v>
      </c>
      <c r="W52" s="175"/>
      <c r="X52" s="175">
        <f t="shared" si="17"/>
        <v>0</v>
      </c>
      <c r="Y52" s="23">
        <f>$V52*'Cost inputs'!$B$60/1000000</f>
        <v>2.7715951044761602</v>
      </c>
      <c r="Z52" s="182"/>
      <c r="AA52" s="182"/>
      <c r="AB52" s="182"/>
      <c r="AC52" s="182"/>
      <c r="AD52" s="182"/>
      <c r="AE52" s="182"/>
      <c r="AF52" s="182"/>
      <c r="AH52" s="182"/>
      <c r="AI52" s="182"/>
      <c r="AR52" s="23">
        <f>0.1*$Y52*'Cost inputs'!X$10</f>
        <v>0.49600549741003458</v>
      </c>
      <c r="AS52" s="23">
        <f>0.9*$Y52*'Cost inputs'!Y$10</f>
        <v>4.6024350104677101</v>
      </c>
      <c r="BF52" s="23"/>
      <c r="BH52" s="23"/>
      <c r="BI52" s="23"/>
      <c r="BJ52" s="23"/>
      <c r="BK52" s="23"/>
      <c r="BL52" s="23"/>
      <c r="BM52" s="23"/>
      <c r="BN52" s="23"/>
      <c r="BO52" s="23"/>
      <c r="BP52" s="23" t="s">
        <v>449</v>
      </c>
      <c r="BQ52" s="175" t="str">
        <f t="shared" si="14"/>
        <v/>
      </c>
      <c r="BR52" s="23" t="str">
        <f>IFERROR(VLOOKUP(BQ52,'LTP '!$R$4:$S$86,2,0),"")</f>
        <v/>
      </c>
      <c r="BS52" s="23"/>
      <c r="BT52" s="23"/>
      <c r="BU52" s="23"/>
      <c r="BV52" s="23"/>
      <c r="BW52" s="23"/>
      <c r="BX52" s="23"/>
      <c r="BY52" s="23"/>
      <c r="BZ52" s="23"/>
      <c r="CA52" s="23">
        <f t="shared" si="21"/>
        <v>5.0984405078777444</v>
      </c>
      <c r="CB52" s="115">
        <f t="shared" si="22"/>
        <v>1274.6101269694361</v>
      </c>
      <c r="CC52" s="23"/>
      <c r="CD52" s="23"/>
      <c r="CE52" s="2">
        <f t="shared" si="30"/>
        <v>1</v>
      </c>
      <c r="CF52" s="23"/>
      <c r="CG52" s="23"/>
      <c r="CH52" s="23"/>
      <c r="CI52" s="23"/>
      <c r="CJ52" s="23"/>
      <c r="CK52" s="23"/>
      <c r="CL52" s="23"/>
      <c r="CM52" s="23"/>
      <c r="CN52" s="23"/>
      <c r="CO52" s="207"/>
      <c r="CP52" s="207"/>
      <c r="CQ52" s="207"/>
      <c r="CR52" s="207"/>
      <c r="CS52" s="53"/>
      <c r="CT52" s="53"/>
      <c r="CU52" s="53"/>
      <c r="CV52" s="53"/>
      <c r="CW52" s="190"/>
      <c r="CX52" s="190"/>
      <c r="CY52" s="190"/>
      <c r="DG52" s="105"/>
      <c r="DH52" s="105"/>
      <c r="DI52" s="105"/>
      <c r="DJ52" s="105"/>
      <c r="DK52" s="105"/>
      <c r="DL52" s="105"/>
      <c r="DM52" s="105"/>
      <c r="DN52" s="105"/>
      <c r="DO52" s="105"/>
      <c r="DP52" s="105"/>
    </row>
    <row r="53" spans="1:120" x14ac:dyDescent="0.3">
      <c r="A53" s="2" t="s">
        <v>362</v>
      </c>
      <c r="B53" s="2" t="s">
        <v>96</v>
      </c>
      <c r="D53" s="2" t="s">
        <v>484</v>
      </c>
      <c r="E53" s="2" t="s">
        <v>364</v>
      </c>
      <c r="F53" s="105"/>
      <c r="G53" s="105"/>
      <c r="H53" s="105"/>
      <c r="I53" s="105"/>
      <c r="J53" s="105"/>
      <c r="K53" s="105"/>
      <c r="L53" s="105"/>
      <c r="M53" s="105"/>
      <c r="N53" s="105"/>
      <c r="U53" s="175"/>
      <c r="V53" s="175"/>
      <c r="W53" s="175"/>
      <c r="X53" s="175">
        <f t="shared" si="17"/>
        <v>0</v>
      </c>
      <c r="Y53" s="175"/>
      <c r="Z53" s="182"/>
      <c r="AA53" s="182"/>
      <c r="AB53" s="182"/>
      <c r="AC53" s="182"/>
      <c r="AD53" s="182"/>
      <c r="AE53" s="182"/>
      <c r="AF53" s="182"/>
      <c r="AH53" s="182"/>
      <c r="AI53" s="182"/>
      <c r="BF53" s="23"/>
      <c r="BH53" s="23"/>
      <c r="BI53" s="23"/>
      <c r="BJ53" s="23"/>
      <c r="BK53" s="23"/>
      <c r="BL53" s="23"/>
      <c r="BM53" s="23"/>
      <c r="BN53" s="23"/>
      <c r="BO53" s="23"/>
      <c r="BP53" s="23" t="s">
        <v>455</v>
      </c>
      <c r="BQ53" s="175" t="str">
        <f t="shared" si="14"/>
        <v/>
      </c>
      <c r="BR53" s="23" t="str">
        <f>IFERROR(VLOOKUP(BQ53,'LTP '!$R$4:$S$86,2,0),"")</f>
        <v/>
      </c>
      <c r="BS53" s="23"/>
      <c r="BT53" s="23"/>
      <c r="BU53" s="23"/>
      <c r="BV53" s="23"/>
      <c r="BW53" s="23"/>
      <c r="BX53" s="23"/>
      <c r="BY53" s="23"/>
      <c r="BZ53" s="23"/>
      <c r="CA53" s="23">
        <f t="shared" si="21"/>
        <v>0</v>
      </c>
      <c r="CB53" s="115" t="str">
        <f t="shared" si="22"/>
        <v/>
      </c>
      <c r="CC53" s="23"/>
      <c r="CD53" s="23"/>
      <c r="CE53" s="2">
        <f t="shared" si="30"/>
        <v>1</v>
      </c>
      <c r="CF53" s="23"/>
      <c r="CG53" s="23"/>
      <c r="CH53" s="23"/>
      <c r="CI53" s="23"/>
      <c r="CJ53" s="23"/>
      <c r="CK53" s="23"/>
      <c r="CL53" s="23"/>
      <c r="CM53" s="23"/>
      <c r="CN53" s="23"/>
      <c r="CO53" s="207"/>
      <c r="CP53" s="207"/>
      <c r="CQ53" s="207"/>
      <c r="CR53" s="207"/>
      <c r="CS53" s="53"/>
      <c r="CT53" s="53"/>
      <c r="CU53" s="53"/>
      <c r="CV53" s="53"/>
      <c r="CW53" s="190"/>
      <c r="CX53" s="190"/>
      <c r="CY53" s="190"/>
      <c r="DG53" s="105"/>
      <c r="DH53" s="105"/>
      <c r="DI53" s="105"/>
      <c r="DJ53" s="105"/>
      <c r="DK53" s="105"/>
      <c r="DL53" s="105"/>
      <c r="DM53" s="105"/>
      <c r="DN53" s="105"/>
      <c r="DO53" s="105"/>
      <c r="DP53" s="105"/>
    </row>
    <row r="54" spans="1:120" x14ac:dyDescent="0.3">
      <c r="A54" s="2" t="s">
        <v>362</v>
      </c>
      <c r="B54" s="2" t="s">
        <v>96</v>
      </c>
      <c r="C54" s="2" t="s">
        <v>818</v>
      </c>
      <c r="D54" s="2" t="s">
        <v>450</v>
      </c>
      <c r="E54" s="2" t="s">
        <v>367</v>
      </c>
      <c r="F54" s="105"/>
      <c r="G54" s="105"/>
      <c r="H54" s="105"/>
      <c r="I54" s="105"/>
      <c r="J54" s="105"/>
      <c r="K54" s="105"/>
      <c r="L54" s="105"/>
      <c r="M54" s="105"/>
      <c r="N54" s="105"/>
      <c r="V54" s="175"/>
      <c r="W54" s="175"/>
      <c r="X54" s="175">
        <f t="shared" si="17"/>
        <v>0.48</v>
      </c>
      <c r="Y54" s="175"/>
      <c r="Z54" s="181">
        <f>VLOOKUP($E54,'LTP '!$D$4:$N$86,2+Z$11-$Z$11,0)/1000000</f>
        <v>0</v>
      </c>
      <c r="AA54" s="181">
        <f>VLOOKUP($E54,'LTP '!$D$4:$N$86,2+AA$11-$Z$11,0)/1000000</f>
        <v>0</v>
      </c>
      <c r="AB54" s="181">
        <f>VLOOKUP($E54,'LTP '!$D$4:$N$86,2+AB$11-$Z$11,0)/1000000*0.6</f>
        <v>0.48</v>
      </c>
      <c r="AC54" s="181">
        <f>VLOOKUP($E54,'LTP '!$D$4:$N$86,2+AC$11-$Z$11,0)/1000000</f>
        <v>0</v>
      </c>
      <c r="AD54" s="181">
        <f>VLOOKUP($E54,'LTP '!$D$4:$N$86,2+AD$11-$Z$11,0)/1000000</f>
        <v>0</v>
      </c>
      <c r="AE54" s="181">
        <f>VLOOKUP($E54,'LTP '!$D$4:$N$86,2+AE$11-$Z$11,0)/1000000</f>
        <v>0</v>
      </c>
      <c r="AF54" s="181">
        <f>VLOOKUP($E54,'LTP '!$D$4:$N$86,2+AF$11-$Z$11,0)/1000000</f>
        <v>0</v>
      </c>
      <c r="AG54" s="181">
        <f>VLOOKUP($E54,'LTP '!$D$4:$N$86,2+AG$11-$Z$11,0)/1000000</f>
        <v>0</v>
      </c>
      <c r="AH54" s="181">
        <f>VLOOKUP($E54,'LTP '!$D$4:$N$86,2+AH$11-$Z$11,0)/1000000</f>
        <v>0</v>
      </c>
      <c r="AI54" s="181">
        <f>VLOOKUP($E54,'LTP '!$D$4:$N$86,2+AI$11-$Z$11,0)/1000000</f>
        <v>0</v>
      </c>
      <c r="BF54" s="23"/>
      <c r="BH54" s="23"/>
      <c r="BI54" s="23"/>
      <c r="BJ54" s="23"/>
      <c r="BK54" s="23"/>
      <c r="BL54" s="23"/>
      <c r="BM54" s="23"/>
      <c r="BN54" s="23"/>
      <c r="BO54" s="23"/>
      <c r="BP54" s="23" t="s">
        <v>451</v>
      </c>
      <c r="BQ54" s="175" t="str">
        <f t="shared" si="14"/>
        <v>N.009962.17.01 - Upper Harbour - implement actions from t</v>
      </c>
      <c r="BR54" s="23" t="str">
        <f>IFERROR(VLOOKUP(BQ54,'LTP '!$R$4:$S$86,2,0),"")</f>
        <v>PC3201503 - Greenway and walkway development</v>
      </c>
      <c r="BS54" s="23"/>
      <c r="BT54" s="23"/>
      <c r="BU54" s="23"/>
      <c r="BV54" s="23"/>
      <c r="BW54" s="23"/>
      <c r="BX54" s="23"/>
      <c r="BY54" s="23"/>
      <c r="BZ54" s="23"/>
      <c r="CA54" s="23">
        <f t="shared" si="21"/>
        <v>0.48</v>
      </c>
      <c r="CB54" s="115" t="str">
        <f t="shared" si="22"/>
        <v/>
      </c>
      <c r="CC54" s="23"/>
      <c r="CD54" s="23"/>
      <c r="CE54" s="2">
        <f t="shared" si="30"/>
        <v>1</v>
      </c>
      <c r="CF54" s="23"/>
      <c r="CG54" s="23"/>
      <c r="CH54" s="23"/>
      <c r="CI54" s="23"/>
      <c r="CJ54" s="23"/>
      <c r="CK54" s="23"/>
      <c r="CL54" s="23"/>
      <c r="CM54" s="23"/>
      <c r="CN54" s="23"/>
      <c r="CO54" s="207"/>
      <c r="CP54" s="207"/>
      <c r="CQ54" s="207"/>
      <c r="CR54" s="207"/>
      <c r="CS54" s="53"/>
      <c r="CT54" s="53"/>
      <c r="CU54" s="53"/>
      <c r="CV54" s="53"/>
      <c r="CW54" s="190"/>
      <c r="CX54" s="190"/>
      <c r="CY54" s="190"/>
      <c r="DG54" s="105"/>
      <c r="DH54" s="105"/>
      <c r="DI54" s="105"/>
      <c r="DJ54" s="105"/>
      <c r="DK54" s="105"/>
      <c r="DL54" s="105"/>
      <c r="DM54" s="105"/>
      <c r="DN54" s="105"/>
      <c r="DO54" s="105"/>
      <c r="DP54" s="105"/>
    </row>
    <row r="55" spans="1:120" x14ac:dyDescent="0.3">
      <c r="B55" s="2" t="s">
        <v>96</v>
      </c>
      <c r="D55" s="2" t="s">
        <v>817</v>
      </c>
      <c r="F55" s="105"/>
      <c r="G55" s="105"/>
      <c r="H55" s="105"/>
      <c r="I55" s="105"/>
      <c r="J55" s="105">
        <v>1</v>
      </c>
      <c r="K55" s="105"/>
      <c r="L55" s="105"/>
      <c r="M55" s="105"/>
      <c r="N55" s="105"/>
      <c r="V55" s="175"/>
      <c r="W55" s="175"/>
      <c r="X55" s="175">
        <f t="shared" si="17"/>
        <v>1.8299999999999998</v>
      </c>
      <c r="Y55" s="175"/>
      <c r="Z55" s="181">
        <v>0.08</v>
      </c>
      <c r="AA55" s="181">
        <v>0.35</v>
      </c>
      <c r="AB55" s="181">
        <v>1.4</v>
      </c>
      <c r="AC55" s="181"/>
      <c r="AD55" s="181"/>
      <c r="AE55" s="181"/>
      <c r="AF55" s="181"/>
      <c r="AG55" s="181"/>
      <c r="AH55" s="181"/>
      <c r="AI55" s="181"/>
      <c r="BF55" s="23"/>
      <c r="BH55" s="23"/>
      <c r="BI55" s="23"/>
      <c r="BJ55" s="23"/>
      <c r="BK55" s="23"/>
      <c r="BL55" s="23"/>
      <c r="BM55" s="23"/>
      <c r="BN55" s="23"/>
      <c r="BO55" s="23"/>
      <c r="BP55" s="23" t="s">
        <v>451</v>
      </c>
      <c r="BQ55" s="175"/>
      <c r="BR55" s="23"/>
      <c r="BS55" s="23"/>
      <c r="BT55" s="23"/>
      <c r="BU55" s="23"/>
      <c r="BV55" s="23"/>
      <c r="BW55" s="23"/>
      <c r="BX55" s="23"/>
      <c r="BY55" s="23"/>
      <c r="BZ55" s="23"/>
      <c r="CA55" s="23"/>
      <c r="CB55" s="115"/>
      <c r="CC55" s="23"/>
      <c r="CD55" s="23"/>
      <c r="CE55" s="2">
        <f t="shared" si="30"/>
        <v>1</v>
      </c>
      <c r="CF55" s="23"/>
      <c r="CG55" s="23"/>
      <c r="CH55" s="23"/>
      <c r="CI55" s="23"/>
      <c r="CJ55" s="23"/>
      <c r="CK55" s="23"/>
      <c r="CL55" s="23"/>
      <c r="CM55" s="23"/>
      <c r="CN55" s="23"/>
      <c r="CO55" s="207"/>
      <c r="CP55" s="207"/>
      <c r="CQ55" s="207"/>
      <c r="CR55" s="207"/>
      <c r="CS55" s="53"/>
      <c r="CT55" s="53"/>
      <c r="CU55" s="53"/>
      <c r="CV55" s="53"/>
      <c r="CW55" s="190"/>
      <c r="CX55" s="190"/>
      <c r="CY55" s="190"/>
      <c r="DG55" s="105"/>
      <c r="DH55" s="105"/>
      <c r="DI55" s="105"/>
      <c r="DJ55" s="105"/>
      <c r="DK55" s="105"/>
      <c r="DL55" s="105"/>
      <c r="DM55" s="105"/>
      <c r="DN55" s="105"/>
      <c r="DO55" s="105"/>
      <c r="DP55" s="105"/>
    </row>
    <row r="56" spans="1:120" x14ac:dyDescent="0.3">
      <c r="A56" s="2" t="str">
        <f>'LTP '!B79</f>
        <v>PC3201597 - One Local Board Initiative (OLI)</v>
      </c>
      <c r="D56" s="213" t="s">
        <v>759</v>
      </c>
      <c r="E56" s="2" t="str">
        <f>'LTP '!D79</f>
        <v>N.009966.08.01 - OLI Birkenhead War Memorial Park - del</v>
      </c>
      <c r="F56" s="105"/>
      <c r="G56" s="105"/>
      <c r="H56" s="105"/>
      <c r="I56" s="105"/>
      <c r="J56" s="105"/>
      <c r="K56" s="105"/>
      <c r="L56" s="105"/>
      <c r="M56" s="105"/>
      <c r="N56" s="213" t="s">
        <v>760</v>
      </c>
      <c r="V56" s="175"/>
      <c r="W56" s="175"/>
      <c r="X56" s="175"/>
      <c r="Y56" s="175"/>
      <c r="Z56" s="181">
        <f>'LTP '!E79/1000000</f>
        <v>0</v>
      </c>
      <c r="AA56" s="214" t="s">
        <v>761</v>
      </c>
      <c r="AB56" s="214" t="s">
        <v>762</v>
      </c>
      <c r="AC56" s="181">
        <f>'LTP '!H79/1000000</f>
        <v>0</v>
      </c>
      <c r="AD56" s="181">
        <f>'LTP '!I79/1000000</f>
        <v>0</v>
      </c>
      <c r="AE56" s="181">
        <f>'LTP '!J79/1000000</f>
        <v>0</v>
      </c>
      <c r="AF56" s="181">
        <f>'LTP '!K79/1000000</f>
        <v>0</v>
      </c>
      <c r="AG56" s="181">
        <f>'LTP '!L79/1000000</f>
        <v>0</v>
      </c>
      <c r="AH56" s="181"/>
      <c r="AI56" s="181"/>
      <c r="BF56" s="23"/>
      <c r="BH56" s="23"/>
      <c r="BI56" s="23"/>
      <c r="BJ56" s="23"/>
      <c r="BK56" s="23"/>
      <c r="BL56" s="23"/>
      <c r="BM56" s="23"/>
      <c r="BN56" s="23"/>
      <c r="BO56" s="23"/>
      <c r="BP56" s="23" t="s">
        <v>455</v>
      </c>
      <c r="BQ56" s="175"/>
      <c r="BR56" s="23"/>
      <c r="BS56" s="23"/>
      <c r="BT56" s="23"/>
      <c r="BU56" s="23"/>
      <c r="BV56" s="23"/>
      <c r="BW56" s="23"/>
      <c r="BX56" s="23"/>
      <c r="BY56" s="23"/>
      <c r="BZ56" s="23"/>
      <c r="CA56" s="23"/>
      <c r="CB56" s="115"/>
      <c r="CC56" s="23"/>
      <c r="CD56" s="23"/>
      <c r="CF56" s="23"/>
      <c r="CG56" s="23"/>
      <c r="CH56" s="23"/>
      <c r="CI56" s="23"/>
      <c r="CJ56" s="23"/>
      <c r="CK56" s="23"/>
      <c r="CL56" s="23"/>
      <c r="CM56" s="23"/>
      <c r="CN56" s="23"/>
      <c r="CO56" s="207"/>
      <c r="CP56" s="207"/>
      <c r="CQ56" s="207"/>
      <c r="CR56" s="207"/>
      <c r="CS56" s="53"/>
      <c r="CT56" s="53"/>
      <c r="CU56" s="53"/>
      <c r="CV56" s="53"/>
      <c r="CW56" s="190"/>
      <c r="CX56" s="190"/>
      <c r="CY56" s="190"/>
      <c r="DG56" s="105"/>
      <c r="DH56" s="105"/>
      <c r="DI56" s="105"/>
      <c r="DJ56" s="105"/>
      <c r="DK56" s="105"/>
      <c r="DL56" s="105"/>
      <c r="DM56" s="105"/>
      <c r="DN56" s="105"/>
      <c r="DO56" s="105"/>
      <c r="DP56" s="105"/>
    </row>
    <row r="57" spans="1:120" x14ac:dyDescent="0.3">
      <c r="A57" s="2" t="s">
        <v>322</v>
      </c>
      <c r="B57" s="2" t="s">
        <v>188</v>
      </c>
      <c r="D57" s="2" t="s">
        <v>450</v>
      </c>
      <c r="E57" s="2" t="s">
        <v>350</v>
      </c>
      <c r="F57" s="105"/>
      <c r="G57" s="105"/>
      <c r="H57" s="105"/>
      <c r="I57" s="105"/>
      <c r="J57" s="105"/>
      <c r="K57" s="105">
        <v>1</v>
      </c>
      <c r="L57" s="105"/>
      <c r="M57" s="105"/>
      <c r="N57" s="105"/>
      <c r="V57" s="175"/>
      <c r="W57" s="175"/>
      <c r="X57" s="175">
        <f t="shared" si="17"/>
        <v>0.61299999999999999</v>
      </c>
      <c r="Y57" s="175"/>
      <c r="Z57" s="181">
        <v>0.61299999999999999</v>
      </c>
      <c r="AA57" s="181">
        <f>VLOOKUP($E57,'LTP '!$D$4:$N$86,2+AA$11-$Z$11,0)/1000000</f>
        <v>0</v>
      </c>
      <c r="AB57" s="181">
        <f>VLOOKUP($E57,'LTP '!$D$4:$N$86,2+AB$11-$Z$11,0)/1000000</f>
        <v>0</v>
      </c>
      <c r="AC57" s="181">
        <f>VLOOKUP($E57,'LTP '!$D$4:$N$86,2+AC$11-$Z$11,0)/1000000</f>
        <v>0</v>
      </c>
      <c r="AD57" s="181">
        <f>VLOOKUP($E57,'LTP '!$D$4:$N$86,2+AD$11-$Z$11,0)/1000000</f>
        <v>0</v>
      </c>
      <c r="AE57" s="181">
        <f>VLOOKUP($E57,'LTP '!$D$4:$N$86,2+AE$11-$Z$11,0)/1000000</f>
        <v>0</v>
      </c>
      <c r="AF57" s="181">
        <f>VLOOKUP($E57,'LTP '!$D$4:$N$86,2+AF$11-$Z$11,0)/1000000</f>
        <v>0</v>
      </c>
      <c r="AG57" s="181">
        <f>VLOOKUP($E57,'LTP '!$D$4:$N$86,2+AG$11-$Z$11,0)/1000000</f>
        <v>0</v>
      </c>
      <c r="AH57" s="181">
        <f>VLOOKUP($E57,'LTP '!$D$4:$N$86,2+AH$11-$Z$11,0)/1000000</f>
        <v>0</v>
      </c>
      <c r="AI57" s="181">
        <f>VLOOKUP($E57,'LTP '!$D$4:$N$86,2+AI$11-$Z$11,0)/1000000</f>
        <v>0</v>
      </c>
      <c r="BF57" s="23"/>
      <c r="BH57" s="23"/>
      <c r="BI57" s="23"/>
      <c r="BJ57" s="23"/>
      <c r="BK57" s="23"/>
      <c r="BL57" s="23"/>
      <c r="BM57" s="23"/>
      <c r="BN57" s="23"/>
      <c r="BO57" s="23"/>
      <c r="BP57" s="23" t="s">
        <v>451</v>
      </c>
      <c r="BQ57" s="175" t="str">
        <f t="shared" si="14"/>
        <v>N.009960.16.04 - Glasgow Park - develop toilet facilities</v>
      </c>
      <c r="BR57" s="23" t="str">
        <f>IFERROR(VLOOKUP(BQ57,'LTP '!$R$4:$S$86,2,0),"")</f>
        <v>PC3201501 - General park development</v>
      </c>
      <c r="BS57" s="23"/>
      <c r="BT57" s="23"/>
      <c r="BU57" s="23"/>
      <c r="BV57" s="23"/>
      <c r="BW57" s="23"/>
      <c r="BX57" s="23"/>
      <c r="BY57" s="23"/>
      <c r="BZ57" s="23"/>
      <c r="CA57" s="23">
        <f t="shared" si="21"/>
        <v>0.61299999999999999</v>
      </c>
      <c r="CB57" s="115" t="str">
        <f t="shared" si="22"/>
        <v/>
      </c>
      <c r="CC57" s="23"/>
      <c r="CD57" s="23"/>
      <c r="CE57" s="2">
        <f>COUNTIF($B$291:$B$319,B57)</f>
        <v>1</v>
      </c>
      <c r="CF57" s="23"/>
      <c r="CG57" s="23"/>
      <c r="CH57" s="23"/>
      <c r="CI57" s="23"/>
      <c r="CJ57" s="23"/>
      <c r="CK57" s="23"/>
      <c r="CL57" s="23"/>
      <c r="CM57" s="23"/>
      <c r="CN57" s="23"/>
      <c r="CO57" s="207"/>
      <c r="CP57" s="207"/>
      <c r="CQ57" s="207"/>
      <c r="CR57" s="207"/>
      <c r="CS57" s="53"/>
      <c r="CT57" s="53"/>
      <c r="CU57" s="53"/>
      <c r="CV57" s="53"/>
      <c r="CW57" s="190"/>
      <c r="CX57" s="190"/>
      <c r="CY57" s="190"/>
      <c r="DG57" s="105"/>
      <c r="DH57" s="105"/>
      <c r="DI57" s="105"/>
      <c r="DJ57" s="105"/>
      <c r="DK57" s="105"/>
      <c r="DL57" s="105"/>
      <c r="DM57" s="105"/>
      <c r="DN57" s="105"/>
      <c r="DO57" s="105"/>
      <c r="DP57" s="105"/>
    </row>
    <row r="58" spans="1:120" x14ac:dyDescent="0.3">
      <c r="A58" s="2" t="s">
        <v>108</v>
      </c>
      <c r="B58" s="2" t="s">
        <v>188</v>
      </c>
      <c r="D58" s="2" t="s">
        <v>267</v>
      </c>
      <c r="F58" s="105">
        <v>3</v>
      </c>
      <c r="G58" s="105"/>
      <c r="H58" s="105"/>
      <c r="I58" s="105"/>
      <c r="J58" s="105">
        <f>F58</f>
        <v>3</v>
      </c>
      <c r="K58" s="105"/>
      <c r="L58" s="105"/>
      <c r="M58" s="105"/>
      <c r="N58" s="105"/>
      <c r="O58" s="2">
        <v>2031</v>
      </c>
      <c r="P58" s="2">
        <v>2035</v>
      </c>
      <c r="Q58" s="2">
        <v>2039</v>
      </c>
      <c r="R58" s="2">
        <v>2044</v>
      </c>
      <c r="S58" s="2" t="s">
        <v>881</v>
      </c>
      <c r="T58" s="2">
        <v>2044</v>
      </c>
      <c r="U58" s="2" cm="1">
        <f t="array" ref="U58">INDEX($Z$11:$BN$11,MATCH(TRUE,INDEX(Z58:BN58&lt;&gt;0,),0))</f>
        <v>2046</v>
      </c>
      <c r="V58" s="174">
        <f>SUMPRODUCT(J58:M58,$J$8:$M$8)</f>
        <v>12000</v>
      </c>
      <c r="X58" s="175">
        <f t="shared" si="17"/>
        <v>0</v>
      </c>
      <c r="Y58" s="23">
        <f>$V58*'Cost inputs'!$B$60/1000000</f>
        <v>8.3147853134284819</v>
      </c>
      <c r="AA58" s="23"/>
      <c r="AB58" s="23"/>
      <c r="AC58" s="23"/>
      <c r="AU58" s="23">
        <f>0.1*$Y58*'Cost inputs'!AA$10</f>
        <v>1.6307363070539225</v>
      </c>
      <c r="AV58" s="23">
        <f>0.9*$Y58*'Cost inputs'!AB$10</f>
        <v>15.131602193153347</v>
      </c>
      <c r="BF58" s="23"/>
      <c r="BH58" s="23"/>
      <c r="BI58" s="23"/>
      <c r="BJ58" s="23"/>
      <c r="BO58" s="23"/>
      <c r="BP58" s="23" t="s">
        <v>449</v>
      </c>
      <c r="BQ58" s="175" t="str">
        <f t="shared" si="14"/>
        <v/>
      </c>
      <c r="BR58" s="23" t="str">
        <f>IFERROR(VLOOKUP(BQ58,'LTP '!$R$4:$S$86,2,0),"")</f>
        <v/>
      </c>
      <c r="CA58" s="23">
        <f t="shared" si="21"/>
        <v>16.762338500207271</v>
      </c>
      <c r="CB58" s="115">
        <f t="shared" si="22"/>
        <v>1396.8615416839393</v>
      </c>
      <c r="CE58" s="2">
        <f>COUNTIF($B$291:$B$319,B58)</f>
        <v>1</v>
      </c>
      <c r="CN58" s="23"/>
      <c r="CO58" s="207"/>
      <c r="CP58" s="207"/>
      <c r="CQ58" s="207"/>
      <c r="CR58" s="207"/>
      <c r="CS58" s="53"/>
      <c r="CT58" s="53"/>
      <c r="CU58" s="53"/>
      <c r="CV58" s="53"/>
      <c r="CW58" s="190"/>
      <c r="CX58" s="190"/>
      <c r="CY58" s="190"/>
      <c r="DG58" s="105"/>
      <c r="DH58" s="105"/>
      <c r="DI58" s="105"/>
      <c r="DJ58" s="105"/>
      <c r="DK58" s="105"/>
      <c r="DL58" s="105"/>
      <c r="DM58" s="105"/>
      <c r="DN58" s="105"/>
      <c r="DO58" s="105"/>
      <c r="DP58" s="105"/>
    </row>
    <row r="59" spans="1:120" x14ac:dyDescent="0.3">
      <c r="A59" s="2" t="s">
        <v>322</v>
      </c>
      <c r="B59" s="2" t="s">
        <v>195</v>
      </c>
      <c r="C59" s="2" t="s">
        <v>815</v>
      </c>
      <c r="D59" s="2" t="s">
        <v>450</v>
      </c>
      <c r="E59" s="2" t="s">
        <v>349</v>
      </c>
      <c r="F59" s="105"/>
      <c r="G59" s="105"/>
      <c r="H59" s="105"/>
      <c r="I59" s="105"/>
      <c r="J59" s="105">
        <v>1</v>
      </c>
      <c r="K59" s="105"/>
      <c r="L59" s="105"/>
      <c r="M59" s="105"/>
      <c r="N59" s="105"/>
      <c r="V59" s="175"/>
      <c r="W59" s="3"/>
      <c r="X59" s="175">
        <f t="shared" si="17"/>
        <v>0.79082600000000003</v>
      </c>
      <c r="Y59" s="175"/>
      <c r="Z59" s="181">
        <v>0.29082599999999997</v>
      </c>
      <c r="AA59" s="181">
        <v>0.5</v>
      </c>
      <c r="AB59" s="181">
        <f>VLOOKUP($E59,'LTP '!$D$4:$N$86,2+AB$11-$Z$11,0)/1000000</f>
        <v>0</v>
      </c>
      <c r="AC59" s="181">
        <f>VLOOKUP($E59,'LTP '!$D$4:$N$86,2+AC$11-$Z$11,0)/1000000</f>
        <v>0</v>
      </c>
      <c r="AD59" s="181">
        <f>VLOOKUP($E59,'LTP '!$D$4:$N$86,2+AD$11-$Z$11,0)/1000000</f>
        <v>0</v>
      </c>
      <c r="AE59" s="181">
        <f>VLOOKUP($E59,'LTP '!$D$4:$N$86,2+AE$11-$Z$11,0)/1000000</f>
        <v>0</v>
      </c>
      <c r="AF59" s="181">
        <f>VLOOKUP($E59,'LTP '!$D$4:$N$86,2+AF$11-$Z$11,0)/1000000</f>
        <v>0</v>
      </c>
      <c r="AG59" s="181">
        <f>VLOOKUP($E59,'LTP '!$D$4:$N$86,2+AG$11-$Z$11,0)/1000000</f>
        <v>0</v>
      </c>
      <c r="AH59" s="181">
        <f>VLOOKUP($E59,'LTP '!$D$4:$N$86,2+AH$11-$Z$11,0)/1000000</f>
        <v>0</v>
      </c>
      <c r="AI59" s="181">
        <f>VLOOKUP($E59,'LTP '!$D$4:$N$86,2+AI$11-$Z$11,0)/1000000</f>
        <v>0</v>
      </c>
      <c r="BF59" s="23"/>
      <c r="BH59" s="23"/>
      <c r="BI59" s="23"/>
      <c r="BJ59" s="23"/>
      <c r="BK59" s="23"/>
      <c r="BL59" s="23"/>
      <c r="BM59" s="23"/>
      <c r="BN59" s="23"/>
      <c r="BO59" s="23"/>
      <c r="BP59" s="23" t="s">
        <v>451</v>
      </c>
      <c r="BQ59" s="175" t="str">
        <f t="shared" si="14"/>
        <v>N.009960.16.03 - Dida Park Drive, Huapai - develop new ne</v>
      </c>
      <c r="BR59" s="23" t="str">
        <f>IFERROR(VLOOKUP(BQ59,'LTP '!$R$4:$S$86,2,0),"")</f>
        <v>PC3201501 - General park development</v>
      </c>
      <c r="BS59" s="23"/>
      <c r="BT59" s="23"/>
      <c r="BU59" s="23"/>
      <c r="BV59" s="23"/>
      <c r="BW59" s="23"/>
      <c r="BX59" s="23"/>
      <c r="BY59" s="23"/>
      <c r="BZ59" s="23"/>
      <c r="CA59" s="23">
        <f t="shared" si="21"/>
        <v>0.79082600000000003</v>
      </c>
      <c r="CB59" s="115" t="str">
        <f t="shared" si="22"/>
        <v/>
      </c>
      <c r="CC59" s="23"/>
      <c r="CD59" s="23"/>
      <c r="CE59" s="2">
        <f>COUNTIF($B$291:$B$319,B59)</f>
        <v>1</v>
      </c>
      <c r="CF59" s="23"/>
      <c r="CG59" s="23"/>
      <c r="CH59" s="23"/>
      <c r="CI59" s="23"/>
      <c r="CJ59" s="23"/>
      <c r="CK59" s="23"/>
      <c r="CL59" s="23"/>
      <c r="CM59" s="23"/>
      <c r="CN59" s="23"/>
      <c r="CO59" s="207"/>
      <c r="CP59" s="207"/>
      <c r="CQ59" s="207"/>
      <c r="CR59" s="207"/>
      <c r="CS59" s="53"/>
      <c r="CT59" s="53"/>
      <c r="CU59" s="53"/>
      <c r="CV59" s="53"/>
      <c r="CW59" s="190"/>
      <c r="CX59" s="190"/>
      <c r="CY59" s="190"/>
      <c r="DG59" s="105"/>
      <c r="DH59" s="105"/>
      <c r="DI59" s="105"/>
      <c r="DJ59" s="105"/>
      <c r="DK59" s="105"/>
      <c r="DL59" s="105"/>
      <c r="DM59" s="105"/>
      <c r="DN59" s="105"/>
      <c r="DO59" s="105"/>
      <c r="DP59" s="105"/>
    </row>
    <row r="60" spans="1:120" x14ac:dyDescent="0.3">
      <c r="A60" s="2" t="s">
        <v>322</v>
      </c>
      <c r="B60" s="2" t="s">
        <v>195</v>
      </c>
      <c r="C60" s="2" t="s">
        <v>241</v>
      </c>
      <c r="D60" s="2" t="s">
        <v>450</v>
      </c>
      <c r="E60" s="2" t="s">
        <v>348</v>
      </c>
      <c r="F60" s="105"/>
      <c r="G60" s="105"/>
      <c r="H60" s="105"/>
      <c r="I60" s="105">
        <v>1</v>
      </c>
      <c r="J60" s="105"/>
      <c r="K60" s="105"/>
      <c r="L60" s="105"/>
      <c r="M60" s="105"/>
      <c r="N60" s="105"/>
      <c r="U60" s="176"/>
      <c r="V60" s="175"/>
      <c r="W60" s="175"/>
      <c r="X60" s="175">
        <f t="shared" ref="X60" si="31">SUM(Z60:AI60)</f>
        <v>0.55800000000000005</v>
      </c>
      <c r="Y60" s="175"/>
      <c r="Z60" s="181">
        <v>1.7999999999999999E-2</v>
      </c>
      <c r="AA60" s="181">
        <v>0.54</v>
      </c>
      <c r="AB60" s="181">
        <f>VLOOKUP($E60,'LTP '!$D$4:$N$86,2+AB$11-$Z$11,0)/1000000</f>
        <v>0</v>
      </c>
      <c r="AC60" s="181">
        <f>VLOOKUP($E60,'LTP '!$D$4:$N$86,2+AC$11-$Z$11,0)/1000000</f>
        <v>0</v>
      </c>
      <c r="AD60" s="181">
        <f>VLOOKUP($E60,'LTP '!$D$4:$N$86,2+AD$11-$Z$11,0)/1000000</f>
        <v>0</v>
      </c>
      <c r="AE60" s="181">
        <f>VLOOKUP($E60,'LTP '!$D$4:$N$86,2+AE$11-$Z$11,0)/1000000</f>
        <v>0</v>
      </c>
      <c r="AF60" s="181">
        <f>VLOOKUP($E60,'LTP '!$D$4:$N$86,2+AF$11-$Z$11,0)/1000000</f>
        <v>0</v>
      </c>
      <c r="AG60" s="181">
        <f>VLOOKUP($E60,'LTP '!$D$4:$N$86,2+AG$11-$Z$11,0)/1000000</f>
        <v>0</v>
      </c>
      <c r="AH60" s="181">
        <f>VLOOKUP($E60,'LTP '!$D$4:$N$86,2+AH$11-$Z$11,0)/1000000</f>
        <v>0</v>
      </c>
      <c r="AI60" s="181">
        <f>VLOOKUP($E60,'LTP '!$D$4:$N$86,2+AI$11-$Z$11,0)/1000000</f>
        <v>0</v>
      </c>
      <c r="AJ60" s="181"/>
      <c r="BF60" s="23"/>
      <c r="BH60" s="23"/>
      <c r="BI60" s="23"/>
      <c r="BJ60" s="23"/>
      <c r="BK60" s="23"/>
      <c r="BL60" s="23"/>
      <c r="BM60" s="23"/>
      <c r="BN60" s="23"/>
      <c r="BO60" s="23"/>
      <c r="BP60" s="23" t="s">
        <v>451</v>
      </c>
      <c r="BQ60" s="175"/>
      <c r="BR60" s="23"/>
      <c r="BS60" s="23"/>
      <c r="BT60" s="23"/>
      <c r="BU60" s="23"/>
      <c r="BV60" s="23"/>
      <c r="BW60" s="23"/>
      <c r="BX60" s="23"/>
      <c r="BY60" s="23"/>
      <c r="BZ60" s="23"/>
      <c r="CA60" s="23"/>
      <c r="CB60" s="115"/>
      <c r="CC60" s="23"/>
      <c r="CD60" s="23"/>
      <c r="CF60" s="23"/>
      <c r="CG60" s="23"/>
      <c r="CH60" s="23"/>
      <c r="CI60" s="23"/>
      <c r="CJ60" s="23"/>
      <c r="CK60" s="23"/>
      <c r="CL60" s="23"/>
      <c r="CM60" s="23"/>
      <c r="CN60" s="23"/>
      <c r="CO60" s="207"/>
      <c r="CP60" s="207"/>
      <c r="CQ60" s="207"/>
      <c r="CR60" s="207"/>
      <c r="CS60" s="53"/>
      <c r="CT60" s="53"/>
      <c r="CU60" s="53"/>
      <c r="CV60" s="53"/>
      <c r="CW60" s="190"/>
      <c r="CX60" s="190"/>
      <c r="CY60" s="190"/>
      <c r="DG60" s="105"/>
      <c r="DH60" s="105"/>
      <c r="DI60" s="105"/>
      <c r="DJ60" s="105"/>
      <c r="DK60" s="105"/>
      <c r="DL60" s="105"/>
      <c r="DM60" s="105"/>
      <c r="DN60" s="105"/>
      <c r="DO60" s="105"/>
      <c r="DP60" s="105"/>
    </row>
    <row r="61" spans="1:120" x14ac:dyDescent="0.3">
      <c r="A61" s="2" t="s">
        <v>357</v>
      </c>
      <c r="B61" s="2" t="s">
        <v>195</v>
      </c>
      <c r="D61" s="2" t="s">
        <v>450</v>
      </c>
      <c r="E61" s="2" t="s">
        <v>361</v>
      </c>
      <c r="F61" s="105"/>
      <c r="G61" s="105"/>
      <c r="H61" s="105"/>
      <c r="I61" s="105">
        <v>1</v>
      </c>
      <c r="J61" s="105"/>
      <c r="K61" s="105"/>
      <c r="L61" s="105"/>
      <c r="M61" s="105"/>
      <c r="N61" s="105"/>
      <c r="V61" s="175"/>
      <c r="W61" s="175"/>
      <c r="X61" s="175">
        <f t="shared" si="17"/>
        <v>0.68990799999999997</v>
      </c>
      <c r="Y61" s="175"/>
      <c r="Z61" s="181">
        <v>0.68990799999999997</v>
      </c>
      <c r="AA61" s="181">
        <f>VLOOKUP($E61,'LTP '!$D$4:$N$86,2+AA$11-$Z$11,0)/1000000</f>
        <v>0</v>
      </c>
      <c r="AB61" s="181">
        <f>VLOOKUP($E61,'LTP '!$D$4:$N$86,2+AB$11-$Z$11,0)/1000000</f>
        <v>0</v>
      </c>
      <c r="AC61" s="181">
        <f>VLOOKUP($E61,'LTP '!$D$4:$N$86,2+AC$11-$Z$11,0)/1000000</f>
        <v>0</v>
      </c>
      <c r="AD61" s="181">
        <f>VLOOKUP($E61,'LTP '!$D$4:$N$86,2+AD$11-$Z$11,0)/1000000</f>
        <v>0</v>
      </c>
      <c r="AE61" s="181">
        <f>VLOOKUP($E61,'LTP '!$D$4:$N$86,2+AE$11-$Z$11,0)/1000000</f>
        <v>0</v>
      </c>
      <c r="AF61" s="181">
        <f>VLOOKUP($E61,'LTP '!$D$4:$N$86,2+AF$11-$Z$11,0)/1000000</f>
        <v>0</v>
      </c>
      <c r="AG61" s="181">
        <f>VLOOKUP($E61,'LTP '!$D$4:$N$86,2+AG$11-$Z$11,0)/1000000</f>
        <v>0</v>
      </c>
      <c r="AH61" s="181">
        <f>VLOOKUP($E61,'LTP '!$D$4:$N$86,2+AH$11-$Z$11,0)/1000000</f>
        <v>0</v>
      </c>
      <c r="AI61" s="181">
        <f>VLOOKUP($E61,'LTP '!$D$4:$N$86,2+AI$11-$Z$11,0)/1000000</f>
        <v>0</v>
      </c>
      <c r="AU61" s="181"/>
      <c r="AV61" s="181"/>
      <c r="AW61" s="181"/>
      <c r="AX61" s="181"/>
      <c r="AY61" s="181"/>
      <c r="AZ61" s="181"/>
      <c r="BA61" s="181"/>
      <c r="BB61" s="181"/>
      <c r="BC61" s="181"/>
      <c r="BD61" s="181"/>
      <c r="BE61" s="181"/>
      <c r="BF61" s="23"/>
      <c r="BH61" s="23"/>
      <c r="BI61" s="23"/>
      <c r="BJ61" s="23"/>
      <c r="BK61" s="23"/>
      <c r="BL61" s="23"/>
      <c r="BM61" s="23"/>
      <c r="BN61" s="23"/>
      <c r="BO61" s="23"/>
      <c r="BP61" s="23" t="s">
        <v>451</v>
      </c>
      <c r="BQ61" s="175" t="str">
        <f t="shared" si="14"/>
        <v>N.009961.16.03 - Riverhead War Mem Pk-optimise playspace</v>
      </c>
      <c r="BR61" s="23" t="str">
        <f>IFERROR(VLOOKUP(BQ61,'LTP '!$R$4:$S$86,2,0),"")</f>
        <v>PC3201502 - Playscape development</v>
      </c>
      <c r="BS61" s="23"/>
      <c r="BT61" s="23"/>
      <c r="BU61" s="23"/>
      <c r="BV61" s="23"/>
      <c r="BW61" s="23"/>
      <c r="BX61" s="23"/>
      <c r="BY61" s="23"/>
      <c r="BZ61" s="23"/>
      <c r="CA61" s="23">
        <f t="shared" si="21"/>
        <v>0.68990799999999997</v>
      </c>
      <c r="CB61" s="115" t="str">
        <f t="shared" si="22"/>
        <v/>
      </c>
      <c r="CC61" s="23"/>
      <c r="CD61" s="23"/>
      <c r="CE61" s="2">
        <f>COUNTIF($B$291:$B$319,B61)</f>
        <v>1</v>
      </c>
      <c r="CF61" s="23"/>
      <c r="CG61" s="23"/>
      <c r="CH61" s="23"/>
      <c r="CI61" s="23"/>
      <c r="CJ61" s="23"/>
      <c r="CK61" s="23"/>
      <c r="CL61" s="23"/>
      <c r="CM61" s="23"/>
      <c r="CN61" s="23"/>
      <c r="CO61" s="207"/>
      <c r="CP61" s="207"/>
      <c r="CQ61" s="207"/>
      <c r="CR61" s="207"/>
      <c r="CS61" s="53"/>
      <c r="CT61" s="53"/>
      <c r="CU61" s="53"/>
      <c r="CV61" s="53"/>
      <c r="CW61" s="190"/>
      <c r="CX61" s="190"/>
      <c r="CY61" s="190"/>
      <c r="DG61" s="105"/>
      <c r="DH61" s="105"/>
      <c r="DI61" s="105"/>
      <c r="DJ61" s="105"/>
      <c r="DK61" s="105"/>
      <c r="DL61" s="105"/>
      <c r="DM61" s="105"/>
      <c r="DN61" s="105"/>
      <c r="DO61" s="105"/>
      <c r="DP61" s="105"/>
    </row>
    <row r="62" spans="1:120" x14ac:dyDescent="0.3">
      <c r="B62" s="2" t="s">
        <v>195</v>
      </c>
      <c r="E62" s="2" t="s">
        <v>802</v>
      </c>
      <c r="F62" s="105"/>
      <c r="G62" s="105"/>
      <c r="H62" s="105"/>
      <c r="I62" s="105">
        <v>1</v>
      </c>
      <c r="J62" s="105"/>
      <c r="K62" s="105"/>
      <c r="L62" s="105"/>
      <c r="M62" s="105"/>
      <c r="N62" s="105"/>
      <c r="V62" s="175"/>
      <c r="W62" s="175"/>
      <c r="X62" s="175">
        <f t="shared" si="17"/>
        <v>3</v>
      </c>
      <c r="Y62" s="175"/>
      <c r="Z62" s="181">
        <v>0</v>
      </c>
      <c r="AA62" s="181">
        <v>1</v>
      </c>
      <c r="AB62" s="181">
        <v>2</v>
      </c>
      <c r="AC62" s="181"/>
      <c r="AD62" s="181"/>
      <c r="AE62" s="181"/>
      <c r="AF62" s="181"/>
      <c r="AG62" s="181"/>
      <c r="AH62" s="181"/>
      <c r="AI62" s="181"/>
      <c r="AU62" s="181"/>
      <c r="AV62" s="181"/>
      <c r="AW62" s="181"/>
      <c r="AX62" s="181"/>
      <c r="AY62" s="181"/>
      <c r="AZ62" s="181"/>
      <c r="BA62" s="181"/>
      <c r="BB62" s="181"/>
      <c r="BC62" s="181"/>
      <c r="BD62" s="181"/>
      <c r="BE62" s="181"/>
      <c r="BF62" s="23"/>
      <c r="BH62" s="23"/>
      <c r="BI62" s="23"/>
      <c r="BJ62" s="23"/>
      <c r="BK62" s="23"/>
      <c r="BL62" s="23"/>
      <c r="BM62" s="23"/>
      <c r="BN62" s="23"/>
      <c r="BO62" s="23"/>
      <c r="BP62" s="23" t="s">
        <v>451</v>
      </c>
      <c r="BQ62" s="175" t="str">
        <f t="shared" si="14"/>
        <v>Huapai Recreational Reserve</v>
      </c>
      <c r="BR62" s="23"/>
      <c r="BS62" s="23"/>
      <c r="BT62" s="23"/>
      <c r="BU62" s="23"/>
      <c r="BV62" s="23"/>
      <c r="BW62" s="23"/>
      <c r="BX62" s="23"/>
      <c r="BY62" s="23"/>
      <c r="BZ62" s="23"/>
      <c r="CA62" s="23"/>
      <c r="CB62" s="115"/>
      <c r="CC62" s="23"/>
      <c r="CD62" s="23"/>
      <c r="CF62" s="23"/>
      <c r="CG62" s="23"/>
      <c r="CH62" s="23"/>
      <c r="CI62" s="23"/>
      <c r="CJ62" s="23"/>
      <c r="CK62" s="23"/>
      <c r="CL62" s="23"/>
      <c r="CM62" s="23"/>
      <c r="CN62" s="23"/>
      <c r="CO62" s="207"/>
      <c r="CP62" s="207"/>
      <c r="CQ62" s="207"/>
      <c r="CR62" s="207"/>
      <c r="CS62" s="53"/>
      <c r="CT62" s="53"/>
      <c r="CU62" s="53"/>
      <c r="CV62" s="53"/>
      <c r="CW62" s="190"/>
      <c r="CX62" s="190"/>
      <c r="CY62" s="190"/>
      <c r="DG62" s="105"/>
      <c r="DH62" s="105"/>
      <c r="DI62" s="105"/>
      <c r="DJ62" s="105"/>
      <c r="DK62" s="105"/>
      <c r="DL62" s="105"/>
      <c r="DM62" s="105"/>
      <c r="DN62" s="105"/>
      <c r="DO62" s="105"/>
      <c r="DP62" s="105"/>
    </row>
    <row r="63" spans="1:120" x14ac:dyDescent="0.3">
      <c r="A63" s="2" t="s">
        <v>106</v>
      </c>
      <c r="B63" s="2" t="s">
        <v>194</v>
      </c>
      <c r="D63" s="2" t="s">
        <v>485</v>
      </c>
      <c r="E63" s="2" t="s">
        <v>486</v>
      </c>
      <c r="F63" s="105">
        <f>1+17+3</f>
        <v>21</v>
      </c>
      <c r="G63" s="105"/>
      <c r="H63" s="105"/>
      <c r="I63" s="105"/>
      <c r="J63" s="105">
        <f>F63</f>
        <v>21</v>
      </c>
      <c r="K63" s="105"/>
      <c r="L63" s="105"/>
      <c r="M63" s="105"/>
      <c r="N63" s="105"/>
      <c r="O63" s="2">
        <v>2046</v>
      </c>
      <c r="P63" s="2">
        <v>2050</v>
      </c>
      <c r="Q63" s="2">
        <v>2054</v>
      </c>
      <c r="R63" s="2">
        <v>2056</v>
      </c>
      <c r="S63" s="2" t="s">
        <v>881</v>
      </c>
      <c r="T63" s="2">
        <v>2056</v>
      </c>
      <c r="U63" s="2" cm="1">
        <f t="array" ref="U63">INDEX($Z$11:$BN$11,MATCH(TRUE,INDEX(Z63:BN63&lt;&gt;0,),0))</f>
        <v>2058</v>
      </c>
      <c r="V63" s="174">
        <f>SUMPRODUCT(J63:M63,$J$8:$M$8)</f>
        <v>84000</v>
      </c>
      <c r="W63" s="175"/>
      <c r="X63" s="175">
        <f t="shared" si="17"/>
        <v>0</v>
      </c>
      <c r="Y63" s="23">
        <f>$V63*'Cost inputs'!$B$60/1000000</f>
        <v>58.203497193999375</v>
      </c>
      <c r="AR63" s="181"/>
      <c r="AS63" s="181"/>
      <c r="AT63" s="181"/>
      <c r="AU63" s="181"/>
      <c r="AV63" s="181"/>
      <c r="AW63" s="181"/>
      <c r="AX63" s="181"/>
      <c r="AY63" s="181"/>
      <c r="AZ63" s="181"/>
      <c r="BA63" s="181"/>
      <c r="BB63" s="181"/>
      <c r="BC63" s="181"/>
      <c r="BD63" s="181"/>
      <c r="BE63" s="181"/>
      <c r="BF63" s="23"/>
      <c r="BG63" s="23">
        <f>0.1*$Y63*'Cost inputs'!AM$10</f>
        <v>16.46591101038355</v>
      </c>
      <c r="BH63" s="23">
        <f>0.9*$Y63*'Cost inputs'!AN$10</f>
        <v>152.78718826534893</v>
      </c>
      <c r="BI63" s="23"/>
      <c r="BJ63" s="23"/>
      <c r="BK63" s="23"/>
      <c r="BL63" s="23"/>
      <c r="BM63" s="23"/>
      <c r="BN63" s="23"/>
      <c r="BO63" s="23"/>
      <c r="BP63" s="23" t="s">
        <v>449</v>
      </c>
      <c r="BQ63" s="175" t="str">
        <f t="shared" si="14"/>
        <v/>
      </c>
      <c r="BR63" s="23" t="str">
        <f>IFERROR(VLOOKUP(BQ63,'LTP '!$R$4:$S$86,2,0),"")</f>
        <v/>
      </c>
      <c r="BS63" s="23"/>
      <c r="BT63" s="23"/>
      <c r="BU63" s="23"/>
      <c r="BV63" s="23"/>
      <c r="BW63" s="23"/>
      <c r="BX63" s="23"/>
      <c r="BY63" s="23"/>
      <c r="BZ63" s="23"/>
      <c r="CA63" s="23">
        <f t="shared" si="21"/>
        <v>169.2530992757325</v>
      </c>
      <c r="CB63" s="115">
        <f t="shared" si="22"/>
        <v>2014.9178485206251</v>
      </c>
      <c r="CC63" s="23"/>
      <c r="CD63" s="23"/>
      <c r="CE63" s="2">
        <f t="shared" ref="CE63:CE77" si="32">COUNTIF($B$291:$B$319,B63)</f>
        <v>1</v>
      </c>
      <c r="CF63" s="23"/>
      <c r="CG63" s="23"/>
      <c r="CH63" s="23"/>
      <c r="CI63" s="23"/>
      <c r="CJ63" s="23"/>
      <c r="CK63" s="23"/>
      <c r="CL63" s="23"/>
      <c r="CM63" s="23"/>
      <c r="CN63" s="23"/>
      <c r="CO63" s="207"/>
      <c r="CP63" s="207"/>
      <c r="CQ63" s="207"/>
      <c r="CR63" s="207"/>
      <c r="CS63" s="53"/>
      <c r="CT63" s="53"/>
      <c r="CU63" s="53"/>
      <c r="CV63" s="53"/>
      <c r="CW63" s="190"/>
      <c r="CX63" s="190"/>
      <c r="CY63" s="190"/>
      <c r="DG63" s="105"/>
      <c r="DH63" s="105"/>
      <c r="DI63" s="105"/>
      <c r="DJ63" s="105"/>
      <c r="DK63" s="105"/>
      <c r="DL63" s="105"/>
      <c r="DM63" s="105"/>
      <c r="DN63" s="105"/>
      <c r="DO63" s="105"/>
      <c r="DP63" s="105"/>
    </row>
    <row r="64" spans="1:120" x14ac:dyDescent="0.3">
      <c r="A64" s="2" t="s">
        <v>106</v>
      </c>
      <c r="B64" s="2" t="s">
        <v>194</v>
      </c>
      <c r="D64" s="2" t="s">
        <v>485</v>
      </c>
      <c r="E64" s="2" t="s">
        <v>487</v>
      </c>
      <c r="F64" s="105"/>
      <c r="G64" s="105">
        <v>5</v>
      </c>
      <c r="H64" s="105"/>
      <c r="I64" s="105"/>
      <c r="J64" s="105"/>
      <c r="K64" s="105">
        <f>G64</f>
        <v>5</v>
      </c>
      <c r="L64" s="105"/>
      <c r="M64" s="105"/>
      <c r="N64" s="105"/>
      <c r="O64" s="2">
        <v>2046</v>
      </c>
      <c r="P64" s="2">
        <v>2050</v>
      </c>
      <c r="Q64" s="2">
        <v>2054</v>
      </c>
      <c r="R64" s="2">
        <v>2056</v>
      </c>
      <c r="S64" s="2" t="s">
        <v>881</v>
      </c>
      <c r="T64" s="2">
        <v>2056</v>
      </c>
      <c r="U64" s="2" cm="1">
        <f t="array" ref="U64">INDEX($Z$11:$BN$11,MATCH(TRUE,INDEX(Z64:BN64&lt;&gt;0,),0))</f>
        <v>2058</v>
      </c>
      <c r="V64" s="174">
        <f>SUMPRODUCT(J64:M64,$J$8:$M$8)</f>
        <v>150000</v>
      </c>
      <c r="W64" s="175"/>
      <c r="X64" s="175">
        <f t="shared" si="17"/>
        <v>0</v>
      </c>
      <c r="Y64" s="23">
        <f>$V64*'Cost inputs'!$B$61/1000000</f>
        <v>19.700579604372475</v>
      </c>
      <c r="AU64" s="181"/>
      <c r="AV64" s="181"/>
      <c r="AW64" s="181"/>
      <c r="AX64" s="181"/>
      <c r="AY64" s="181"/>
      <c r="AZ64" s="181"/>
      <c r="BA64" s="181"/>
      <c r="BB64" s="181"/>
      <c r="BC64" s="181"/>
      <c r="BD64" s="181"/>
      <c r="BE64" s="181"/>
      <c r="BF64" s="23"/>
      <c r="BG64" s="23">
        <f>0.1*$Y64*'Cost inputs'!AM$10</f>
        <v>5.5733419168499356</v>
      </c>
      <c r="BH64" s="23">
        <f>0.1*$Y64*'Cost inputs'!AN$10</f>
        <v>5.7461155162722832</v>
      </c>
      <c r="BI64" s="23">
        <f>0.4*$Y64*'Cost inputs'!AO$10</f>
        <v>23.696980389106894</v>
      </c>
      <c r="BJ64" s="23">
        <f>0.4*$Y64*'Cost inputs'!AP$10</f>
        <v>24.431586781169209</v>
      </c>
      <c r="BK64" s="23"/>
      <c r="BL64" s="23"/>
      <c r="BM64" s="23"/>
      <c r="BN64" s="23"/>
      <c r="BO64" s="23"/>
      <c r="BP64" s="23" t="s">
        <v>449</v>
      </c>
      <c r="BQ64" s="175" t="str">
        <f t="shared" si="14"/>
        <v/>
      </c>
      <c r="BR64" s="23" t="str">
        <f>IFERROR(VLOOKUP(BQ64,'LTP '!$R$4:$S$86,2,0),"")</f>
        <v/>
      </c>
      <c r="BS64" s="23"/>
      <c r="BT64" s="23"/>
      <c r="BU64" s="23"/>
      <c r="BV64" s="23"/>
      <c r="BW64" s="23"/>
      <c r="BX64" s="23"/>
      <c r="BY64" s="23"/>
      <c r="BZ64" s="23"/>
      <c r="CA64" s="23">
        <f t="shared" si="21"/>
        <v>59.448024603398324</v>
      </c>
      <c r="CB64" s="115">
        <f t="shared" si="22"/>
        <v>396.32016402265549</v>
      </c>
      <c r="CC64" s="23"/>
      <c r="CD64" s="23"/>
      <c r="CE64" s="2">
        <f t="shared" si="32"/>
        <v>1</v>
      </c>
      <c r="CF64" s="23"/>
      <c r="CG64" s="23"/>
      <c r="CH64" s="23"/>
      <c r="CI64" s="23"/>
      <c r="CJ64" s="23"/>
      <c r="CK64" s="23"/>
      <c r="CL64" s="23"/>
      <c r="CM64" s="23"/>
      <c r="CN64" s="23"/>
      <c r="CO64" s="207"/>
      <c r="CP64" s="207"/>
      <c r="CQ64" s="207"/>
      <c r="CR64" s="207"/>
      <c r="CS64" s="53"/>
      <c r="CT64" s="53"/>
      <c r="CU64" s="53"/>
      <c r="CV64" s="53"/>
      <c r="CW64" s="190"/>
      <c r="CX64" s="190"/>
      <c r="CY64" s="190"/>
      <c r="DG64" s="105"/>
      <c r="DH64" s="105"/>
      <c r="DI64" s="105"/>
      <c r="DJ64" s="105"/>
      <c r="DK64" s="105"/>
      <c r="DL64" s="105"/>
      <c r="DM64" s="105"/>
      <c r="DN64" s="105"/>
      <c r="DO64" s="105"/>
      <c r="DP64" s="105"/>
    </row>
    <row r="65" spans="1:120" x14ac:dyDescent="0.3">
      <c r="A65" s="2" t="s">
        <v>301</v>
      </c>
      <c r="B65" s="2" t="s">
        <v>210</v>
      </c>
      <c r="C65" s="2" t="s">
        <v>488</v>
      </c>
      <c r="D65" s="2" t="s">
        <v>450</v>
      </c>
      <c r="E65" s="2" t="s">
        <v>302</v>
      </c>
      <c r="F65" s="184"/>
      <c r="G65" s="184"/>
      <c r="H65" s="184"/>
      <c r="I65" s="184"/>
      <c r="J65" s="184"/>
      <c r="K65" s="105"/>
      <c r="L65" s="105">
        <v>1</v>
      </c>
      <c r="M65" s="105"/>
      <c r="N65" s="105"/>
      <c r="O65" s="215"/>
      <c r="V65" s="175"/>
      <c r="X65" s="175">
        <f t="shared" si="17"/>
        <v>1.7036519999999999</v>
      </c>
      <c r="Y65" s="175"/>
      <c r="Z65" s="181">
        <f>VLOOKUP($E65,'LTP '!$D$4:$N$86,2+Z$11-$Z$11,0)/1000000</f>
        <v>0.5</v>
      </c>
      <c r="AA65" s="181">
        <f>VLOOKUP($E65,'LTP '!$D$4:$N$86,2+AA$11-$Z$11,0)/1000000</f>
        <v>1.2036519999999999</v>
      </c>
      <c r="AB65" s="181">
        <f>VLOOKUP($E65,'LTP '!$D$4:$N$86,2+AB$11-$Z$11,0)/1000000</f>
        <v>0</v>
      </c>
      <c r="AC65" s="181">
        <f>VLOOKUP($E65,'LTP '!$D$4:$N$86,2+AC$11-$Z$11,0)/1000000</f>
        <v>0</v>
      </c>
      <c r="AD65" s="181">
        <f>VLOOKUP($E65,'LTP '!$D$4:$N$86,2+AD$11-$Z$11,0)/1000000</f>
        <v>0</v>
      </c>
      <c r="AE65" s="181">
        <f>VLOOKUP($E65,'LTP '!$D$4:$N$86,2+AE$11-$Z$11,0)/1000000</f>
        <v>0</v>
      </c>
      <c r="AF65" s="181">
        <f>VLOOKUP($E65,'LTP '!$D$4:$N$86,2+AF$11-$Z$11,0)/1000000</f>
        <v>0</v>
      </c>
      <c r="AG65" s="181">
        <f>VLOOKUP($E65,'LTP '!$D$4:$N$86,2+AG$11-$Z$11,0)/1000000</f>
        <v>0</v>
      </c>
      <c r="AH65" s="181">
        <f>VLOOKUP($E65,'LTP '!$D$4:$N$86,2+AH$11-$Z$11,0)/1000000</f>
        <v>0</v>
      </c>
      <c r="AI65" s="181">
        <f>VLOOKUP($E65,'LTP '!$D$4:$N$86,2+AI$11-$Z$11,0)/1000000</f>
        <v>0</v>
      </c>
      <c r="BF65" s="23"/>
      <c r="BH65" s="23"/>
      <c r="BI65" s="23"/>
      <c r="BJ65" s="23"/>
      <c r="BK65" s="23"/>
      <c r="BL65" s="23"/>
      <c r="BM65" s="23"/>
      <c r="BN65" s="23"/>
      <c r="BO65" s="23"/>
      <c r="BP65" s="23" t="s">
        <v>451</v>
      </c>
      <c r="BQ65" s="175" t="str">
        <f t="shared" si="14"/>
        <v>N.010011.11.01 - Waikaraka Park - improve and extnd field</v>
      </c>
      <c r="BR65" s="23" t="str">
        <f>IFERROR(VLOOKUP(BQ65,'LTP '!$R$4:$S$86,2,0),"")</f>
        <v>PC3200889 - Sportspark Development (Waikaraka Park)</v>
      </c>
      <c r="BS65" s="23"/>
      <c r="BT65" s="23"/>
      <c r="BU65" s="23"/>
      <c r="BV65" s="23"/>
      <c r="BW65" s="23"/>
      <c r="BX65" s="23"/>
      <c r="BY65" s="23"/>
      <c r="BZ65" s="23"/>
      <c r="CA65" s="23">
        <f t="shared" si="21"/>
        <v>1.7036519999999999</v>
      </c>
      <c r="CB65" s="115" t="str">
        <f t="shared" si="22"/>
        <v/>
      </c>
      <c r="CC65" s="23"/>
      <c r="CD65" s="23"/>
      <c r="CE65" s="2">
        <f t="shared" si="32"/>
        <v>1</v>
      </c>
      <c r="CF65" s="23"/>
      <c r="CG65" s="23"/>
      <c r="CH65" s="23"/>
      <c r="CI65" s="23"/>
      <c r="CJ65" s="23"/>
      <c r="CK65" s="23"/>
      <c r="CL65" s="23"/>
      <c r="CM65" s="23"/>
      <c r="CN65" s="23"/>
      <c r="CO65" s="207"/>
      <c r="CP65" s="207"/>
      <c r="CQ65" s="207"/>
      <c r="CR65" s="207"/>
      <c r="CS65" s="53"/>
      <c r="CT65" s="53"/>
      <c r="CU65" s="53"/>
      <c r="CV65" s="53"/>
      <c r="CW65" s="190"/>
      <c r="CX65" s="190"/>
      <c r="CY65" s="190"/>
      <c r="DG65" s="105"/>
      <c r="DH65" s="105"/>
      <c r="DI65" s="105"/>
      <c r="DJ65" s="105"/>
      <c r="DK65" s="105"/>
      <c r="DL65" s="105"/>
      <c r="DM65" s="105"/>
      <c r="DN65" s="105"/>
      <c r="DO65" s="105"/>
      <c r="DP65" s="105"/>
    </row>
    <row r="66" spans="1:120" x14ac:dyDescent="0.3">
      <c r="A66" s="2" t="s">
        <v>318</v>
      </c>
      <c r="B66" s="2" t="s">
        <v>210</v>
      </c>
      <c r="C66" s="2" t="s">
        <v>489</v>
      </c>
      <c r="D66" s="2" t="s">
        <v>450</v>
      </c>
      <c r="E66" s="2" t="s">
        <v>319</v>
      </c>
      <c r="F66" s="184"/>
      <c r="G66" s="184"/>
      <c r="H66" s="184"/>
      <c r="I66" s="184"/>
      <c r="J66" s="184"/>
      <c r="K66" s="105"/>
      <c r="L66" s="105">
        <v>1</v>
      </c>
      <c r="M66" s="105"/>
      <c r="N66" s="105"/>
      <c r="O66" s="215"/>
      <c r="V66" s="175"/>
      <c r="X66" s="175">
        <f t="shared" si="17"/>
        <v>6.3481750799999999</v>
      </c>
      <c r="Y66" s="175"/>
      <c r="Z66" s="181">
        <f>VLOOKUP($E66,'LTP '!$D$4:$N$86,2+Z$11-$Z$11,0)/1000000</f>
        <v>1.1160079999999999E-2</v>
      </c>
      <c r="AA66" s="181">
        <f>VLOOKUP($E66,'LTP '!$D$4:$N$86,2+AA$11-$Z$11,0)/1000000</f>
        <v>0</v>
      </c>
      <c r="AB66" s="181">
        <f>VLOOKUP($E66,'LTP '!$D$4:$N$86,2+AB$11-$Z$11,0)/1000000</f>
        <v>2.1528</v>
      </c>
      <c r="AC66" s="181">
        <f>VLOOKUP($E66,'LTP '!$D$4:$N$86,2+AC$11-$Z$11,0)/1000000</f>
        <v>4.184215</v>
      </c>
      <c r="AD66" s="181">
        <f>VLOOKUP($E66,'LTP '!$D$4:$N$86,2+AD$11-$Z$11,0)/1000000</f>
        <v>0</v>
      </c>
      <c r="AE66" s="181">
        <f>VLOOKUP($E66,'LTP '!$D$4:$N$86,2+AE$11-$Z$11,0)/1000000</f>
        <v>0</v>
      </c>
      <c r="AF66" s="181">
        <f>VLOOKUP($E66,'LTP '!$D$4:$N$86,2+AF$11-$Z$11,0)/1000000</f>
        <v>0</v>
      </c>
      <c r="AG66" s="181">
        <f>VLOOKUP($E66,'LTP '!$D$4:$N$86,2+AG$11-$Z$11,0)/1000000</f>
        <v>0</v>
      </c>
      <c r="AH66" s="181">
        <f>VLOOKUP($E66,'LTP '!$D$4:$N$86,2+AH$11-$Z$11,0)/1000000</f>
        <v>0</v>
      </c>
      <c r="AI66" s="181">
        <f>VLOOKUP($E66,'LTP '!$D$4:$N$86,2+AI$11-$Z$11,0)/1000000</f>
        <v>0</v>
      </c>
      <c r="BF66" s="23"/>
      <c r="BH66" s="23"/>
      <c r="BI66" s="23"/>
      <c r="BJ66" s="23"/>
      <c r="BK66" s="23"/>
      <c r="BL66" s="23"/>
      <c r="BM66" s="23"/>
      <c r="BN66" s="23"/>
      <c r="BO66" s="23"/>
      <c r="BP66" s="23" t="s">
        <v>451</v>
      </c>
      <c r="BQ66" s="175" t="str">
        <f t="shared" si="14"/>
        <v>N.010036.07.01 - Ostrich Farm - sand slits, drain, irrig</v>
      </c>
      <c r="BR66" s="23" t="str">
        <f>IFERROR(VLOOKUP(BQ66,'LTP '!$R$4:$S$86,2,0),"")</f>
        <v>PC3201442 - Sportsfields development (Ostrich Farm)</v>
      </c>
      <c r="BS66" s="23"/>
      <c r="BT66" s="23"/>
      <c r="BU66" s="23"/>
      <c r="BV66" s="23"/>
      <c r="BW66" s="23"/>
      <c r="BX66" s="23"/>
      <c r="BY66" s="23"/>
      <c r="BZ66" s="23"/>
      <c r="CA66" s="23">
        <f t="shared" si="21"/>
        <v>6.3481750799999999</v>
      </c>
      <c r="CB66" s="115" t="str">
        <f t="shared" si="22"/>
        <v/>
      </c>
      <c r="CC66" s="23"/>
      <c r="CD66" s="23"/>
      <c r="CE66" s="2">
        <f t="shared" si="32"/>
        <v>1</v>
      </c>
      <c r="CF66" s="23"/>
      <c r="CG66" s="23"/>
      <c r="CH66" s="23"/>
      <c r="CI66" s="23"/>
      <c r="CJ66" s="23"/>
      <c r="CK66" s="23"/>
      <c r="CL66" s="23"/>
      <c r="CM66" s="23"/>
      <c r="CN66" s="23"/>
      <c r="CX66" s="190"/>
      <c r="DG66" s="105"/>
      <c r="DH66" s="105"/>
      <c r="DI66" s="105"/>
      <c r="DJ66" s="105"/>
      <c r="DK66" s="105"/>
      <c r="DL66" s="105"/>
      <c r="DM66" s="105"/>
      <c r="DN66" s="105"/>
      <c r="DO66" s="105"/>
      <c r="DP66" s="105"/>
    </row>
    <row r="67" spans="1:120" x14ac:dyDescent="0.3">
      <c r="A67" s="2" t="s">
        <v>322</v>
      </c>
      <c r="B67" s="2" t="s">
        <v>210</v>
      </c>
      <c r="C67" s="2" t="s">
        <v>491</v>
      </c>
      <c r="D67" s="2" t="s">
        <v>450</v>
      </c>
      <c r="E67" s="2" t="s">
        <v>353</v>
      </c>
      <c r="F67" s="184"/>
      <c r="G67" s="184"/>
      <c r="H67" s="184"/>
      <c r="I67" s="184"/>
      <c r="J67" s="184"/>
      <c r="K67" s="105"/>
      <c r="L67" s="105">
        <v>1</v>
      </c>
      <c r="M67" s="105"/>
      <c r="N67" s="105"/>
      <c r="O67" s="215"/>
      <c r="V67" s="175"/>
      <c r="W67" s="175"/>
      <c r="X67" s="175">
        <f t="shared" si="17"/>
        <v>11.370264000000001</v>
      </c>
      <c r="Y67" s="175"/>
      <c r="Z67" s="181">
        <v>3.9022640000000002</v>
      </c>
      <c r="AA67" s="181">
        <v>4.8561969999999999</v>
      </c>
      <c r="AB67" s="181">
        <v>2.6118030000000001</v>
      </c>
      <c r="AC67" s="181">
        <f>VLOOKUP($E67,'LTP '!$D$4:$N$86,2+AC$11-$Z$11,0)/1000000</f>
        <v>0</v>
      </c>
      <c r="AD67" s="181">
        <f>VLOOKUP($E67,'LTP '!$D$4:$N$86,2+AD$11-$Z$11,0)/1000000</f>
        <v>0</v>
      </c>
      <c r="AE67" s="181">
        <f>VLOOKUP($E67,'LTP '!$D$4:$N$86,2+AE$11-$Z$11,0)/1000000</f>
        <v>0</v>
      </c>
      <c r="AF67" s="181">
        <f>VLOOKUP($E67,'LTP '!$D$4:$N$86,2+AF$11-$Z$11,0)/1000000</f>
        <v>0</v>
      </c>
      <c r="AG67" s="181">
        <f>VLOOKUP($E67,'LTP '!$D$4:$N$86,2+AG$11-$Z$11,0)/1000000</f>
        <v>0</v>
      </c>
      <c r="AH67" s="181">
        <f>VLOOKUP($E67,'LTP '!$D$4:$N$86,2+AH$11-$Z$11,0)/1000000</f>
        <v>0</v>
      </c>
      <c r="AI67" s="181">
        <f>VLOOKUP($E67,'LTP '!$D$4:$N$86,2+AI$11-$Z$11,0)/1000000</f>
        <v>0</v>
      </c>
      <c r="AU67" s="181"/>
      <c r="AV67" s="181"/>
      <c r="AW67" s="181"/>
      <c r="AX67" s="181"/>
      <c r="AY67" s="181"/>
      <c r="AZ67" s="181"/>
      <c r="BA67" s="181"/>
      <c r="BB67" s="181"/>
      <c r="BC67" s="181"/>
      <c r="BD67" s="181"/>
      <c r="BE67" s="181"/>
      <c r="BF67" s="23"/>
      <c r="BH67" s="23"/>
      <c r="BI67" s="23"/>
      <c r="BJ67" s="23"/>
      <c r="BK67" s="23"/>
      <c r="BL67" s="23"/>
      <c r="BM67" s="23"/>
      <c r="BN67" s="23"/>
      <c r="BO67" s="23"/>
      <c r="BP67" s="23" t="s">
        <v>451</v>
      </c>
      <c r="BQ67" s="175" t="str">
        <f t="shared" si="14"/>
        <v>N.009960.17.02 - Scott Point-dvp sus spts prk (Stage 1b)</v>
      </c>
      <c r="BR67" s="23" t="str">
        <f>IFERROR(VLOOKUP(BQ67,'LTP '!$R$4:$S$86,2,0),"")</f>
        <v>PC3201501 - General park development</v>
      </c>
      <c r="BS67" s="23"/>
      <c r="BT67" s="23"/>
      <c r="BU67" s="23"/>
      <c r="BV67" s="23"/>
      <c r="BW67" s="23"/>
      <c r="BX67" s="23"/>
      <c r="BY67" s="23"/>
      <c r="BZ67" s="23"/>
      <c r="CA67" s="23">
        <f t="shared" si="21"/>
        <v>11.370264000000001</v>
      </c>
      <c r="CB67" s="115" t="str">
        <f t="shared" si="22"/>
        <v/>
      </c>
      <c r="CC67" s="23"/>
      <c r="CD67" s="23"/>
      <c r="CE67" s="2">
        <f t="shared" si="32"/>
        <v>1</v>
      </c>
      <c r="CF67" s="23"/>
      <c r="CG67" s="23"/>
      <c r="CH67" s="23"/>
      <c r="CI67" s="23"/>
      <c r="CJ67" s="23"/>
      <c r="CK67" s="23"/>
      <c r="CL67" s="23"/>
      <c r="CM67" s="23"/>
      <c r="CN67" s="23"/>
      <c r="CO67" s="207"/>
      <c r="CP67" s="207"/>
      <c r="CQ67" s="207"/>
      <c r="CR67" s="207"/>
      <c r="CS67" s="53"/>
      <c r="CT67" s="53"/>
      <c r="CU67" s="53"/>
      <c r="CV67" s="53"/>
      <c r="CW67" s="190"/>
      <c r="CX67" s="190"/>
      <c r="CY67" s="190"/>
      <c r="DG67" s="105"/>
      <c r="DH67" s="105"/>
      <c r="DI67" s="105"/>
      <c r="DJ67" s="105"/>
      <c r="DK67" s="105"/>
      <c r="DL67" s="105"/>
      <c r="DM67" s="105"/>
      <c r="DN67" s="105"/>
      <c r="DO67" s="105"/>
      <c r="DP67" s="105"/>
    </row>
    <row r="68" spans="1:120" x14ac:dyDescent="0.3">
      <c r="A68" s="2" t="s">
        <v>368</v>
      </c>
      <c r="B68" s="2" t="s">
        <v>210</v>
      </c>
      <c r="C68" s="2" t="s">
        <v>492</v>
      </c>
      <c r="D68" s="2" t="s">
        <v>450</v>
      </c>
      <c r="E68" s="2" t="s">
        <v>369</v>
      </c>
      <c r="F68" s="184"/>
      <c r="G68" s="184"/>
      <c r="H68" s="184"/>
      <c r="I68" s="184"/>
      <c r="J68" s="184"/>
      <c r="K68" s="105"/>
      <c r="L68" s="105">
        <f>14.3/10</f>
        <v>1.4300000000000002</v>
      </c>
      <c r="M68" s="105"/>
      <c r="N68" s="105"/>
      <c r="O68" s="215"/>
      <c r="U68" s="175"/>
      <c r="V68" s="175"/>
      <c r="W68" s="175"/>
      <c r="X68" s="175">
        <f t="shared" ref="X68:X127" si="33">SUM(Z68:AI68)</f>
        <v>5</v>
      </c>
      <c r="Y68" s="175"/>
      <c r="Z68" s="181">
        <f>VLOOKUP($E68,'LTP '!$D$4:$N$86,2+Z$11-$Z$11,0)/1000000</f>
        <v>2.5000000000000001E-2</v>
      </c>
      <c r="AA68" s="181">
        <f>VLOOKUP($E68,'LTP '!$D$4:$N$86,2+AA$11-$Z$11,0)/1000000</f>
        <v>0.2</v>
      </c>
      <c r="AB68" s="181">
        <f>VLOOKUP($E68,'LTP '!$D$4:$N$86,2+AB$11-$Z$11,0)/1000000</f>
        <v>1</v>
      </c>
      <c r="AC68" s="181">
        <f>VLOOKUP($E68,'LTP '!$D$4:$N$86,2+AC$11-$Z$11,0)/1000000</f>
        <v>1.7749999999999999</v>
      </c>
      <c r="AD68" s="181">
        <f>VLOOKUP($E68,'LTP '!$D$4:$N$86,2+AD$11-$Z$11,0)/1000000</f>
        <v>2</v>
      </c>
      <c r="AE68" s="181">
        <f>VLOOKUP($E68,'LTP '!$D$4:$N$86,2+AE$11-$Z$11,0)/1000000</f>
        <v>0</v>
      </c>
      <c r="AF68" s="181">
        <f>VLOOKUP($E68,'LTP '!$D$4:$N$86,2+AF$11-$Z$11,0)/1000000</f>
        <v>0</v>
      </c>
      <c r="AG68" s="181">
        <f>VLOOKUP($E68,'LTP '!$D$4:$N$86,2+AG$11-$Z$11,0)/1000000</f>
        <v>0</v>
      </c>
      <c r="AH68" s="181">
        <f>VLOOKUP($E68,'LTP '!$D$4:$N$86,2+AH$11-$Z$11,0)/1000000</f>
        <v>0</v>
      </c>
      <c r="AI68" s="181">
        <f>VLOOKUP($E68,'LTP '!$D$4:$N$86,2+AI$11-$Z$11,0)/1000000</f>
        <v>0</v>
      </c>
      <c r="AR68" s="181"/>
      <c r="AS68" s="181"/>
      <c r="AT68" s="181"/>
      <c r="AU68" s="181"/>
      <c r="AV68" s="181"/>
      <c r="AW68" s="181"/>
      <c r="AX68" s="181"/>
      <c r="AY68" s="181"/>
      <c r="AZ68" s="181"/>
      <c r="BA68" s="181"/>
      <c r="BB68" s="181"/>
      <c r="BC68" s="181"/>
      <c r="BD68" s="181"/>
      <c r="BE68" s="181"/>
      <c r="BF68" s="23"/>
      <c r="BH68" s="23"/>
      <c r="BI68" s="23"/>
      <c r="BJ68" s="23"/>
      <c r="BK68" s="23"/>
      <c r="BL68" s="23"/>
      <c r="BM68" s="23"/>
      <c r="BN68" s="23"/>
      <c r="BO68" s="23"/>
      <c r="BP68" s="23" t="s">
        <v>451</v>
      </c>
      <c r="BQ68" s="175" t="str">
        <f t="shared" si="14"/>
        <v>N.009963.03.05 - Belmont Park - develop sports park</v>
      </c>
      <c r="BR68" s="23" t="str">
        <f>IFERROR(VLOOKUP(BQ68,'LTP '!$R$4:$S$86,2,0),"")</f>
        <v>PC3201504 - Sport development</v>
      </c>
      <c r="BS68" s="23"/>
      <c r="BT68" s="23"/>
      <c r="BU68" s="23"/>
      <c r="BV68" s="23"/>
      <c r="BW68" s="23"/>
      <c r="BX68" s="23"/>
      <c r="BY68" s="23"/>
      <c r="BZ68" s="23"/>
      <c r="CA68" s="23">
        <f t="shared" si="21"/>
        <v>5</v>
      </c>
      <c r="CB68" s="115" t="str">
        <f t="shared" si="22"/>
        <v/>
      </c>
      <c r="CC68" s="23"/>
      <c r="CD68" s="23"/>
      <c r="CE68" s="2">
        <f t="shared" si="32"/>
        <v>1</v>
      </c>
      <c r="CF68" s="23"/>
      <c r="CG68" s="23"/>
      <c r="CH68" s="23"/>
      <c r="CI68" s="23"/>
      <c r="CJ68" s="23"/>
      <c r="CK68" s="23"/>
      <c r="CL68" s="23"/>
      <c r="CM68" s="23"/>
      <c r="CN68" s="23"/>
      <c r="CO68" s="207"/>
      <c r="CP68" s="207"/>
      <c r="CQ68" s="207"/>
      <c r="CR68" s="207"/>
      <c r="CS68" s="53"/>
      <c r="CT68" s="53"/>
      <c r="CU68" s="53"/>
      <c r="CV68" s="53"/>
      <c r="CW68" s="190"/>
      <c r="CX68" s="190"/>
      <c r="CY68" s="190"/>
      <c r="DG68" s="105"/>
      <c r="DH68" s="105"/>
      <c r="DI68" s="105"/>
      <c r="DJ68" s="105"/>
      <c r="DK68" s="105"/>
      <c r="DL68" s="105"/>
      <c r="DM68" s="105"/>
      <c r="DN68" s="105"/>
      <c r="DO68" s="105"/>
      <c r="DP68" s="105"/>
    </row>
    <row r="69" spans="1:120" x14ac:dyDescent="0.3">
      <c r="A69" s="2" t="s">
        <v>368</v>
      </c>
      <c r="B69" s="2" t="s">
        <v>210</v>
      </c>
      <c r="C69" s="2" t="s">
        <v>203</v>
      </c>
      <c r="D69" s="2" t="s">
        <v>450</v>
      </c>
      <c r="E69" s="2" t="s">
        <v>370</v>
      </c>
      <c r="F69" s="184"/>
      <c r="G69" s="184"/>
      <c r="H69" s="184"/>
      <c r="I69" s="184"/>
      <c r="J69" s="184"/>
      <c r="K69" s="105"/>
      <c r="L69" s="105">
        <v>1</v>
      </c>
      <c r="M69" s="105"/>
      <c r="N69" s="105"/>
      <c r="O69" s="215"/>
      <c r="V69" s="175"/>
      <c r="W69" s="3"/>
      <c r="X69" s="175">
        <f t="shared" si="33"/>
        <v>2.5</v>
      </c>
      <c r="Y69" s="175"/>
      <c r="Z69" s="181">
        <f>VLOOKUP($E69,'LTP '!$D$4:$N$86,2+Z$11-$Z$11,0)/1000000</f>
        <v>0.65</v>
      </c>
      <c r="AA69" s="181">
        <v>1</v>
      </c>
      <c r="AB69" s="181">
        <v>0.85</v>
      </c>
      <c r="AC69" s="181">
        <f>VLOOKUP($E69,'LTP '!$D$4:$N$86,2+AC$11-$Z$11,0)/1000000</f>
        <v>0</v>
      </c>
      <c r="AD69" s="181">
        <f>VLOOKUP($E69,'LTP '!$D$4:$N$86,2+AD$11-$Z$11,0)/1000000</f>
        <v>0</v>
      </c>
      <c r="AE69" s="181">
        <f>VLOOKUP($E69,'LTP '!$D$4:$N$86,2+AE$11-$Z$11,0)/1000000</f>
        <v>0</v>
      </c>
      <c r="AF69" s="181">
        <f>VLOOKUP($E69,'LTP '!$D$4:$N$86,2+AF$11-$Z$11,0)/1000000</f>
        <v>0</v>
      </c>
      <c r="AG69" s="181">
        <f>VLOOKUP($E69,'LTP '!$D$4:$N$86,2+AG$11-$Z$11,0)/1000000</f>
        <v>0</v>
      </c>
      <c r="AH69" s="181">
        <f>VLOOKUP($E69,'LTP '!$D$4:$N$86,2+AH$11-$Z$11,0)/1000000</f>
        <v>0</v>
      </c>
      <c r="AI69" s="181">
        <f>VLOOKUP($E69,'LTP '!$D$4:$N$86,2+AI$11-$Z$11,0)/1000000</f>
        <v>0</v>
      </c>
      <c r="BF69" s="23"/>
      <c r="BH69" s="23"/>
      <c r="BI69" s="23"/>
      <c r="BJ69" s="23"/>
      <c r="BK69" s="23"/>
      <c r="BL69" s="23"/>
      <c r="BM69" s="23"/>
      <c r="BN69" s="23"/>
      <c r="BO69" s="23"/>
      <c r="BP69" s="23" t="s">
        <v>451</v>
      </c>
      <c r="BQ69" s="175" t="str">
        <f t="shared" si="14"/>
        <v>N.009963.09.02 - WM Park-upg sports fields &amp; lighting</v>
      </c>
      <c r="BR69" s="23" t="str">
        <f>IFERROR(VLOOKUP(BQ69,'LTP '!$R$4:$S$86,2,0),"")</f>
        <v>PC3201504 - Sport development</v>
      </c>
      <c r="BS69" s="23"/>
      <c r="BT69" s="23"/>
      <c r="BU69" s="23"/>
      <c r="BV69" s="23"/>
      <c r="BW69" s="23"/>
      <c r="BX69" s="23"/>
      <c r="BY69" s="23"/>
      <c r="BZ69" s="23"/>
      <c r="CA69" s="23">
        <f t="shared" si="21"/>
        <v>2.5</v>
      </c>
      <c r="CB69" s="115" t="str">
        <f t="shared" si="22"/>
        <v/>
      </c>
      <c r="CC69" s="23"/>
      <c r="CD69" s="23"/>
      <c r="CE69" s="2">
        <f t="shared" si="32"/>
        <v>1</v>
      </c>
      <c r="CF69" s="23"/>
      <c r="CG69" s="23"/>
      <c r="CH69" s="23"/>
      <c r="CI69" s="23"/>
      <c r="CJ69" s="23"/>
      <c r="CK69" s="23"/>
      <c r="CL69" s="23"/>
      <c r="CM69" s="23"/>
      <c r="CN69" s="23"/>
      <c r="CO69" s="207"/>
      <c r="CP69" s="207"/>
      <c r="CQ69" s="207"/>
      <c r="CR69" s="207"/>
      <c r="CS69" s="53"/>
      <c r="CT69" s="53"/>
      <c r="CU69" s="53"/>
      <c r="CV69" s="53"/>
      <c r="CW69" s="190"/>
      <c r="CX69" s="190"/>
      <c r="CY69" s="190"/>
      <c r="DG69" s="105"/>
      <c r="DH69" s="105"/>
      <c r="DI69" s="105"/>
      <c r="DJ69" s="105"/>
      <c r="DK69" s="105"/>
      <c r="DL69" s="105"/>
      <c r="DM69" s="105"/>
      <c r="DN69" s="105"/>
      <c r="DO69" s="105"/>
      <c r="DP69" s="105"/>
    </row>
    <row r="70" spans="1:120" x14ac:dyDescent="0.3">
      <c r="A70" s="2" t="s">
        <v>368</v>
      </c>
      <c r="B70" s="2" t="s">
        <v>210</v>
      </c>
      <c r="C70" s="2" t="s">
        <v>493</v>
      </c>
      <c r="D70" s="2" t="s">
        <v>450</v>
      </c>
      <c r="E70" s="2" t="s">
        <v>372</v>
      </c>
      <c r="F70" s="184"/>
      <c r="G70" s="184"/>
      <c r="H70" s="184"/>
      <c r="I70" s="184"/>
      <c r="J70" s="184"/>
      <c r="K70" s="105"/>
      <c r="L70" s="105">
        <v>1</v>
      </c>
      <c r="M70" s="105"/>
      <c r="N70" s="105"/>
      <c r="O70" s="215"/>
      <c r="V70" s="175"/>
      <c r="W70" s="3"/>
      <c r="X70" s="175">
        <f t="shared" si="33"/>
        <v>3</v>
      </c>
      <c r="Y70" s="175"/>
      <c r="Z70" s="181">
        <f>VLOOKUP($E70,'LTP '!$D$4:$N$86,2+Z$11-$Z$11,0)/1000000</f>
        <v>0</v>
      </c>
      <c r="AA70" s="181">
        <v>0.1</v>
      </c>
      <c r="AB70" s="181">
        <v>2.9</v>
      </c>
      <c r="AC70" s="181"/>
      <c r="AD70" s="181"/>
      <c r="AE70" s="181">
        <f>VLOOKUP($E70,'LTP '!$D$4:$N$86,2+AE$11-$Z$11,0)/1000000</f>
        <v>0</v>
      </c>
      <c r="AF70" s="181">
        <f>VLOOKUP($E70,'LTP '!$D$4:$N$86,2+AF$11-$Z$11,0)/1000000</f>
        <v>0</v>
      </c>
      <c r="AG70" s="181">
        <f>VLOOKUP($E70,'LTP '!$D$4:$N$86,2+AG$11-$Z$11,0)/1000000</f>
        <v>0</v>
      </c>
      <c r="AH70" s="181">
        <f>VLOOKUP($E70,'LTP '!$D$4:$N$86,2+AH$11-$Z$11,0)/1000000</f>
        <v>0</v>
      </c>
      <c r="AI70" s="181">
        <f>VLOOKUP($E70,'LTP '!$D$4:$N$86,2+AI$11-$Z$11,0)/1000000</f>
        <v>0</v>
      </c>
      <c r="BF70" s="23"/>
      <c r="BH70" s="23"/>
      <c r="BI70" s="23"/>
      <c r="BJ70" s="23"/>
      <c r="BK70" s="23"/>
      <c r="BL70" s="23"/>
      <c r="BM70" s="23"/>
      <c r="BN70" s="23"/>
      <c r="BO70" s="23"/>
      <c r="BP70" s="23" t="s">
        <v>451</v>
      </c>
      <c r="BQ70" s="175" t="str">
        <f t="shared" si="14"/>
        <v>N.009963.12.04 - CM Park-dvlp sports infst-stage 2</v>
      </c>
      <c r="BR70" s="23" t="str">
        <f>IFERROR(VLOOKUP(BQ70,'LTP '!$R$4:$S$86,2,0),"")</f>
        <v>PC3201504 - Sport development</v>
      </c>
      <c r="BS70" s="23"/>
      <c r="BT70" s="23"/>
      <c r="BU70" s="23"/>
      <c r="BV70" s="23"/>
      <c r="BW70" s="23"/>
      <c r="BX70" s="23"/>
      <c r="BY70" s="23"/>
      <c r="BZ70" s="23"/>
      <c r="CA70" s="23">
        <f t="shared" si="21"/>
        <v>3</v>
      </c>
      <c r="CB70" s="115" t="str">
        <f t="shared" si="22"/>
        <v/>
      </c>
      <c r="CC70" s="23"/>
      <c r="CD70" s="23"/>
      <c r="CE70" s="2">
        <f t="shared" si="32"/>
        <v>1</v>
      </c>
      <c r="CF70" s="23"/>
      <c r="CG70" s="23"/>
      <c r="CH70" s="23"/>
      <c r="CI70" s="23"/>
      <c r="CJ70" s="23"/>
      <c r="CK70" s="23"/>
      <c r="CL70" s="23"/>
      <c r="CM70" s="23"/>
      <c r="CN70" s="23"/>
      <c r="CO70" s="207"/>
      <c r="CP70" s="207"/>
      <c r="CQ70" s="207"/>
      <c r="CR70" s="207"/>
      <c r="CS70" s="53"/>
      <c r="CT70" s="53"/>
      <c r="CU70" s="53"/>
      <c r="CV70" s="53"/>
      <c r="CW70" s="190"/>
      <c r="CX70" s="190"/>
      <c r="CY70" s="190"/>
      <c r="DG70" s="105"/>
      <c r="DH70" s="105"/>
      <c r="DI70" s="105"/>
      <c r="DJ70" s="105"/>
      <c r="DK70" s="105"/>
      <c r="DL70" s="105"/>
      <c r="DM70" s="105"/>
      <c r="DN70" s="105"/>
      <c r="DO70" s="105"/>
      <c r="DP70" s="105"/>
    </row>
    <row r="71" spans="1:120" x14ac:dyDescent="0.3">
      <c r="A71" s="2" t="s">
        <v>368</v>
      </c>
      <c r="B71" s="2" t="s">
        <v>210</v>
      </c>
      <c r="C71" s="2" t="s">
        <v>494</v>
      </c>
      <c r="D71" s="2" t="s">
        <v>450</v>
      </c>
      <c r="E71" s="2" t="s">
        <v>373</v>
      </c>
      <c r="F71" s="184"/>
      <c r="G71" s="184"/>
      <c r="H71" s="184"/>
      <c r="I71" s="184"/>
      <c r="J71" s="184"/>
      <c r="K71" s="105"/>
      <c r="L71" s="105">
        <v>1</v>
      </c>
      <c r="M71" s="105"/>
      <c r="N71" s="105"/>
      <c r="O71" s="215"/>
      <c r="V71" s="175"/>
      <c r="W71" s="3"/>
      <c r="X71" s="175">
        <f t="shared" si="33"/>
        <v>1.0243910000000001</v>
      </c>
      <c r="Y71" s="175"/>
      <c r="Z71" s="181">
        <f>VLOOKUP($E71,'LTP '!$D$4:$N$86,2+Z$11-$Z$11,0)/1000000</f>
        <v>0</v>
      </c>
      <c r="AA71" s="181">
        <v>0.77439100000000005</v>
      </c>
      <c r="AB71" s="181">
        <v>0.25</v>
      </c>
      <c r="AC71" s="181">
        <f>VLOOKUP($E71,'LTP '!$D$4:$N$86,2+AC$11-$Z$11,0)/1000000</f>
        <v>0</v>
      </c>
      <c r="AD71" s="181">
        <f>VLOOKUP($E71,'LTP '!$D$4:$N$86,2+AD$11-$Z$11,0)/1000000</f>
        <v>0</v>
      </c>
      <c r="AE71" s="181">
        <f>VLOOKUP($E71,'LTP '!$D$4:$N$86,2+AE$11-$Z$11,0)/1000000</f>
        <v>0</v>
      </c>
      <c r="AF71" s="181">
        <f>VLOOKUP($E71,'LTP '!$D$4:$N$86,2+AF$11-$Z$11,0)/1000000</f>
        <v>0</v>
      </c>
      <c r="AG71" s="181">
        <f>VLOOKUP($E71,'LTP '!$D$4:$N$86,2+AG$11-$Z$11,0)/1000000</f>
        <v>0</v>
      </c>
      <c r="AH71" s="181">
        <f>VLOOKUP($E71,'LTP '!$D$4:$N$86,2+AH$11-$Z$11,0)/1000000</f>
        <v>0</v>
      </c>
      <c r="AI71" s="181">
        <f>VLOOKUP($E71,'LTP '!$D$4:$N$86,2+AI$11-$Z$11,0)/1000000</f>
        <v>0</v>
      </c>
      <c r="BF71" s="23"/>
      <c r="BH71" s="23"/>
      <c r="BI71" s="23"/>
      <c r="BJ71" s="23"/>
      <c r="BK71" s="23"/>
      <c r="BL71" s="23"/>
      <c r="BM71" s="23"/>
      <c r="BN71" s="23"/>
      <c r="BO71" s="23"/>
      <c r="BP71" s="23" t="s">
        <v>451</v>
      </c>
      <c r="BQ71" s="175" t="str">
        <f t="shared" si="14"/>
        <v>N.009963.13.02 - Rongomai Park - upgrade sportsfields</v>
      </c>
      <c r="BR71" s="23" t="str">
        <f>IFERROR(VLOOKUP(BQ71,'LTP '!$R$4:$S$86,2,0),"")</f>
        <v>PC3201504 - Sport development</v>
      </c>
      <c r="BS71" s="23"/>
      <c r="BT71" s="23"/>
      <c r="BU71" s="23"/>
      <c r="BV71" s="23"/>
      <c r="BW71" s="23"/>
      <c r="BX71" s="23"/>
      <c r="BY71" s="23"/>
      <c r="BZ71" s="23"/>
      <c r="CA71" s="23">
        <f t="shared" si="21"/>
        <v>1.0243910000000001</v>
      </c>
      <c r="CB71" s="115" t="str">
        <f t="shared" si="22"/>
        <v/>
      </c>
      <c r="CC71" s="23"/>
      <c r="CD71" s="23"/>
      <c r="CE71" s="2">
        <f t="shared" si="32"/>
        <v>1</v>
      </c>
      <c r="CF71" s="23"/>
      <c r="CG71" s="23"/>
      <c r="CH71" s="23"/>
      <c r="CI71" s="23"/>
      <c r="CJ71" s="23"/>
      <c r="CK71" s="23"/>
      <c r="CL71" s="23"/>
      <c r="CM71" s="23"/>
      <c r="CN71" s="23"/>
      <c r="CO71" s="207"/>
      <c r="CP71" s="207"/>
      <c r="CQ71" s="207"/>
      <c r="CR71" s="207"/>
      <c r="CS71" s="53"/>
      <c r="CT71" s="53"/>
      <c r="CU71" s="53"/>
      <c r="CV71" s="53"/>
      <c r="CW71" s="190"/>
      <c r="CX71" s="190"/>
      <c r="CY71" s="190"/>
      <c r="DG71" s="105"/>
      <c r="DH71" s="105"/>
      <c r="DI71" s="105"/>
      <c r="DJ71" s="105"/>
      <c r="DK71" s="105"/>
      <c r="DL71" s="105"/>
      <c r="DM71" s="105"/>
      <c r="DN71" s="105"/>
      <c r="DO71" s="105"/>
      <c r="DP71" s="105"/>
    </row>
    <row r="72" spans="1:120" x14ac:dyDescent="0.3">
      <c r="A72" s="2" t="s">
        <v>368</v>
      </c>
      <c r="B72" s="2" t="s">
        <v>210</v>
      </c>
      <c r="C72" s="2" t="s">
        <v>495</v>
      </c>
      <c r="D72" s="2" t="s">
        <v>450</v>
      </c>
      <c r="E72" s="2" t="s">
        <v>374</v>
      </c>
      <c r="F72" s="184"/>
      <c r="G72" s="184"/>
      <c r="H72" s="184"/>
      <c r="I72" s="184"/>
      <c r="J72" s="184"/>
      <c r="K72" s="105"/>
      <c r="L72" s="105">
        <v>1</v>
      </c>
      <c r="M72" s="105"/>
      <c r="N72" s="105"/>
      <c r="O72" s="215"/>
      <c r="V72" s="175"/>
      <c r="W72" s="175"/>
      <c r="X72" s="175">
        <f t="shared" si="33"/>
        <v>1.2999999999999998</v>
      </c>
      <c r="Y72" s="175"/>
      <c r="Z72" s="181">
        <f>VLOOKUP($E72,'LTP '!$D$4:$N$86,2+Z$11-$Z$11,0)/1000000</f>
        <v>7.4999999999999997E-2</v>
      </c>
      <c r="AA72" s="181">
        <f>VLOOKUP($E72,'LTP '!$D$4:$N$86,2+AA$11-$Z$11,0)/1000000</f>
        <v>0.5</v>
      </c>
      <c r="AB72" s="181">
        <f>VLOOKUP($E72,'LTP '!$D$4:$N$86,2+AB$11-$Z$11,0)/1000000</f>
        <v>0.72499999999999998</v>
      </c>
      <c r="AC72" s="181">
        <f>VLOOKUP($E72,'LTP '!$D$4:$N$86,2+AC$11-$Z$11,0)/1000000</f>
        <v>0</v>
      </c>
      <c r="AD72" s="181">
        <f>VLOOKUP($E72,'LTP '!$D$4:$N$86,2+AD$11-$Z$11,0)/1000000</f>
        <v>0</v>
      </c>
      <c r="AE72" s="181">
        <f>VLOOKUP($E72,'LTP '!$D$4:$N$86,2+AE$11-$Z$11,0)/1000000</f>
        <v>0</v>
      </c>
      <c r="AF72" s="181">
        <f>VLOOKUP($E72,'LTP '!$D$4:$N$86,2+AF$11-$Z$11,0)/1000000</f>
        <v>0</v>
      </c>
      <c r="AG72" s="181">
        <f>VLOOKUP($E72,'LTP '!$D$4:$N$86,2+AG$11-$Z$11,0)/1000000</f>
        <v>0</v>
      </c>
      <c r="AH72" s="181">
        <f>VLOOKUP($E72,'LTP '!$D$4:$N$86,2+AH$11-$Z$11,0)/1000000</f>
        <v>0</v>
      </c>
      <c r="AI72" s="181">
        <f>VLOOKUP($E72,'LTP '!$D$4:$N$86,2+AI$11-$Z$11,0)/1000000</f>
        <v>0</v>
      </c>
      <c r="AJ72" s="181"/>
      <c r="AK72" s="181"/>
      <c r="AL72" s="181"/>
      <c r="AM72" s="181"/>
      <c r="AN72" s="181"/>
      <c r="AO72" s="181"/>
      <c r="AP72" s="181"/>
      <c r="BF72" s="23"/>
      <c r="BH72" s="23"/>
      <c r="BI72" s="23"/>
      <c r="BJ72" s="23"/>
      <c r="BK72" s="23"/>
      <c r="BL72" s="23"/>
      <c r="BM72" s="23"/>
      <c r="BN72" s="23"/>
      <c r="BO72" s="23"/>
      <c r="BP72" s="23" t="s">
        <v>451</v>
      </c>
      <c r="BQ72" s="175" t="str">
        <f t="shared" si="14"/>
        <v>N.009963.13.03 - East Tamaki Res - upgrade sports fields</v>
      </c>
      <c r="BR72" s="23" t="str">
        <f>IFERROR(VLOOKUP(BQ72,'LTP '!$R$4:$S$86,2,0),"")</f>
        <v>PC3201504 - Sport development</v>
      </c>
      <c r="BS72" s="23"/>
      <c r="BT72" s="23"/>
      <c r="BU72" s="23"/>
      <c r="BV72" s="23"/>
      <c r="BW72" s="23"/>
      <c r="BX72" s="23"/>
      <c r="BY72" s="23"/>
      <c r="BZ72" s="23"/>
      <c r="CA72" s="23">
        <f t="shared" si="21"/>
        <v>1.2999999999999998</v>
      </c>
      <c r="CB72" s="115" t="str">
        <f t="shared" si="22"/>
        <v/>
      </c>
      <c r="CC72" s="23"/>
      <c r="CD72" s="23"/>
      <c r="CE72" s="2">
        <f t="shared" si="32"/>
        <v>1</v>
      </c>
      <c r="CF72" s="23"/>
      <c r="CG72" s="23"/>
      <c r="CH72" s="23"/>
      <c r="CI72" s="23"/>
      <c r="CJ72" s="23"/>
      <c r="CK72" s="23"/>
      <c r="CL72" s="23"/>
      <c r="CM72" s="23"/>
      <c r="CN72" s="23"/>
      <c r="CO72" s="207"/>
      <c r="CP72" s="207"/>
      <c r="CQ72" s="207"/>
      <c r="CR72" s="207"/>
      <c r="CS72" s="53"/>
      <c r="CT72" s="53"/>
      <c r="CU72" s="53"/>
      <c r="CV72" s="53"/>
      <c r="CW72" s="190"/>
      <c r="CX72" s="190"/>
      <c r="CY72" s="190"/>
      <c r="DG72" s="105"/>
      <c r="DH72" s="105"/>
      <c r="DI72" s="105"/>
      <c r="DJ72" s="105"/>
      <c r="DK72" s="105"/>
      <c r="DL72" s="105"/>
      <c r="DM72" s="105"/>
      <c r="DN72" s="105"/>
      <c r="DO72" s="105"/>
      <c r="DP72" s="105"/>
    </row>
    <row r="73" spans="1:120" x14ac:dyDescent="0.3">
      <c r="A73" s="2" t="s">
        <v>368</v>
      </c>
      <c r="B73" s="2" t="s">
        <v>210</v>
      </c>
      <c r="C73" s="2" t="s">
        <v>494</v>
      </c>
      <c r="D73" s="2" t="s">
        <v>450</v>
      </c>
      <c r="E73" s="2" t="s">
        <v>375</v>
      </c>
      <c r="F73" s="184"/>
      <c r="G73" s="184"/>
      <c r="H73" s="184"/>
      <c r="I73" s="184"/>
      <c r="J73" s="184"/>
      <c r="K73" s="105"/>
      <c r="L73" s="105">
        <v>1</v>
      </c>
      <c r="M73" s="105"/>
      <c r="N73" s="105"/>
      <c r="O73" s="215"/>
      <c r="V73" s="175"/>
      <c r="W73" s="3"/>
      <c r="X73" s="175">
        <f t="shared" si="33"/>
        <v>1.6</v>
      </c>
      <c r="Y73" s="175"/>
      <c r="Z73" s="181">
        <f>VLOOKUP($E73,'LTP '!$D$4:$N$86,2+Z$11-$Z$11,0)/1000000</f>
        <v>0</v>
      </c>
      <c r="AA73" s="181">
        <v>0.1</v>
      </c>
      <c r="AB73" s="181">
        <v>0.25</v>
      </c>
      <c r="AC73" s="181">
        <v>0.5</v>
      </c>
      <c r="AD73" s="181">
        <f>1.6-SUM(AA73:AC73)</f>
        <v>0.75000000000000011</v>
      </c>
      <c r="AE73" s="181">
        <f>VLOOKUP($E73,'LTP '!$D$4:$N$86,2+AE$11-$Z$11,0)/1000000</f>
        <v>0</v>
      </c>
      <c r="AF73" s="181">
        <f>VLOOKUP($E73,'LTP '!$D$4:$N$86,2+AF$11-$Z$11,0)/1000000</f>
        <v>0</v>
      </c>
      <c r="AG73" s="181">
        <f>VLOOKUP($E73,'LTP '!$D$4:$N$86,2+AG$11-$Z$11,0)/1000000</f>
        <v>0</v>
      </c>
      <c r="AH73" s="181">
        <f>VLOOKUP($E73,'LTP '!$D$4:$N$86,2+AH$11-$Z$11,0)/1000000</f>
        <v>0</v>
      </c>
      <c r="AI73" s="181">
        <f>VLOOKUP($E73,'LTP '!$D$4:$N$86,2+AI$11-$Z$11,0)/1000000</f>
        <v>0</v>
      </c>
      <c r="BF73" s="23"/>
      <c r="BH73" s="23"/>
      <c r="BI73" s="23"/>
      <c r="BJ73" s="23"/>
      <c r="BK73" s="23"/>
      <c r="BL73" s="23"/>
      <c r="BM73" s="23"/>
      <c r="BN73" s="23"/>
      <c r="BO73" s="23"/>
      <c r="BP73" s="23" t="s">
        <v>451</v>
      </c>
      <c r="BQ73" s="175" t="str">
        <f t="shared" si="14"/>
        <v>N.009963.13.04 - Rongomai prk-upgrade sportsfields 4 &amp; 5</v>
      </c>
      <c r="BR73" s="23" t="str">
        <f>IFERROR(VLOOKUP(BQ73,'LTP '!$R$4:$S$86,2,0),"")</f>
        <v>PC3201504 - Sport development</v>
      </c>
      <c r="BS73" s="23"/>
      <c r="BT73" s="23"/>
      <c r="BU73" s="23"/>
      <c r="BV73" s="23"/>
      <c r="BW73" s="23"/>
      <c r="BX73" s="23"/>
      <c r="BY73" s="23"/>
      <c r="BZ73" s="23"/>
      <c r="CA73" s="23">
        <f t="shared" si="21"/>
        <v>1.6</v>
      </c>
      <c r="CB73" s="115" t="str">
        <f t="shared" si="22"/>
        <v/>
      </c>
      <c r="CC73" s="23"/>
      <c r="CD73" s="23"/>
      <c r="CE73" s="2">
        <f t="shared" si="32"/>
        <v>1</v>
      </c>
      <c r="CF73" s="23"/>
      <c r="CG73" s="23"/>
      <c r="CH73" s="23"/>
      <c r="CI73" s="23"/>
      <c r="CJ73" s="23"/>
      <c r="CK73" s="23"/>
      <c r="CL73" s="23"/>
      <c r="CM73" s="23"/>
      <c r="CN73" s="23"/>
      <c r="CO73" s="207"/>
      <c r="CP73" s="207"/>
      <c r="CQ73" s="207"/>
      <c r="CR73" s="207"/>
      <c r="CS73" s="53"/>
      <c r="CT73" s="53"/>
      <c r="CU73" s="53"/>
      <c r="CV73" s="53"/>
      <c r="CW73" s="190"/>
      <c r="CX73" s="190"/>
      <c r="CY73" s="190"/>
      <c r="DG73" s="105"/>
      <c r="DH73" s="105"/>
      <c r="DI73" s="105"/>
      <c r="DJ73" s="105"/>
      <c r="DK73" s="105"/>
      <c r="DL73" s="105"/>
      <c r="DM73" s="105"/>
      <c r="DN73" s="105"/>
      <c r="DO73" s="105"/>
      <c r="DP73" s="105"/>
    </row>
    <row r="74" spans="1:120" x14ac:dyDescent="0.3">
      <c r="A74" s="2" t="s">
        <v>368</v>
      </c>
      <c r="B74" s="2" t="s">
        <v>210</v>
      </c>
      <c r="C74" s="2" t="s">
        <v>491</v>
      </c>
      <c r="D74" s="2" t="s">
        <v>450</v>
      </c>
      <c r="E74" s="2" t="s">
        <v>376</v>
      </c>
      <c r="F74" s="184"/>
      <c r="G74" s="184"/>
      <c r="H74" s="184"/>
      <c r="I74" s="184"/>
      <c r="J74" s="184"/>
      <c r="K74" s="105"/>
      <c r="L74" s="105">
        <v>1</v>
      </c>
      <c r="M74" s="105"/>
      <c r="N74" s="105"/>
      <c r="O74" s="215"/>
      <c r="V74" s="175"/>
      <c r="W74" s="175"/>
      <c r="X74" s="175">
        <f t="shared" si="33"/>
        <v>5</v>
      </c>
      <c r="Y74" s="175"/>
      <c r="Z74" s="181">
        <f>VLOOKUP($E74,'LTP '!$D$4:$N$86,2+Z$11-$Z$11,0)/1000000</f>
        <v>3.2</v>
      </c>
      <c r="AA74" s="181">
        <f>VLOOKUP($E74,'LTP '!$D$4:$N$86,2+AA$11-$Z$11,0)/1000000</f>
        <v>1.8</v>
      </c>
      <c r="AB74" s="181">
        <f>VLOOKUP($E74,'LTP '!$D$4:$N$86,2+AB$11-$Z$11,0)/1000000</f>
        <v>0</v>
      </c>
      <c r="AC74" s="181">
        <f>VLOOKUP($E74,'LTP '!$D$4:$N$86,2+AC$11-$Z$11,0)/1000000</f>
        <v>0</v>
      </c>
      <c r="AD74" s="181">
        <f>VLOOKUP($E74,'LTP '!$D$4:$N$86,2+AD$11-$Z$11,0)/1000000</f>
        <v>0</v>
      </c>
      <c r="AE74" s="181">
        <f>VLOOKUP($E74,'LTP '!$D$4:$N$86,2+AE$11-$Z$11,0)/1000000</f>
        <v>0</v>
      </c>
      <c r="AF74" s="181">
        <f>VLOOKUP($E74,'LTP '!$D$4:$N$86,2+AF$11-$Z$11,0)/1000000</f>
        <v>0</v>
      </c>
      <c r="AG74" s="181">
        <f>VLOOKUP($E74,'LTP '!$D$4:$N$86,2+AG$11-$Z$11,0)/1000000</f>
        <v>0</v>
      </c>
      <c r="AH74" s="181">
        <f>VLOOKUP($E74,'LTP '!$D$4:$N$86,2+AH$11-$Z$11,0)/1000000</f>
        <v>0</v>
      </c>
      <c r="AI74" s="181">
        <f>VLOOKUP($E74,'LTP '!$D$4:$N$86,2+AI$11-$Z$11,0)/1000000</f>
        <v>0</v>
      </c>
      <c r="AJ74" s="181"/>
      <c r="AK74" s="181"/>
      <c r="AL74" s="181"/>
      <c r="AM74" s="181"/>
      <c r="AN74" s="181"/>
      <c r="AO74" s="181"/>
      <c r="AP74" s="181"/>
      <c r="BF74" s="23"/>
      <c r="BH74" s="23"/>
      <c r="BI74" s="23"/>
      <c r="BJ74" s="23"/>
      <c r="BK74" s="23"/>
      <c r="BL74" s="23"/>
      <c r="BM74" s="23"/>
      <c r="BN74" s="23"/>
      <c r="BO74" s="23"/>
      <c r="BP74" s="23" t="s">
        <v>451</v>
      </c>
      <c r="BQ74" s="175" t="str">
        <f t="shared" si="14"/>
        <v>N.009963.37.01 - PFund - Scott Point-dev sustain sprt prk</v>
      </c>
      <c r="BR74" s="23" t="str">
        <f>IFERROR(VLOOKUP(BQ74,'LTP '!$R$4:$S$86,2,0),"")</f>
        <v>PC3201504 - Sport development</v>
      </c>
      <c r="BS74" s="23"/>
      <c r="BT74" s="23"/>
      <c r="BU74" s="23"/>
      <c r="BV74" s="23"/>
      <c r="BW74" s="23"/>
      <c r="BX74" s="23"/>
      <c r="BY74" s="23"/>
      <c r="BZ74" s="23"/>
      <c r="CA74" s="23">
        <f t="shared" si="21"/>
        <v>5</v>
      </c>
      <c r="CB74" s="115" t="str">
        <f t="shared" si="22"/>
        <v/>
      </c>
      <c r="CC74" s="23"/>
      <c r="CD74" s="23"/>
      <c r="CE74" s="2">
        <f t="shared" si="32"/>
        <v>1</v>
      </c>
      <c r="CF74" s="23"/>
      <c r="CG74" s="23"/>
      <c r="CH74" s="23"/>
      <c r="CI74" s="23"/>
      <c r="CJ74" s="23"/>
      <c r="CK74" s="23"/>
      <c r="CL74" s="23"/>
      <c r="CM74" s="23"/>
      <c r="CN74" s="23"/>
      <c r="CO74" s="207"/>
      <c r="CP74" s="207"/>
      <c r="CQ74" s="207"/>
      <c r="CR74" s="207"/>
      <c r="CS74" s="53"/>
      <c r="CT74" s="53"/>
      <c r="CU74" s="53"/>
      <c r="CV74" s="53"/>
      <c r="CW74" s="190"/>
      <c r="CX74" s="190"/>
      <c r="CY74" s="190"/>
      <c r="DG74" s="105"/>
      <c r="DH74" s="105"/>
      <c r="DI74" s="105"/>
      <c r="DJ74" s="105"/>
      <c r="DK74" s="105"/>
      <c r="DL74" s="105"/>
      <c r="DM74" s="105"/>
      <c r="DN74" s="105"/>
      <c r="DO74" s="105"/>
      <c r="DP74" s="105"/>
    </row>
    <row r="75" spans="1:120" x14ac:dyDescent="0.3">
      <c r="A75" s="2" t="s">
        <v>368</v>
      </c>
      <c r="B75" s="2" t="s">
        <v>210</v>
      </c>
      <c r="C75" s="2" t="s">
        <v>496</v>
      </c>
      <c r="D75" s="2" t="s">
        <v>450</v>
      </c>
      <c r="E75" s="2" t="s">
        <v>377</v>
      </c>
      <c r="F75" s="184"/>
      <c r="G75" s="184"/>
      <c r="H75" s="184"/>
      <c r="I75" s="184"/>
      <c r="J75" s="184"/>
      <c r="K75" s="105"/>
      <c r="L75" s="105">
        <v>1</v>
      </c>
      <c r="M75" s="105"/>
      <c r="N75" s="105"/>
      <c r="O75" s="215"/>
      <c r="U75" s="175"/>
      <c r="V75" s="175"/>
      <c r="W75" s="175"/>
      <c r="X75" s="175">
        <f t="shared" si="33"/>
        <v>0.2</v>
      </c>
      <c r="Y75" s="175"/>
      <c r="Z75" s="181">
        <f>VLOOKUP($E75,'LTP '!$D$4:$N$86,2+Z$11-$Z$11,0)/1000000</f>
        <v>0.2</v>
      </c>
      <c r="AA75" s="181">
        <f>VLOOKUP($E75,'LTP '!$D$4:$N$86,2+AA$11-$Z$11,0)/1000000</f>
        <v>0</v>
      </c>
      <c r="AB75" s="181">
        <f>VLOOKUP($E75,'LTP '!$D$4:$N$86,2+AB$11-$Z$11,0)/1000000</f>
        <v>0</v>
      </c>
      <c r="AC75" s="181">
        <f>VLOOKUP($E75,'LTP '!$D$4:$N$86,2+AC$11-$Z$11,0)/1000000</f>
        <v>0</v>
      </c>
      <c r="AD75" s="181">
        <f>VLOOKUP($E75,'LTP '!$D$4:$N$86,2+AD$11-$Z$11,0)/1000000</f>
        <v>0</v>
      </c>
      <c r="AE75" s="181">
        <f>VLOOKUP($E75,'LTP '!$D$4:$N$86,2+AE$11-$Z$11,0)/1000000</f>
        <v>0</v>
      </c>
      <c r="AF75" s="181">
        <f>VLOOKUP($E75,'LTP '!$D$4:$N$86,2+AF$11-$Z$11,0)/1000000</f>
        <v>0</v>
      </c>
      <c r="AG75" s="181">
        <f>VLOOKUP($E75,'LTP '!$D$4:$N$86,2+AG$11-$Z$11,0)/1000000</f>
        <v>0</v>
      </c>
      <c r="AH75" s="181">
        <f>VLOOKUP($E75,'LTP '!$D$4:$N$86,2+AH$11-$Z$11,0)/1000000</f>
        <v>0</v>
      </c>
      <c r="AI75" s="181">
        <f>VLOOKUP($E75,'LTP '!$D$4:$N$86,2+AI$11-$Z$11,0)/1000000</f>
        <v>0</v>
      </c>
      <c r="AJ75" s="181"/>
      <c r="AK75" s="181"/>
      <c r="AL75" s="181"/>
      <c r="AM75" s="181"/>
      <c r="AN75" s="181"/>
      <c r="AO75" s="181"/>
      <c r="AP75" s="181"/>
      <c r="BF75" s="23"/>
      <c r="BH75" s="23"/>
      <c r="BI75" s="23"/>
      <c r="BJ75" s="23"/>
      <c r="BK75" s="23"/>
      <c r="BL75" s="23"/>
      <c r="BM75" s="23"/>
      <c r="BN75" s="23"/>
      <c r="BO75" s="23"/>
      <c r="BP75" s="23" t="s">
        <v>451</v>
      </c>
      <c r="BQ75" s="175" t="str">
        <f t="shared" si="14"/>
        <v>N.007739.19.01 - Sports lighting &amp; sportfield upgrades</v>
      </c>
      <c r="BR75" s="23" t="str">
        <f>IFERROR(VLOOKUP(BQ75,'LTP '!$R$4:$S$86,2,0),"")</f>
        <v>PC3201504 - Sport development</v>
      </c>
      <c r="BS75" s="23"/>
      <c r="BT75" s="23"/>
      <c r="BU75" s="23"/>
      <c r="BV75" s="23"/>
      <c r="BW75" s="23"/>
      <c r="BX75" s="23"/>
      <c r="BY75" s="23"/>
      <c r="BZ75" s="23"/>
      <c r="CA75" s="23">
        <f t="shared" si="21"/>
        <v>0.2</v>
      </c>
      <c r="CB75" s="115" t="str">
        <f t="shared" si="22"/>
        <v/>
      </c>
      <c r="CC75" s="23"/>
      <c r="CD75" s="23"/>
      <c r="CE75" s="2">
        <f t="shared" si="32"/>
        <v>1</v>
      </c>
      <c r="CF75" s="23"/>
      <c r="CG75" s="23"/>
      <c r="CH75" s="23"/>
      <c r="CI75" s="23"/>
      <c r="CJ75" s="23"/>
      <c r="CK75" s="23"/>
      <c r="CL75" s="23"/>
      <c r="CM75" s="23"/>
      <c r="CN75" s="23"/>
      <c r="CO75" s="207"/>
      <c r="CP75" s="207"/>
      <c r="CQ75" s="207"/>
      <c r="CR75" s="207"/>
      <c r="CS75" s="53"/>
      <c r="CT75" s="53"/>
      <c r="CU75" s="53"/>
      <c r="CV75" s="53"/>
      <c r="CW75" s="190"/>
      <c r="CX75" s="190"/>
      <c r="CY75" s="190"/>
      <c r="DG75" s="105"/>
      <c r="DH75" s="105"/>
      <c r="DI75" s="105"/>
      <c r="DJ75" s="105"/>
      <c r="DK75" s="105"/>
      <c r="DL75" s="105"/>
      <c r="DM75" s="105"/>
      <c r="DN75" s="105"/>
      <c r="DO75" s="105"/>
      <c r="DP75" s="105"/>
    </row>
    <row r="76" spans="1:120" x14ac:dyDescent="0.3">
      <c r="A76" s="2" t="s">
        <v>382</v>
      </c>
      <c r="B76" s="2" t="s">
        <v>210</v>
      </c>
      <c r="C76" s="2" t="s">
        <v>822</v>
      </c>
      <c r="D76" s="2" t="s">
        <v>450</v>
      </c>
      <c r="E76" s="2" t="s">
        <v>389</v>
      </c>
      <c r="F76" s="184"/>
      <c r="G76" s="184"/>
      <c r="H76" s="184"/>
      <c r="I76" s="184"/>
      <c r="J76" s="184"/>
      <c r="K76" s="105"/>
      <c r="L76" s="105"/>
      <c r="M76" s="105"/>
      <c r="N76" s="105"/>
      <c r="O76" s="215"/>
      <c r="V76" s="175"/>
      <c r="W76" s="175"/>
      <c r="X76" s="175"/>
      <c r="Y76" s="181"/>
      <c r="Z76" s="181"/>
      <c r="AA76" s="181"/>
      <c r="AB76" s="181"/>
      <c r="AC76" s="181"/>
      <c r="AD76" s="181"/>
      <c r="AE76" s="181"/>
      <c r="AF76" s="181"/>
      <c r="AG76" s="181"/>
      <c r="AH76" s="181"/>
      <c r="AI76" s="181"/>
      <c r="AJ76" s="181"/>
      <c r="AK76" s="181"/>
      <c r="AL76" s="181"/>
      <c r="AM76" s="181"/>
      <c r="AN76" s="181"/>
      <c r="AO76" s="181"/>
      <c r="AP76" s="181"/>
      <c r="BF76" s="23"/>
      <c r="BH76" s="23"/>
      <c r="BI76" s="23"/>
      <c r="BJ76" s="23"/>
      <c r="BK76" s="23"/>
      <c r="BL76" s="23"/>
      <c r="BM76" s="23"/>
      <c r="BN76" s="23"/>
      <c r="BO76" s="23"/>
      <c r="BP76" s="23" t="s">
        <v>455</v>
      </c>
      <c r="BQ76" s="175" t="str">
        <f t="shared" si="14"/>
        <v/>
      </c>
      <c r="BR76" s="23" t="str">
        <f>IFERROR(VLOOKUP(BQ76,'LTP '!$R$4:$S$86,2,0),"")</f>
        <v/>
      </c>
      <c r="BS76" s="23"/>
      <c r="BT76" s="23"/>
      <c r="BU76" s="23"/>
      <c r="BV76" s="23"/>
      <c r="BW76" s="23"/>
      <c r="BX76" s="23"/>
      <c r="BY76" s="23"/>
      <c r="BZ76" s="23"/>
      <c r="CA76" s="23">
        <f t="shared" si="21"/>
        <v>0</v>
      </c>
      <c r="CB76" s="115" t="str">
        <f t="shared" si="22"/>
        <v/>
      </c>
      <c r="CC76" s="23"/>
      <c r="CD76" s="23"/>
      <c r="CE76" s="2">
        <f t="shared" si="32"/>
        <v>1</v>
      </c>
      <c r="CF76" s="23"/>
      <c r="CG76" s="23"/>
      <c r="CH76" s="23"/>
      <c r="CI76" s="23"/>
      <c r="CJ76" s="23"/>
      <c r="CK76" s="23"/>
      <c r="CL76" s="23"/>
      <c r="CM76" s="23"/>
      <c r="CN76" s="23"/>
      <c r="CO76" s="207"/>
      <c r="CP76" s="207"/>
      <c r="CQ76" s="207"/>
      <c r="CR76" s="207"/>
      <c r="CS76" s="53"/>
      <c r="CT76" s="53"/>
      <c r="CU76" s="53"/>
      <c r="CV76" s="53"/>
      <c r="CW76" s="190"/>
      <c r="CX76" s="190"/>
      <c r="CY76" s="190"/>
      <c r="DG76" s="105"/>
      <c r="DH76" s="105"/>
      <c r="DI76" s="105"/>
      <c r="DJ76" s="105"/>
      <c r="DK76" s="105"/>
      <c r="DL76" s="105"/>
      <c r="DM76" s="105"/>
      <c r="DN76" s="105"/>
      <c r="DO76" s="105"/>
      <c r="DP76" s="105"/>
    </row>
    <row r="77" spans="1:120" x14ac:dyDescent="0.3">
      <c r="A77" s="2" t="s">
        <v>382</v>
      </c>
      <c r="B77" s="2" t="s">
        <v>210</v>
      </c>
      <c r="C77" s="2" t="s">
        <v>203</v>
      </c>
      <c r="D77" s="2" t="s">
        <v>450</v>
      </c>
      <c r="E77" s="2" t="s">
        <v>391</v>
      </c>
      <c r="F77" s="184"/>
      <c r="G77" s="184"/>
      <c r="H77" s="184"/>
      <c r="I77" s="184"/>
      <c r="J77" s="184"/>
      <c r="K77" s="105"/>
      <c r="L77" s="105">
        <v>0.2</v>
      </c>
      <c r="M77" s="105"/>
      <c r="N77" s="105"/>
      <c r="O77" s="215"/>
      <c r="U77" s="175"/>
      <c r="V77" s="175"/>
      <c r="W77" s="175"/>
      <c r="X77" s="175">
        <f t="shared" si="33"/>
        <v>0.38849630999999996</v>
      </c>
      <c r="Y77" s="175"/>
      <c r="Z77" s="181">
        <f>VLOOKUP($E77,'LTP '!$D$4:$N$86,2+Z$11-$Z$11,0)/1000000</f>
        <v>8.8496309999999995E-2</v>
      </c>
      <c r="AA77" s="181">
        <f>VLOOKUP($E77,'LTP '!$D$4:$N$86,2+AA$11-$Z$11,0)/1000000</f>
        <v>0.3</v>
      </c>
      <c r="AB77" s="181">
        <f>VLOOKUP($E77,'LTP '!$D$4:$N$86,2+AB$11-$Z$11,0)/1000000</f>
        <v>0</v>
      </c>
      <c r="AC77" s="181">
        <f>VLOOKUP($E77,'LTP '!$D$4:$N$86,2+AC$11-$Z$11,0)/1000000</f>
        <v>0</v>
      </c>
      <c r="AD77" s="181">
        <f>VLOOKUP($E77,'LTP '!$D$4:$N$86,2+AD$11-$Z$11,0)/1000000</f>
        <v>0</v>
      </c>
      <c r="AE77" s="181">
        <f>VLOOKUP($E77,'LTP '!$D$4:$N$86,2+AE$11-$Z$11,0)/1000000</f>
        <v>0</v>
      </c>
      <c r="AF77" s="181">
        <f>VLOOKUP($E77,'LTP '!$D$4:$N$86,2+AF$11-$Z$11,0)/1000000</f>
        <v>0</v>
      </c>
      <c r="AG77" s="181">
        <f>VLOOKUP($E77,'LTP '!$D$4:$N$86,2+AG$11-$Z$11,0)/1000000</f>
        <v>0</v>
      </c>
      <c r="AH77" s="181">
        <f>VLOOKUP($E77,'LTP '!$D$4:$N$86,2+AH$11-$Z$11,0)/1000000</f>
        <v>0</v>
      </c>
      <c r="AI77" s="181">
        <f>VLOOKUP($E77,'LTP '!$D$4:$N$86,2+AI$11-$Z$11,0)/1000000</f>
        <v>0</v>
      </c>
      <c r="AJ77" s="181"/>
      <c r="AK77" s="181"/>
      <c r="AL77" s="181"/>
      <c r="AM77" s="181"/>
      <c r="AN77" s="181"/>
      <c r="AO77" s="181"/>
      <c r="AP77" s="181"/>
      <c r="BF77" s="23"/>
      <c r="BH77" s="23"/>
      <c r="BI77" s="23"/>
      <c r="BJ77" s="23"/>
      <c r="BK77" s="23"/>
      <c r="BL77" s="23"/>
      <c r="BM77" s="23"/>
      <c r="BN77" s="23"/>
      <c r="BO77" s="23"/>
      <c r="BP77" s="23" t="s">
        <v>451</v>
      </c>
      <c r="BQ77" s="175" t="str">
        <f t="shared" si="14"/>
        <v>N.009964.09.09 - N H Mgr ctr prk-constof new ablution blk</v>
      </c>
      <c r="BR77" s="23" t="str">
        <f>IFERROR(VLOOKUP(BQ77,'LTP '!$R$4:$S$86,2,0),"")</f>
        <v>PC3201527 - Locally driven initiatives (LDI Capex)</v>
      </c>
      <c r="BS77" s="23"/>
      <c r="BT77" s="23"/>
      <c r="BU77" s="23"/>
      <c r="BV77" s="23"/>
      <c r="BW77" s="23"/>
      <c r="BX77" s="23"/>
      <c r="BY77" s="23"/>
      <c r="BZ77" s="23"/>
      <c r="CA77" s="23">
        <f t="shared" si="21"/>
        <v>0.38849630999999996</v>
      </c>
      <c r="CB77" s="115" t="str">
        <f t="shared" si="22"/>
        <v/>
      </c>
      <c r="CC77" s="23"/>
      <c r="CD77" s="23"/>
      <c r="CE77" s="2">
        <f t="shared" si="32"/>
        <v>1</v>
      </c>
      <c r="CF77" s="23"/>
      <c r="CG77" s="23"/>
      <c r="CH77" s="23"/>
      <c r="CI77" s="23"/>
      <c r="CJ77" s="23"/>
      <c r="CK77" s="23"/>
      <c r="CL77" s="23"/>
      <c r="CM77" s="23"/>
      <c r="CN77" s="23"/>
      <c r="CO77" s="207"/>
      <c r="CP77" s="207"/>
      <c r="CQ77" s="207"/>
      <c r="CR77" s="207"/>
      <c r="CS77" s="53"/>
      <c r="CT77" s="53"/>
      <c r="CU77" s="53"/>
      <c r="CV77" s="53"/>
      <c r="CW77" s="190"/>
      <c r="CX77" s="190"/>
      <c r="CY77" s="190"/>
      <c r="DG77" s="105"/>
      <c r="DH77" s="105"/>
      <c r="DI77" s="105"/>
      <c r="DJ77" s="105"/>
      <c r="DK77" s="105"/>
      <c r="DL77" s="105"/>
      <c r="DM77" s="105"/>
      <c r="DN77" s="105"/>
      <c r="DO77" s="105"/>
      <c r="DP77" s="105"/>
    </row>
    <row r="78" spans="1:120" x14ac:dyDescent="0.3">
      <c r="B78" s="2" t="str">
        <f>B77</f>
        <v>Reg Sportsfield</v>
      </c>
      <c r="E78" s="2" t="s">
        <v>804</v>
      </c>
      <c r="F78" s="184"/>
      <c r="G78" s="184"/>
      <c r="H78" s="184"/>
      <c r="I78" s="184"/>
      <c r="J78" s="184"/>
      <c r="K78" s="105"/>
      <c r="L78" s="105">
        <v>1</v>
      </c>
      <c r="M78" s="105"/>
      <c r="N78" s="105"/>
      <c r="O78" s="215"/>
      <c r="U78" s="175"/>
      <c r="V78" s="175"/>
      <c r="W78" s="175"/>
      <c r="X78" s="175">
        <f t="shared" si="33"/>
        <v>5.3</v>
      </c>
      <c r="Y78" s="175"/>
      <c r="Z78" s="181">
        <v>0</v>
      </c>
      <c r="AA78" s="181">
        <v>0.1</v>
      </c>
      <c r="AB78" s="181">
        <v>0.4</v>
      </c>
      <c r="AC78" s="181">
        <v>0.8</v>
      </c>
      <c r="AD78" s="181">
        <f>(5.3-SUM(AA78:AC78))/2</f>
        <v>2</v>
      </c>
      <c r="AE78" s="181">
        <f>AD78</f>
        <v>2</v>
      </c>
      <c r="AF78" s="181"/>
      <c r="AG78" s="181"/>
      <c r="AH78" s="181"/>
      <c r="AI78" s="181"/>
      <c r="AJ78" s="181"/>
      <c r="AK78" s="181"/>
      <c r="AL78" s="181"/>
      <c r="AM78" s="181"/>
      <c r="AN78" s="181"/>
      <c r="AO78" s="181"/>
      <c r="AP78" s="181"/>
      <c r="BF78" s="23"/>
      <c r="BH78" s="23"/>
      <c r="BI78" s="23"/>
      <c r="BJ78" s="23"/>
      <c r="BK78" s="23"/>
      <c r="BL78" s="23"/>
      <c r="BM78" s="23"/>
      <c r="BN78" s="23"/>
      <c r="BO78" s="23"/>
      <c r="BP78" s="23" t="s">
        <v>451</v>
      </c>
      <c r="BQ78" s="175" t="str">
        <f t="shared" si="14"/>
        <v>Otara-Papatoetoe - to be detrmined which sportsfields</v>
      </c>
      <c r="BR78" s="23"/>
      <c r="BS78" s="23"/>
      <c r="BT78" s="23"/>
      <c r="BU78" s="23"/>
      <c r="BV78" s="23"/>
      <c r="BW78" s="23"/>
      <c r="BX78" s="23"/>
      <c r="BY78" s="23"/>
      <c r="BZ78" s="23"/>
      <c r="CA78" s="23"/>
      <c r="CB78" s="115"/>
      <c r="CC78" s="23"/>
      <c r="CD78" s="23"/>
      <c r="CF78" s="23"/>
      <c r="CG78" s="23"/>
      <c r="CH78" s="23"/>
      <c r="CI78" s="23"/>
      <c r="CJ78" s="23"/>
      <c r="CK78" s="23"/>
      <c r="CL78" s="23"/>
      <c r="CM78" s="23"/>
      <c r="CN78" s="23"/>
      <c r="CO78" s="207"/>
      <c r="CP78" s="207"/>
      <c r="CQ78" s="207"/>
      <c r="CR78" s="207"/>
      <c r="CS78" s="53"/>
      <c r="CT78" s="53"/>
      <c r="CU78" s="53"/>
      <c r="CV78" s="53"/>
      <c r="CW78" s="190"/>
      <c r="CX78" s="190"/>
      <c r="CY78" s="190"/>
      <c r="DG78" s="105"/>
      <c r="DH78" s="105"/>
      <c r="DI78" s="105"/>
      <c r="DJ78" s="105"/>
      <c r="DK78" s="105"/>
      <c r="DL78" s="105"/>
      <c r="DM78" s="105"/>
      <c r="DN78" s="105"/>
      <c r="DO78" s="105"/>
      <c r="DP78" s="105"/>
    </row>
    <row r="79" spans="1:120" x14ac:dyDescent="0.3">
      <c r="B79" s="2" t="str">
        <f>B78</f>
        <v>Reg Sportsfield</v>
      </c>
      <c r="E79" s="2" t="s">
        <v>806</v>
      </c>
      <c r="F79" s="184"/>
      <c r="G79" s="184"/>
      <c r="H79" s="184"/>
      <c r="I79" s="184"/>
      <c r="J79" s="184"/>
      <c r="K79" s="105"/>
      <c r="L79" s="105">
        <v>0.2</v>
      </c>
      <c r="M79" s="105"/>
      <c r="N79" s="105"/>
      <c r="O79" s="215"/>
      <c r="U79" s="175"/>
      <c r="V79" s="175"/>
      <c r="W79" s="175"/>
      <c r="X79" s="175">
        <f t="shared" si="33"/>
        <v>2.35</v>
      </c>
      <c r="Y79" s="175"/>
      <c r="Z79" s="181"/>
      <c r="AA79" s="181">
        <v>0.05</v>
      </c>
      <c r="AB79" s="181">
        <v>1</v>
      </c>
      <c r="AC79" s="181">
        <f>2.35-SUM(AA79:AB79)</f>
        <v>1.3</v>
      </c>
      <c r="AD79" s="181"/>
      <c r="AE79" s="181"/>
      <c r="AF79" s="181"/>
      <c r="AG79" s="181"/>
      <c r="AH79" s="181"/>
      <c r="AI79" s="181"/>
      <c r="AJ79" s="181"/>
      <c r="AK79" s="181"/>
      <c r="AL79" s="181"/>
      <c r="AM79" s="181"/>
      <c r="AN79" s="181"/>
      <c r="AO79" s="181"/>
      <c r="AP79" s="181"/>
      <c r="BF79" s="23"/>
      <c r="BH79" s="23"/>
      <c r="BI79" s="23"/>
      <c r="BJ79" s="23"/>
      <c r="BK79" s="23"/>
      <c r="BL79" s="23"/>
      <c r="BM79" s="23"/>
      <c r="BN79" s="23"/>
      <c r="BO79" s="23"/>
      <c r="BP79" s="23" t="s">
        <v>451</v>
      </c>
      <c r="BQ79" s="175" t="str">
        <f t="shared" si="14"/>
        <v>Three Kings Quarry sports changing rooms and toilets</v>
      </c>
      <c r="BR79" s="23"/>
      <c r="BS79" s="23"/>
      <c r="BT79" s="23"/>
      <c r="BU79" s="23"/>
      <c r="BV79" s="23"/>
      <c r="BW79" s="23"/>
      <c r="BX79" s="23"/>
      <c r="BY79" s="23"/>
      <c r="BZ79" s="23"/>
      <c r="CA79" s="23"/>
      <c r="CB79" s="115"/>
      <c r="CC79" s="23"/>
      <c r="CD79" s="23"/>
      <c r="CF79" s="23"/>
      <c r="CG79" s="23"/>
      <c r="CH79" s="23"/>
      <c r="CI79" s="23"/>
      <c r="CJ79" s="23"/>
      <c r="CK79" s="23"/>
      <c r="CL79" s="23"/>
      <c r="CM79" s="23"/>
      <c r="CN79" s="23"/>
      <c r="CO79" s="207"/>
      <c r="CP79" s="207"/>
      <c r="CQ79" s="207"/>
      <c r="CR79" s="207"/>
      <c r="CS79" s="53"/>
      <c r="CT79" s="53"/>
      <c r="CU79" s="53"/>
      <c r="CV79" s="53"/>
      <c r="CW79" s="190"/>
      <c r="CX79" s="190"/>
      <c r="CY79" s="190"/>
      <c r="DG79" s="105"/>
      <c r="DH79" s="105"/>
      <c r="DI79" s="105"/>
      <c r="DJ79" s="105"/>
      <c r="DK79" s="105"/>
      <c r="DL79" s="105"/>
      <c r="DM79" s="105"/>
      <c r="DN79" s="105"/>
      <c r="DO79" s="105"/>
      <c r="DP79" s="105"/>
    </row>
    <row r="80" spans="1:120" x14ac:dyDescent="0.3">
      <c r="B80" s="2" t="s">
        <v>210</v>
      </c>
      <c r="C80" s="2" t="s">
        <v>206</v>
      </c>
      <c r="E80" s="2" t="s">
        <v>803</v>
      </c>
      <c r="F80" s="184"/>
      <c r="G80" s="184"/>
      <c r="H80" s="184"/>
      <c r="I80" s="184"/>
      <c r="J80" s="184"/>
      <c r="K80" s="105"/>
      <c r="L80" s="105">
        <v>0.2</v>
      </c>
      <c r="M80" s="105"/>
      <c r="N80" s="105"/>
      <c r="O80" s="215"/>
      <c r="U80" s="175"/>
      <c r="V80" s="175"/>
      <c r="W80" s="175"/>
      <c r="X80" s="175">
        <f t="shared" si="33"/>
        <v>0.7</v>
      </c>
      <c r="Y80" s="175"/>
      <c r="Z80" s="181">
        <v>0.1</v>
      </c>
      <c r="AA80" s="181">
        <v>0.6</v>
      </c>
      <c r="AB80" s="181"/>
      <c r="AC80" s="181"/>
      <c r="AD80" s="181"/>
      <c r="AE80" s="181"/>
      <c r="AF80" s="181"/>
      <c r="AG80" s="181"/>
      <c r="AH80" s="181"/>
      <c r="AI80" s="181"/>
      <c r="AJ80" s="181"/>
      <c r="AK80" s="181"/>
      <c r="AL80" s="181"/>
      <c r="AM80" s="181"/>
      <c r="AN80" s="181"/>
      <c r="AO80" s="181"/>
      <c r="AP80" s="181"/>
      <c r="BF80" s="23"/>
      <c r="BH80" s="23"/>
      <c r="BI80" s="23"/>
      <c r="BJ80" s="23"/>
      <c r="BK80" s="23"/>
      <c r="BL80" s="23"/>
      <c r="BM80" s="23"/>
      <c r="BN80" s="23"/>
      <c r="BO80" s="23"/>
      <c r="BP80" s="23" t="s">
        <v>451</v>
      </c>
      <c r="BQ80" s="175" t="str">
        <f t="shared" si="14"/>
        <v>Opaheke Sports Park wastewater and stormater</v>
      </c>
      <c r="BR80" s="23"/>
      <c r="BS80" s="23"/>
      <c r="BT80" s="23"/>
      <c r="BU80" s="23"/>
      <c r="BV80" s="23"/>
      <c r="BW80" s="23"/>
      <c r="BX80" s="23"/>
      <c r="BY80" s="23"/>
      <c r="BZ80" s="23"/>
      <c r="CA80" s="23"/>
      <c r="CB80" s="115"/>
      <c r="CC80" s="23"/>
      <c r="CD80" s="23"/>
      <c r="CE80" s="2">
        <f>COUNTIF($B$291:$B$319,B80)</f>
        <v>1</v>
      </c>
      <c r="CF80" s="23"/>
      <c r="CG80" s="23"/>
      <c r="CH80" s="23"/>
      <c r="CI80" s="23"/>
      <c r="CJ80" s="23"/>
      <c r="CK80" s="23"/>
      <c r="CL80" s="23"/>
      <c r="CM80" s="23"/>
      <c r="CN80" s="23"/>
      <c r="CO80" s="207"/>
      <c r="CP80" s="207"/>
      <c r="CQ80" s="207"/>
      <c r="CR80" s="207"/>
      <c r="CS80" s="53"/>
      <c r="CT80" s="53"/>
      <c r="CU80" s="53"/>
      <c r="CV80" s="53"/>
      <c r="CW80" s="190"/>
      <c r="CX80" s="190"/>
      <c r="CY80" s="190"/>
      <c r="DG80" s="105"/>
      <c r="DH80" s="105"/>
      <c r="DI80" s="105"/>
      <c r="DJ80" s="105"/>
      <c r="DK80" s="105"/>
      <c r="DL80" s="105"/>
      <c r="DM80" s="105"/>
      <c r="DN80" s="105"/>
      <c r="DO80" s="105"/>
      <c r="DP80" s="105"/>
    </row>
    <row r="81" spans="1:120" x14ac:dyDescent="0.3">
      <c r="B81" s="2" t="s">
        <v>210</v>
      </c>
      <c r="C81" s="2" t="s">
        <v>203</v>
      </c>
      <c r="E81" s="2" t="s">
        <v>816</v>
      </c>
      <c r="F81" s="184"/>
      <c r="G81" s="184"/>
      <c r="H81" s="184"/>
      <c r="I81" s="184"/>
      <c r="J81" s="184"/>
      <c r="K81" s="105"/>
      <c r="L81" s="105">
        <v>1</v>
      </c>
      <c r="M81" s="105"/>
      <c r="N81" s="105"/>
      <c r="O81" s="215"/>
      <c r="U81" s="175"/>
      <c r="V81" s="175"/>
      <c r="W81" s="175"/>
      <c r="X81" s="175">
        <f t="shared" si="33"/>
        <v>2.5</v>
      </c>
      <c r="Y81" s="175"/>
      <c r="Z81" s="181"/>
      <c r="AA81" s="181"/>
      <c r="AB81" s="181">
        <v>0.3</v>
      </c>
      <c r="AC81" s="181">
        <v>0.6</v>
      </c>
      <c r="AD81" s="181">
        <f>(2.5-SUM(AB81:AC81))/2</f>
        <v>0.8</v>
      </c>
      <c r="AE81" s="181">
        <f>AD81</f>
        <v>0.8</v>
      </c>
      <c r="AF81" s="181"/>
      <c r="AG81" s="181"/>
      <c r="AH81" s="181"/>
      <c r="AI81" s="181"/>
      <c r="AJ81" s="181"/>
      <c r="AK81" s="181"/>
      <c r="AL81" s="181"/>
      <c r="AM81" s="181"/>
      <c r="AN81" s="181"/>
      <c r="AO81" s="181"/>
      <c r="AP81" s="181"/>
      <c r="BF81" s="23"/>
      <c r="BH81" s="23"/>
      <c r="BI81" s="23"/>
      <c r="BJ81" s="23"/>
      <c r="BK81" s="23"/>
      <c r="BL81" s="23"/>
      <c r="BM81" s="23"/>
      <c r="BN81" s="23"/>
      <c r="BO81" s="23"/>
      <c r="BP81" s="23" t="s">
        <v>451</v>
      </c>
      <c r="BQ81" s="175" t="str">
        <f t="shared" si="14"/>
        <v>Boggust Park, Norana Pk, DB Grounds sand, lighting, irrigation, drainage</v>
      </c>
      <c r="BR81" s="23"/>
      <c r="BS81" s="23"/>
      <c r="BT81" s="23"/>
      <c r="BU81" s="23"/>
      <c r="BV81" s="23"/>
      <c r="BW81" s="23"/>
      <c r="BX81" s="23"/>
      <c r="BY81" s="23"/>
      <c r="BZ81" s="23"/>
      <c r="CA81" s="23"/>
      <c r="CB81" s="115"/>
      <c r="CC81" s="23"/>
      <c r="CD81" s="23"/>
      <c r="CE81" s="2">
        <f>COUNTIF($B$291:$B$319,B81)</f>
        <v>1</v>
      </c>
      <c r="CF81" s="23"/>
      <c r="CG81" s="23"/>
      <c r="CH81" s="23"/>
      <c r="CI81" s="23"/>
      <c r="CJ81" s="23"/>
      <c r="CK81" s="23"/>
      <c r="CL81" s="23"/>
      <c r="CM81" s="23"/>
      <c r="CN81" s="23"/>
      <c r="CO81" s="207"/>
      <c r="CP81" s="207"/>
      <c r="CQ81" s="207"/>
      <c r="CR81" s="207"/>
      <c r="CS81" s="53"/>
      <c r="CT81" s="53"/>
      <c r="CU81" s="53"/>
      <c r="CV81" s="53"/>
      <c r="CW81" s="190"/>
      <c r="CX81" s="190"/>
      <c r="CY81" s="190"/>
      <c r="DG81" s="105"/>
      <c r="DH81" s="105"/>
      <c r="DI81" s="105"/>
      <c r="DJ81" s="105"/>
      <c r="DK81" s="105"/>
      <c r="DL81" s="105"/>
      <c r="DM81" s="105"/>
      <c r="DN81" s="105"/>
      <c r="DO81" s="105"/>
      <c r="DP81" s="105"/>
    </row>
    <row r="82" spans="1:120" x14ac:dyDescent="0.3">
      <c r="A82" s="2" t="s">
        <v>497</v>
      </c>
      <c r="B82" s="2" t="s">
        <v>210</v>
      </c>
      <c r="C82" s="2" t="s">
        <v>203</v>
      </c>
      <c r="D82" s="2" t="s">
        <v>498</v>
      </c>
      <c r="E82" s="7" t="s">
        <v>499</v>
      </c>
      <c r="F82" s="184"/>
      <c r="G82" s="184"/>
      <c r="H82" s="184"/>
      <c r="I82" s="184"/>
      <c r="J82" s="184"/>
      <c r="K82" s="105"/>
      <c r="L82" s="105">
        <v>1</v>
      </c>
      <c r="M82" s="105"/>
      <c r="N82" s="105"/>
      <c r="O82" s="215"/>
      <c r="V82" s="175"/>
      <c r="W82" s="3"/>
      <c r="X82" s="175">
        <f t="shared" si="33"/>
        <v>1</v>
      </c>
      <c r="Y82" s="25">
        <v>0.82622789256198337</v>
      </c>
      <c r="Z82" s="181"/>
      <c r="AA82" s="181">
        <v>0.2</v>
      </c>
      <c r="AB82" s="181">
        <v>0.8</v>
      </c>
      <c r="AC82" s="181"/>
      <c r="AD82" s="181"/>
      <c r="AE82" s="23"/>
      <c r="AF82" s="23"/>
      <c r="AG82" s="23"/>
      <c r="AH82" s="23"/>
      <c r="AI82" s="23"/>
      <c r="AJ82" s="182"/>
      <c r="AK82" s="182"/>
      <c r="AL82" s="182"/>
      <c r="AM82" s="182"/>
      <c r="AN82" s="182"/>
      <c r="AO82" s="182"/>
      <c r="AP82" s="182"/>
      <c r="BF82" s="23"/>
      <c r="BH82" s="23"/>
      <c r="BI82" s="23"/>
      <c r="BJ82" s="23"/>
      <c r="BK82" s="23"/>
      <c r="BL82" s="23"/>
      <c r="BM82" s="23"/>
      <c r="BN82" s="23"/>
      <c r="BO82" s="23"/>
      <c r="BP82" s="23" t="s">
        <v>451</v>
      </c>
      <c r="BQ82" s="175" t="str">
        <f t="shared" si="14"/>
        <v>June 2027</v>
      </c>
      <c r="BR82" s="23" t="str">
        <f>IFERROR(VLOOKUP(BQ82,'LTP '!$R$4:$S$86,2,0),"")</f>
        <v/>
      </c>
      <c r="BS82" s="23"/>
      <c r="BT82" s="23"/>
      <c r="BU82" s="23"/>
      <c r="BV82" s="23"/>
      <c r="BW82" s="23"/>
      <c r="BX82" s="23"/>
      <c r="BY82" s="23"/>
      <c r="BZ82" s="23"/>
      <c r="CA82" s="23">
        <f t="shared" si="21"/>
        <v>1</v>
      </c>
      <c r="CB82" s="115" t="e">
        <f t="shared" si="22"/>
        <v>#DIV/0!</v>
      </c>
      <c r="CC82" s="23"/>
      <c r="CD82" s="23"/>
      <c r="CE82" s="2">
        <f>COUNTIF($B$291:$B$319,B82)</f>
        <v>1</v>
      </c>
      <c r="CF82" s="23"/>
      <c r="CG82" s="23"/>
      <c r="CH82" s="23"/>
      <c r="CI82" s="23"/>
      <c r="CJ82" s="23"/>
      <c r="CK82" s="23"/>
      <c r="CL82" s="23"/>
      <c r="CM82" s="23"/>
      <c r="CN82" s="23"/>
      <c r="CO82" s="207"/>
      <c r="CP82" s="207"/>
      <c r="CQ82" s="207"/>
      <c r="CR82" s="207"/>
      <c r="CS82" s="53"/>
      <c r="CT82" s="53"/>
      <c r="CU82" s="53"/>
      <c r="CV82" s="53"/>
      <c r="CW82" s="190"/>
      <c r="CX82" s="190"/>
      <c r="CY82" s="190"/>
      <c r="DG82" s="105"/>
      <c r="DH82" s="105"/>
      <c r="DI82" s="105"/>
      <c r="DJ82" s="105"/>
      <c r="DK82" s="105"/>
      <c r="DL82" s="105"/>
      <c r="DM82" s="105"/>
      <c r="DN82" s="105"/>
      <c r="DO82" s="105"/>
      <c r="DP82" s="105"/>
    </row>
    <row r="83" spans="1:120" x14ac:dyDescent="0.3">
      <c r="B83" s="2" t="s">
        <v>808</v>
      </c>
      <c r="C83" s="2" t="s">
        <v>543</v>
      </c>
      <c r="D83" s="2" t="s">
        <v>809</v>
      </c>
      <c r="E83" s="7"/>
      <c r="F83" s="184"/>
      <c r="G83" s="184"/>
      <c r="H83" s="184"/>
      <c r="I83" s="184"/>
      <c r="J83" s="184"/>
      <c r="K83" s="105"/>
      <c r="L83" s="105"/>
      <c r="M83" s="105"/>
      <c r="N83" s="105"/>
      <c r="O83" s="215"/>
      <c r="V83" s="175"/>
      <c r="W83" s="3"/>
      <c r="X83" s="175"/>
      <c r="Y83" s="25"/>
      <c r="Z83" s="181"/>
      <c r="AA83" s="181"/>
      <c r="AB83" s="181"/>
      <c r="AC83" s="181"/>
      <c r="AD83" s="181"/>
      <c r="AE83" s="23"/>
      <c r="AF83" s="23"/>
      <c r="AG83" s="23"/>
      <c r="AH83" s="23"/>
      <c r="AI83" s="23"/>
      <c r="AJ83" s="182"/>
      <c r="AK83" s="182"/>
      <c r="AL83" s="182"/>
      <c r="AM83" s="182"/>
      <c r="AN83" s="182"/>
      <c r="AO83" s="182"/>
      <c r="AP83" s="182"/>
      <c r="BF83" s="23"/>
      <c r="BH83" s="23"/>
      <c r="BI83" s="23"/>
      <c r="BJ83" s="23"/>
      <c r="BK83" s="23"/>
      <c r="BL83" s="23"/>
      <c r="BM83" s="23"/>
      <c r="BN83" s="23"/>
      <c r="BO83" s="23"/>
      <c r="BP83" s="23" t="s">
        <v>455</v>
      </c>
      <c r="BQ83" s="175"/>
      <c r="BR83" s="23"/>
      <c r="BS83" s="23"/>
      <c r="BT83" s="23"/>
      <c r="BU83" s="23"/>
      <c r="BV83" s="23"/>
      <c r="BW83" s="23"/>
      <c r="BX83" s="23"/>
      <c r="BY83" s="23"/>
      <c r="BZ83" s="23"/>
      <c r="CA83" s="23"/>
      <c r="CB83" s="115"/>
      <c r="CC83" s="23"/>
      <c r="CD83" s="23"/>
      <c r="CF83" s="23"/>
      <c r="CG83" s="23"/>
      <c r="CH83" s="23"/>
      <c r="CI83" s="23"/>
      <c r="CJ83" s="23"/>
      <c r="CK83" s="23"/>
      <c r="CL83" s="23"/>
      <c r="CM83" s="23"/>
      <c r="CN83" s="23"/>
      <c r="CO83" s="207"/>
      <c r="CP83" s="207"/>
      <c r="CQ83" s="207"/>
      <c r="CR83" s="207"/>
      <c r="CS83" s="53"/>
      <c r="CT83" s="53"/>
      <c r="CU83" s="53"/>
      <c r="CV83" s="53"/>
      <c r="CW83" s="190"/>
      <c r="CX83" s="190"/>
      <c r="CY83" s="190"/>
      <c r="DG83" s="105"/>
      <c r="DH83" s="105"/>
      <c r="DI83" s="105"/>
      <c r="DJ83" s="105"/>
      <c r="DK83" s="105"/>
      <c r="DL83" s="105"/>
      <c r="DM83" s="105"/>
      <c r="DN83" s="105"/>
      <c r="DO83" s="105"/>
      <c r="DP83" s="105"/>
    </row>
    <row r="84" spans="1:120" x14ac:dyDescent="0.3">
      <c r="A84" s="2" t="s">
        <v>497</v>
      </c>
      <c r="B84" s="2" t="s">
        <v>210</v>
      </c>
      <c r="C84" s="2" t="s">
        <v>200</v>
      </c>
      <c r="D84" s="2" t="s">
        <v>500</v>
      </c>
      <c r="E84" s="216">
        <v>45838</v>
      </c>
      <c r="F84" s="184"/>
      <c r="G84" s="184"/>
      <c r="H84" s="184"/>
      <c r="I84" s="184"/>
      <c r="J84" s="184"/>
      <c r="K84" s="105"/>
      <c r="L84" s="105"/>
      <c r="M84" s="105"/>
      <c r="N84" s="105" t="s">
        <v>501</v>
      </c>
      <c r="O84" s="215"/>
      <c r="U84" s="175"/>
      <c r="V84" s="175"/>
      <c r="W84" s="175"/>
      <c r="X84" s="175">
        <f t="shared" si="33"/>
        <v>0</v>
      </c>
      <c r="Y84" s="175"/>
      <c r="Z84" s="181"/>
      <c r="AA84" s="181"/>
      <c r="AB84" s="181"/>
      <c r="AC84" s="181"/>
      <c r="AD84" s="181"/>
      <c r="AE84" s="181"/>
      <c r="AF84" s="181"/>
      <c r="AG84" s="181"/>
      <c r="AH84" s="181"/>
      <c r="AI84" s="181"/>
      <c r="AJ84" s="181"/>
      <c r="AK84" s="181"/>
      <c r="AL84" s="181"/>
      <c r="AM84" s="181"/>
      <c r="AN84" s="181"/>
      <c r="AO84" s="181"/>
      <c r="AP84" s="181"/>
      <c r="BF84" s="23"/>
      <c r="BH84" s="23"/>
      <c r="BI84" s="23"/>
      <c r="BJ84" s="23"/>
      <c r="BK84" s="23"/>
      <c r="BL84" s="23"/>
      <c r="BM84" s="23"/>
      <c r="BN84" s="23"/>
      <c r="BO84" s="23"/>
      <c r="BP84" s="23" t="s">
        <v>455</v>
      </c>
      <c r="BQ84" s="175" t="str">
        <f t="shared" ref="BQ84:BQ97" si="34">IF(BP84="LTP",E84,"")</f>
        <v/>
      </c>
      <c r="BR84" s="23" t="str">
        <f>IFERROR(VLOOKUP(BQ84,'LTP '!$R$4:$S$86,2,0),"")</f>
        <v/>
      </c>
      <c r="BS84" s="23"/>
      <c r="BT84" s="23"/>
      <c r="BU84" s="23"/>
      <c r="BV84" s="23"/>
      <c r="BW84" s="23"/>
      <c r="BX84" s="23"/>
      <c r="BY84" s="23"/>
      <c r="BZ84" s="23"/>
      <c r="CA84" s="23">
        <f t="shared" si="21"/>
        <v>0</v>
      </c>
      <c r="CB84" s="115" t="str">
        <f t="shared" si="22"/>
        <v/>
      </c>
      <c r="CC84" s="23"/>
      <c r="CD84" s="23"/>
      <c r="CE84" s="2">
        <f>COUNTIF($B$291:$B$319,B84)</f>
        <v>1</v>
      </c>
      <c r="CF84" s="23"/>
      <c r="CG84" s="23"/>
      <c r="CH84" s="23"/>
      <c r="CI84" s="23"/>
      <c r="CJ84" s="23"/>
      <c r="CK84" s="23"/>
      <c r="CL84" s="23"/>
      <c r="CM84" s="23"/>
      <c r="CN84" s="23"/>
      <c r="CO84" s="207"/>
      <c r="CP84" s="207"/>
      <c r="CQ84" s="207"/>
      <c r="CR84" s="207"/>
      <c r="CS84" s="53"/>
      <c r="CT84" s="53"/>
      <c r="CU84" s="53"/>
      <c r="CV84" s="53"/>
      <c r="CW84" s="190"/>
      <c r="CX84" s="190"/>
      <c r="CY84" s="190"/>
      <c r="DG84" s="105"/>
      <c r="DH84" s="105"/>
      <c r="DI84" s="105"/>
      <c r="DJ84" s="105"/>
      <c r="DK84" s="105"/>
      <c r="DL84" s="105"/>
      <c r="DM84" s="105"/>
      <c r="DN84" s="105"/>
      <c r="DO84" s="105"/>
      <c r="DP84" s="105"/>
    </row>
    <row r="85" spans="1:120" x14ac:dyDescent="0.3">
      <c r="A85" s="2" t="s">
        <v>497</v>
      </c>
      <c r="B85" s="2" t="s">
        <v>210</v>
      </c>
      <c r="C85" s="2" t="s">
        <v>200</v>
      </c>
      <c r="D85" s="2" t="s">
        <v>502</v>
      </c>
      <c r="E85" s="216">
        <v>45838</v>
      </c>
      <c r="F85" s="184"/>
      <c r="G85" s="184"/>
      <c r="H85" s="184"/>
      <c r="I85" s="184"/>
      <c r="J85" s="184"/>
      <c r="K85" s="105"/>
      <c r="L85" s="105"/>
      <c r="M85" s="105"/>
      <c r="N85" s="105" t="s">
        <v>501</v>
      </c>
      <c r="O85" s="215"/>
      <c r="V85" s="175"/>
      <c r="X85" s="175">
        <f t="shared" si="33"/>
        <v>0</v>
      </c>
      <c r="Y85" s="23"/>
      <c r="Z85" s="181"/>
      <c r="AA85" s="181"/>
      <c r="AB85" s="181"/>
      <c r="AC85" s="181"/>
      <c r="AD85" s="181"/>
      <c r="AE85" s="181"/>
      <c r="AF85" s="181"/>
      <c r="AG85" s="181"/>
      <c r="AH85" s="181"/>
      <c r="AI85" s="181"/>
      <c r="BF85" s="23"/>
      <c r="BH85" s="23"/>
      <c r="BI85" s="23"/>
      <c r="BJ85" s="23"/>
      <c r="BK85" s="23"/>
      <c r="BL85" s="23"/>
      <c r="BM85" s="23"/>
      <c r="BN85" s="23"/>
      <c r="BO85" s="23"/>
      <c r="BP85" s="23" t="s">
        <v>455</v>
      </c>
      <c r="BQ85" s="175" t="str">
        <f t="shared" si="34"/>
        <v/>
      </c>
      <c r="BR85" s="23" t="str">
        <f>IFERROR(VLOOKUP(BQ85,'LTP '!$R$4:$S$86,2,0),"")</f>
        <v/>
      </c>
      <c r="BS85" s="23"/>
      <c r="BT85" s="23"/>
      <c r="BU85" s="23"/>
      <c r="BV85" s="23"/>
      <c r="BW85" s="23"/>
      <c r="BX85" s="23"/>
      <c r="BY85" s="23"/>
      <c r="BZ85" s="23"/>
      <c r="CA85" s="23">
        <f t="shared" si="21"/>
        <v>0</v>
      </c>
      <c r="CB85" s="115" t="str">
        <f t="shared" si="22"/>
        <v/>
      </c>
      <c r="CC85" s="23"/>
      <c r="CD85" s="23"/>
      <c r="CE85" s="2">
        <f>COUNTIF($B$291:$B$319,B85)</f>
        <v>1</v>
      </c>
      <c r="CF85" s="23"/>
      <c r="CG85" s="23"/>
      <c r="CH85" s="23"/>
      <c r="CI85" s="23"/>
      <c r="CJ85" s="23"/>
      <c r="CK85" s="23"/>
      <c r="CL85" s="23"/>
      <c r="CM85" s="23"/>
      <c r="CN85" s="23"/>
      <c r="CO85" s="207"/>
      <c r="CP85" s="207"/>
      <c r="CQ85" s="207"/>
      <c r="CR85" s="207"/>
      <c r="CS85" s="53"/>
      <c r="CT85" s="53"/>
      <c r="CU85" s="53"/>
      <c r="CV85" s="53"/>
      <c r="CW85" s="190"/>
      <c r="CX85" s="190"/>
      <c r="CY85" s="190"/>
      <c r="DG85" s="105"/>
      <c r="DH85" s="105"/>
      <c r="DI85" s="105"/>
      <c r="DJ85" s="105"/>
      <c r="DK85" s="105"/>
      <c r="DL85" s="105"/>
      <c r="DM85" s="105"/>
      <c r="DN85" s="105"/>
      <c r="DO85" s="105"/>
      <c r="DP85" s="105"/>
    </row>
    <row r="86" spans="1:120" x14ac:dyDescent="0.3">
      <c r="A86" s="5" t="s">
        <v>503</v>
      </c>
      <c r="E86" s="216"/>
      <c r="F86" s="184"/>
      <c r="G86" s="184"/>
      <c r="H86" s="184"/>
      <c r="I86" s="184"/>
      <c r="J86" s="184"/>
      <c r="K86" s="105"/>
      <c r="L86" s="105"/>
      <c r="M86" s="105"/>
      <c r="N86" s="105"/>
      <c r="O86" s="215"/>
      <c r="V86" s="175"/>
      <c r="X86" s="175"/>
      <c r="Y86" s="23"/>
      <c r="Z86" s="181"/>
      <c r="AA86" s="181"/>
      <c r="AB86" s="181"/>
      <c r="AC86" s="181"/>
      <c r="AD86" s="181"/>
      <c r="AE86" s="181"/>
      <c r="AF86" s="181"/>
      <c r="AG86" s="181"/>
      <c r="AH86" s="181"/>
      <c r="AI86" s="181"/>
      <c r="BF86" s="23"/>
      <c r="BH86" s="23"/>
      <c r="BI86" s="23"/>
      <c r="BJ86" s="23"/>
      <c r="BK86" s="23"/>
      <c r="BL86" s="23"/>
      <c r="BM86" s="23"/>
      <c r="BN86" s="23"/>
      <c r="BO86" s="23"/>
      <c r="BP86" s="23"/>
      <c r="BQ86" s="175"/>
      <c r="BR86" s="23"/>
      <c r="BS86" s="23"/>
      <c r="BT86" s="23"/>
      <c r="BU86" s="23"/>
      <c r="BV86" s="23"/>
      <c r="BW86" s="23"/>
      <c r="BX86" s="23"/>
      <c r="BY86" s="23"/>
      <c r="BZ86" s="23"/>
      <c r="CA86" s="23"/>
      <c r="CB86" s="115"/>
      <c r="CC86" s="23"/>
      <c r="CD86" s="23"/>
      <c r="CF86" s="23"/>
      <c r="CG86" s="23"/>
      <c r="CH86" s="23"/>
      <c r="CI86" s="23"/>
      <c r="CJ86" s="23"/>
      <c r="CK86" s="23"/>
      <c r="CL86" s="23"/>
      <c r="CM86" s="23"/>
      <c r="CN86" s="23"/>
      <c r="CO86" s="207"/>
      <c r="CP86" s="207"/>
      <c r="CQ86" s="207"/>
      <c r="CR86" s="207"/>
      <c r="CS86" s="53"/>
      <c r="CT86" s="53"/>
      <c r="CU86" s="53"/>
      <c r="CV86" s="53"/>
      <c r="CW86" s="190"/>
      <c r="CX86" s="190"/>
      <c r="CY86" s="190"/>
      <c r="DG86" s="105"/>
      <c r="DH86" s="105"/>
      <c r="DI86" s="105"/>
      <c r="DJ86" s="105"/>
      <c r="DK86" s="105"/>
      <c r="DL86" s="105"/>
      <c r="DM86" s="105"/>
      <c r="DN86" s="105"/>
      <c r="DO86" s="105"/>
      <c r="DP86" s="105"/>
    </row>
    <row r="87" spans="1:120" x14ac:dyDescent="0.3">
      <c r="A87" s="2" t="s">
        <v>497</v>
      </c>
      <c r="B87" s="2" t="s">
        <v>210</v>
      </c>
      <c r="E87" s="216"/>
      <c r="F87" s="184"/>
      <c r="G87" s="184"/>
      <c r="H87" s="184"/>
      <c r="I87" s="184"/>
      <c r="J87" s="184"/>
      <c r="K87" s="105"/>
      <c r="L87" s="105">
        <v>22</v>
      </c>
      <c r="M87" s="105"/>
      <c r="N87" s="105"/>
      <c r="O87" s="215"/>
      <c r="V87" s="175"/>
      <c r="X87" s="175">
        <f t="shared" si="33"/>
        <v>46.339216910768599</v>
      </c>
      <c r="Y87" s="23"/>
      <c r="Z87" s="181">
        <f>'sports fields'!D65</f>
        <v>0</v>
      </c>
      <c r="AA87" s="181">
        <f>'sports fields'!E65</f>
        <v>0</v>
      </c>
      <c r="AB87" s="181">
        <f>'sports fields'!F65</f>
        <v>0</v>
      </c>
      <c r="AC87" s="181">
        <f>'sports fields'!G65</f>
        <v>2.4493722615766491</v>
      </c>
      <c r="AD87" s="181">
        <f>'sports fields'!H65</f>
        <v>3.7266850819995794</v>
      </c>
      <c r="AE87" s="181">
        <f>'sports fields'!I65</f>
        <v>5.8717851878342344</v>
      </c>
      <c r="AF87" s="181">
        <f>'sports fields'!J65</f>
        <v>8.184345421816106</v>
      </c>
      <c r="AG87" s="181">
        <f>'sports fields'!K65</f>
        <v>8.4380601298924027</v>
      </c>
      <c r="AH87" s="181">
        <f>'sports fields'!L65</f>
        <v>8.6996399939190674</v>
      </c>
      <c r="AI87" s="181">
        <f>'sports fields'!M65</f>
        <v>8.9693288337305574</v>
      </c>
      <c r="BF87" s="23"/>
      <c r="BH87" s="23"/>
      <c r="BI87" s="23"/>
      <c r="BJ87" s="23"/>
      <c r="BK87" s="23"/>
      <c r="BL87" s="23"/>
      <c r="BM87" s="23"/>
      <c r="BN87" s="23"/>
      <c r="BO87" s="23"/>
      <c r="BP87" s="23" t="s">
        <v>449</v>
      </c>
      <c r="BQ87" s="175" t="str">
        <f t="shared" si="34"/>
        <v/>
      </c>
      <c r="BR87" s="23" t="str">
        <f>IFERROR(VLOOKUP(BQ87,'LTP '!$R$4:$S$86,2,0),"")</f>
        <v/>
      </c>
      <c r="BS87" s="23"/>
      <c r="BT87" s="23"/>
      <c r="BU87" s="23"/>
      <c r="BV87" s="23"/>
      <c r="BW87" s="23"/>
      <c r="BX87" s="23"/>
      <c r="BY87" s="23"/>
      <c r="BZ87" s="23"/>
      <c r="CA87" s="23">
        <f t="shared" si="21"/>
        <v>46.339216910768599</v>
      </c>
      <c r="CB87" s="115" t="str">
        <f t="shared" si="22"/>
        <v/>
      </c>
      <c r="CC87" s="23"/>
      <c r="CD87" s="23"/>
      <c r="CE87" s="2">
        <f t="shared" ref="CE87:CE124" si="35">COUNTIF($B$291:$B$319,B87)</f>
        <v>1</v>
      </c>
      <c r="CF87" s="23"/>
      <c r="CG87" s="23"/>
      <c r="CH87" s="23"/>
      <c r="CI87" s="23"/>
      <c r="CJ87" s="23"/>
      <c r="CK87" s="23"/>
      <c r="CL87" s="23"/>
      <c r="CM87" s="23"/>
      <c r="CN87" s="23"/>
      <c r="CO87" s="207"/>
      <c r="CP87" s="207"/>
      <c r="CQ87" s="207"/>
      <c r="CR87" s="207"/>
      <c r="CS87" s="53"/>
      <c r="CT87" s="53"/>
      <c r="CU87" s="53"/>
      <c r="CV87" s="53"/>
      <c r="CW87" s="190"/>
      <c r="CX87" s="190"/>
      <c r="CY87" s="190"/>
      <c r="DG87" s="105"/>
      <c r="DH87" s="105"/>
      <c r="DI87" s="105"/>
      <c r="DJ87" s="105"/>
      <c r="DK87" s="105"/>
      <c r="DL87" s="105"/>
      <c r="DM87" s="105"/>
      <c r="DN87" s="105"/>
      <c r="DO87" s="105"/>
      <c r="DP87" s="105"/>
    </row>
    <row r="88" spans="1:120" x14ac:dyDescent="0.3">
      <c r="A88" s="185" t="s">
        <v>504</v>
      </c>
      <c r="E88" s="216"/>
      <c r="F88" s="184"/>
      <c r="G88" s="184"/>
      <c r="H88" s="184"/>
      <c r="I88" s="184"/>
      <c r="J88" s="184"/>
      <c r="K88" s="105"/>
      <c r="L88" s="105"/>
      <c r="M88" s="105"/>
      <c r="N88" s="105"/>
      <c r="O88" s="215"/>
      <c r="V88" s="175"/>
      <c r="X88" s="175"/>
      <c r="Y88" s="23"/>
      <c r="Z88" s="181"/>
      <c r="AA88" s="181"/>
      <c r="AB88" s="181"/>
      <c r="AC88" s="181"/>
      <c r="AD88" s="181"/>
      <c r="AE88" s="181"/>
      <c r="AF88" s="181"/>
      <c r="AG88" s="181"/>
      <c r="AH88" s="181"/>
      <c r="AI88" s="181"/>
      <c r="BF88" s="23"/>
      <c r="BH88" s="23"/>
      <c r="BI88" s="23"/>
      <c r="BJ88" s="23"/>
      <c r="BK88" s="23"/>
      <c r="BL88" s="23"/>
      <c r="BM88" s="23"/>
      <c r="BN88" s="23"/>
      <c r="BO88" s="23"/>
      <c r="BP88" s="23" t="s">
        <v>455</v>
      </c>
      <c r="BQ88" s="175" t="str">
        <f t="shared" si="34"/>
        <v/>
      </c>
      <c r="BR88" s="23" t="str">
        <f>IFERROR(VLOOKUP(BQ88,'LTP '!$R$4:$S$86,2,0),"")</f>
        <v/>
      </c>
      <c r="BS88" s="23"/>
      <c r="BT88" s="23"/>
      <c r="BU88" s="23"/>
      <c r="BV88" s="23"/>
      <c r="BW88" s="23"/>
      <c r="BX88" s="23"/>
      <c r="BY88" s="23"/>
      <c r="BZ88" s="23"/>
      <c r="CA88" s="23">
        <f t="shared" si="21"/>
        <v>0</v>
      </c>
      <c r="CB88" s="115" t="str">
        <f t="shared" si="22"/>
        <v/>
      </c>
      <c r="CC88" s="23"/>
      <c r="CD88" s="23"/>
      <c r="CE88" s="2">
        <f t="shared" si="35"/>
        <v>0</v>
      </c>
      <c r="CF88" s="23"/>
      <c r="CG88" s="23"/>
      <c r="CH88" s="23"/>
      <c r="CI88" s="23"/>
      <c r="CJ88" s="23"/>
      <c r="CK88" s="23"/>
      <c r="CL88" s="23"/>
      <c r="CM88" s="23"/>
      <c r="CN88" s="23"/>
      <c r="CO88" s="207"/>
      <c r="CP88" s="207"/>
      <c r="CQ88" s="207"/>
      <c r="CR88" s="207"/>
      <c r="CS88" s="53"/>
      <c r="CT88" s="53"/>
      <c r="CU88" s="53"/>
      <c r="CV88" s="53"/>
      <c r="CW88" s="190"/>
      <c r="CX88" s="190"/>
      <c r="CY88" s="190"/>
      <c r="DG88" s="105"/>
      <c r="DH88" s="105"/>
      <c r="DI88" s="105"/>
      <c r="DJ88" s="105"/>
      <c r="DK88" s="105"/>
      <c r="DL88" s="105"/>
      <c r="DM88" s="105"/>
      <c r="DN88" s="105"/>
      <c r="DO88" s="105"/>
      <c r="DP88" s="105"/>
    </row>
    <row r="89" spans="1:120" x14ac:dyDescent="0.3">
      <c r="A89" s="2" t="s">
        <v>505</v>
      </c>
      <c r="B89" s="2" t="s">
        <v>210</v>
      </c>
      <c r="C89" s="2" t="s">
        <v>102</v>
      </c>
      <c r="D89" s="2" t="s">
        <v>102</v>
      </c>
      <c r="E89" s="2" t="s">
        <v>506</v>
      </c>
      <c r="F89" s="105"/>
      <c r="G89" s="105"/>
      <c r="I89" s="105"/>
      <c r="J89" s="105"/>
      <c r="K89" s="105"/>
      <c r="L89" s="105">
        <f>0.51977</f>
        <v>0.51976999999999995</v>
      </c>
      <c r="M89" s="105"/>
      <c r="N89" s="105" t="s">
        <v>819</v>
      </c>
      <c r="Q89" s="2" t="s">
        <v>505</v>
      </c>
      <c r="R89" s="2">
        <v>2031</v>
      </c>
      <c r="S89" s="2" t="s">
        <v>903</v>
      </c>
      <c r="T89" s="2">
        <v>2031</v>
      </c>
      <c r="U89" s="2" cm="1">
        <f t="array" ref="U89">INDEX($Z$11:$BN$11,MATCH(TRUE,INDEX(Z89:BN89&lt;&gt;0,),0))</f>
        <v>2035</v>
      </c>
      <c r="V89" s="174">
        <v>100000</v>
      </c>
      <c r="X89" s="175">
        <f t="shared" si="33"/>
        <v>0</v>
      </c>
      <c r="Y89" s="23">
        <f>($V89-1500)*'Cost inputs'!$B$62/1000000</f>
        <v>27.138413275619573</v>
      </c>
      <c r="AH89" s="23"/>
      <c r="AI89" s="23"/>
      <c r="AJ89" s="23">
        <f>0.1*$Y89*'Cost inputs'!P$10</f>
        <v>3.8042743925367168</v>
      </c>
      <c r="AK89" s="23">
        <f>0.1*$Y89*'Cost inputs'!Q$10</f>
        <v>3.9222068987053542</v>
      </c>
      <c r="AL89" s="23">
        <f>0.4*$Y89*'Cost inputs'!R$10</f>
        <v>16.175181250260881</v>
      </c>
      <c r="AM89" s="23">
        <f>0.4*$Y89*'Cost inputs'!S$10</f>
        <v>16.676611869018966</v>
      </c>
      <c r="BF89" s="23"/>
      <c r="BH89" s="23"/>
      <c r="BI89" s="23"/>
      <c r="BJ89" s="23"/>
      <c r="BK89" s="23"/>
      <c r="BL89" s="23"/>
      <c r="BM89" s="23"/>
      <c r="BN89" s="23"/>
      <c r="BO89" s="23"/>
      <c r="BP89" s="23" t="s">
        <v>449</v>
      </c>
      <c r="BQ89" s="175" t="str">
        <f t="shared" si="34"/>
        <v/>
      </c>
      <c r="BR89" s="23" t="str">
        <f>IFERROR(VLOOKUP(BQ89,'LTP '!$R$4:$S$86,2,0),"")</f>
        <v/>
      </c>
      <c r="BS89" s="23"/>
      <c r="BT89" s="23"/>
      <c r="BU89" s="23"/>
      <c r="BV89" s="23"/>
      <c r="BW89" s="23"/>
      <c r="BX89" s="23"/>
      <c r="BY89" s="23"/>
      <c r="BZ89" s="23"/>
      <c r="CA89" s="23">
        <f t="shared" si="21"/>
        <v>40.578274410521914</v>
      </c>
      <c r="CB89" s="115">
        <f t="shared" si="22"/>
        <v>405.78274410521914</v>
      </c>
      <c r="CC89" s="23" t="s">
        <v>507</v>
      </c>
      <c r="CD89" s="23"/>
      <c r="CE89" s="2">
        <f t="shared" si="35"/>
        <v>1</v>
      </c>
      <c r="CF89" s="23"/>
      <c r="CG89" s="23"/>
      <c r="CH89" s="23"/>
      <c r="CI89" s="23"/>
      <c r="CJ89" s="23"/>
      <c r="CK89" s="23"/>
      <c r="CL89" s="23"/>
      <c r="CM89" s="23"/>
      <c r="CN89" s="23"/>
      <c r="CO89" s="207"/>
      <c r="CP89" s="207"/>
      <c r="CQ89" s="207"/>
      <c r="CR89" s="207"/>
      <c r="CS89" s="53"/>
      <c r="CT89" s="53"/>
      <c r="CU89" s="53"/>
      <c r="CV89" s="53"/>
      <c r="CW89" s="190"/>
      <c r="CX89" s="190"/>
      <c r="CY89" s="190"/>
      <c r="DG89" s="105"/>
      <c r="DH89" s="105"/>
      <c r="DI89" s="105"/>
      <c r="DJ89" s="105"/>
      <c r="DK89" s="105"/>
      <c r="DL89" s="105"/>
      <c r="DM89" s="105"/>
      <c r="DN89" s="105"/>
      <c r="DO89" s="105"/>
      <c r="DP89" s="105"/>
    </row>
    <row r="90" spans="1:120" x14ac:dyDescent="0.3">
      <c r="A90" s="2" t="s">
        <v>88</v>
      </c>
      <c r="B90" s="2" t="s">
        <v>210</v>
      </c>
      <c r="C90" s="2" t="s">
        <v>88</v>
      </c>
      <c r="D90" s="2" t="s">
        <v>246</v>
      </c>
      <c r="F90" s="105"/>
      <c r="G90" s="105"/>
      <c r="H90" s="105">
        <v>1</v>
      </c>
      <c r="I90" s="105"/>
      <c r="J90" s="105"/>
      <c r="K90" s="105"/>
      <c r="L90" s="105">
        <f t="shared" ref="L90" si="36">H90</f>
        <v>1</v>
      </c>
      <c r="M90" s="105"/>
      <c r="N90" s="105"/>
      <c r="O90" s="2">
        <v>2041</v>
      </c>
      <c r="P90" s="2">
        <v>2045</v>
      </c>
      <c r="Q90" s="2">
        <v>2049</v>
      </c>
      <c r="R90" s="2">
        <v>2048</v>
      </c>
      <c r="S90" s="2" t="s">
        <v>881</v>
      </c>
      <c r="T90" s="2">
        <v>2048</v>
      </c>
      <c r="U90" s="2" cm="1">
        <f t="array" ref="U90">INDEX($Z$11:$BN$11,MATCH(TRUE,INDEX(Z90:BN90&lt;&gt;0,),0))</f>
        <v>2050</v>
      </c>
      <c r="V90" s="174">
        <f>SUMPRODUCT(J90:M90,$J$8:$M$8)</f>
        <v>100000</v>
      </c>
      <c r="X90" s="175">
        <f t="shared" si="33"/>
        <v>0</v>
      </c>
      <c r="Y90" s="23">
        <f>$V90*'Cost inputs'!$B$62/1000000</f>
        <v>27.551688604689922</v>
      </c>
      <c r="AY90" s="23">
        <f>0.1*$Y90*'Cost inputs'!AE$10</f>
        <v>6.1054205298417035</v>
      </c>
      <c r="AZ90" s="23">
        <f>0.1*$Y90*'Cost inputs'!AF$10</f>
        <v>6.294688566266796</v>
      </c>
      <c r="BA90" s="23">
        <f>0.4*$Y90*'Cost inputs'!AG$10</f>
        <v>25.959295647284264</v>
      </c>
      <c r="BB90" s="23">
        <f>0.4*$Y90*'Cost inputs'!AH$10</f>
        <v>26.764033812350075</v>
      </c>
      <c r="BF90" s="23"/>
      <c r="BH90" s="23"/>
      <c r="BI90" s="23"/>
      <c r="BJ90" s="23"/>
      <c r="BK90" s="23"/>
      <c r="BL90" s="23"/>
      <c r="BM90" s="23"/>
      <c r="BN90" s="23"/>
      <c r="BO90" s="23"/>
      <c r="BP90" s="23" t="s">
        <v>449</v>
      </c>
      <c r="BQ90" s="175" t="str">
        <f t="shared" si="34"/>
        <v/>
      </c>
      <c r="BR90" s="23" t="str">
        <f>IFERROR(VLOOKUP(BQ90,'LTP '!$R$4:$S$86,2,0),"")</f>
        <v/>
      </c>
      <c r="BS90" s="23"/>
      <c r="BT90" s="23"/>
      <c r="BU90" s="23"/>
      <c r="BV90" s="23"/>
      <c r="BW90" s="23"/>
      <c r="BX90" s="23"/>
      <c r="BY90" s="23"/>
      <c r="BZ90" s="23"/>
      <c r="CA90" s="23">
        <f t="shared" si="21"/>
        <v>65.123438555742837</v>
      </c>
      <c r="CB90" s="115">
        <f t="shared" si="22"/>
        <v>651.23438555742837</v>
      </c>
      <c r="CC90" s="23"/>
      <c r="CD90" s="23"/>
      <c r="CE90" s="2">
        <f t="shared" si="35"/>
        <v>1</v>
      </c>
      <c r="CF90" s="23"/>
      <c r="CG90" s="23"/>
      <c r="CH90" s="23"/>
      <c r="CI90" s="23"/>
      <c r="CJ90" s="23"/>
      <c r="CK90" s="23"/>
      <c r="CL90" s="23"/>
      <c r="CM90" s="23"/>
      <c r="CN90" s="23"/>
      <c r="CO90" s="207"/>
      <c r="CP90" s="207"/>
      <c r="CQ90" s="207"/>
      <c r="CR90" s="207"/>
      <c r="CS90" s="53"/>
      <c r="CT90" s="53"/>
      <c r="CU90" s="53"/>
      <c r="CV90" s="53"/>
      <c r="CW90" s="190"/>
      <c r="CX90" s="190"/>
      <c r="CY90" s="190"/>
      <c r="DG90" s="105"/>
      <c r="DH90" s="105"/>
      <c r="DI90" s="105"/>
      <c r="DJ90" s="105"/>
      <c r="DK90" s="105"/>
      <c r="DL90" s="105"/>
      <c r="DM90" s="105"/>
      <c r="DN90" s="105"/>
      <c r="DO90" s="105"/>
      <c r="DP90" s="105"/>
    </row>
    <row r="91" spans="1:120" x14ac:dyDescent="0.3">
      <c r="A91" s="185" t="s">
        <v>508</v>
      </c>
      <c r="F91" s="184"/>
      <c r="G91" s="184"/>
      <c r="H91" s="184"/>
      <c r="I91" s="184"/>
      <c r="J91" s="184"/>
      <c r="K91" s="105"/>
      <c r="L91" s="105"/>
      <c r="M91" s="105"/>
      <c r="N91" s="105"/>
      <c r="O91" s="215"/>
      <c r="V91" s="175"/>
      <c r="W91" s="175"/>
      <c r="X91" s="175"/>
      <c r="Y91" s="25"/>
      <c r="AE91" s="23"/>
      <c r="AF91" s="181"/>
      <c r="AG91" s="181"/>
      <c r="AH91" s="181"/>
      <c r="AI91" s="181"/>
      <c r="AJ91" s="181"/>
      <c r="AK91" s="181"/>
      <c r="AL91" s="181"/>
      <c r="AM91" s="181"/>
      <c r="AY91" s="23"/>
      <c r="AZ91" s="23"/>
      <c r="BA91" s="23"/>
      <c r="BB91" s="23"/>
      <c r="BF91" s="23"/>
      <c r="BH91" s="23"/>
      <c r="BI91" s="23"/>
      <c r="BJ91" s="23"/>
      <c r="BK91" s="23"/>
      <c r="BL91" s="23"/>
      <c r="BM91" s="23"/>
      <c r="BN91" s="23"/>
      <c r="BO91" s="23"/>
      <c r="BP91" s="23" t="s">
        <v>455</v>
      </c>
      <c r="BQ91" s="175" t="str">
        <f t="shared" si="34"/>
        <v/>
      </c>
      <c r="BR91" s="23" t="str">
        <f>IFERROR(VLOOKUP(BQ91,'LTP '!$R$4:$S$86,2,0),"")</f>
        <v/>
      </c>
      <c r="BS91" s="23"/>
      <c r="BT91" s="23"/>
      <c r="BU91" s="23"/>
      <c r="BV91" s="23"/>
      <c r="BW91" s="23"/>
      <c r="BX91" s="23"/>
      <c r="BY91" s="23"/>
      <c r="BZ91" s="23"/>
      <c r="CA91" s="23">
        <f t="shared" ref="CA91:CA150" si="37">SUM(Z91:BN91)</f>
        <v>0</v>
      </c>
      <c r="CB91" s="115" t="str">
        <f t="shared" ref="CB91:CB150" si="38">IF(Y91&gt;0,CA91/V91*1000000,"")</f>
        <v/>
      </c>
      <c r="CC91" s="23"/>
      <c r="CD91" s="23"/>
      <c r="CE91" s="2">
        <f t="shared" si="35"/>
        <v>0</v>
      </c>
      <c r="CF91" s="23"/>
      <c r="CG91" s="23"/>
      <c r="CH91" s="23"/>
      <c r="CI91" s="23"/>
      <c r="CJ91" s="23"/>
      <c r="CK91" s="23"/>
      <c r="CL91" s="23"/>
      <c r="CM91" s="23"/>
      <c r="CN91" s="23"/>
      <c r="CO91" s="207"/>
      <c r="CP91" s="207"/>
      <c r="CQ91" s="207"/>
      <c r="CR91" s="207"/>
      <c r="CS91" s="53"/>
      <c r="CT91" s="53"/>
      <c r="CU91" s="53"/>
      <c r="CV91" s="53"/>
      <c r="CW91" s="190"/>
      <c r="CX91" s="190"/>
      <c r="CY91" s="190"/>
      <c r="DG91" s="105"/>
      <c r="DH91" s="105"/>
      <c r="DI91" s="105"/>
      <c r="DJ91" s="105"/>
      <c r="DK91" s="105"/>
      <c r="DL91" s="105"/>
      <c r="DM91" s="105"/>
      <c r="DN91" s="105"/>
      <c r="DO91" s="105"/>
      <c r="DP91" s="105"/>
    </row>
    <row r="92" spans="1:120" x14ac:dyDescent="0.3">
      <c r="A92" s="2" t="s">
        <v>471</v>
      </c>
      <c r="B92" s="2" t="s">
        <v>210</v>
      </c>
      <c r="D92" s="2" t="s">
        <v>509</v>
      </c>
      <c r="E92" s="2" t="s">
        <v>510</v>
      </c>
      <c r="F92" s="105"/>
      <c r="G92" s="105"/>
      <c r="I92" s="105"/>
      <c r="J92" s="105"/>
      <c r="K92" s="105"/>
      <c r="L92" s="105">
        <v>1</v>
      </c>
      <c r="M92" s="105"/>
      <c r="N92" s="105"/>
      <c r="Q92" s="2" t="s">
        <v>511</v>
      </c>
      <c r="S92" s="2" t="s">
        <v>903</v>
      </c>
      <c r="V92" s="174">
        <f>SUMPRODUCT(J92:M92,$J$8:$M$8)</f>
        <v>100000</v>
      </c>
      <c r="X92" s="175">
        <f t="shared" ref="X92:X94" si="39">SUM(Z92:AI92)</f>
        <v>0</v>
      </c>
      <c r="Y92" s="23">
        <f>$V92*'Cost inputs'!$B$62/1000000-X67-X74</f>
        <v>11.181424604689923</v>
      </c>
      <c r="AH92" s="23"/>
      <c r="AI92" s="23"/>
      <c r="AJ92" s="23">
        <f>0.1*$Y92*'Cost inputs'!P$10</f>
        <v>1.5674168885148543</v>
      </c>
      <c r="AK92" s="23">
        <f>0.1*$Y92*'Cost inputs'!Q$10</f>
        <v>1.6160068120588147</v>
      </c>
      <c r="AL92" s="23">
        <f>0.4*$Y92*'Cost inputs'!R$10</f>
        <v>6.6644120929305508</v>
      </c>
      <c r="AM92" s="23">
        <f>0.4*$Y92*'Cost inputs'!S$10</f>
        <v>6.8710088678113976</v>
      </c>
      <c r="AY92" s="23"/>
      <c r="AZ92" s="23"/>
      <c r="BA92" s="23"/>
      <c r="BB92" s="23"/>
      <c r="BF92" s="23"/>
      <c r="BH92" s="23"/>
      <c r="BI92" s="23"/>
      <c r="BJ92" s="23"/>
      <c r="BK92" s="23"/>
      <c r="BL92" s="23"/>
      <c r="BM92" s="23"/>
      <c r="BN92" s="23"/>
      <c r="BO92" s="23"/>
      <c r="BP92" s="23" t="s">
        <v>449</v>
      </c>
      <c r="BQ92" s="175" t="str">
        <f t="shared" si="34"/>
        <v/>
      </c>
      <c r="BR92" s="23" t="str">
        <f>IFERROR(VLOOKUP(BQ92,'LTP '!$R$4:$S$86,2,0),"")</f>
        <v/>
      </c>
      <c r="BS92" s="23"/>
      <c r="BT92" s="23"/>
      <c r="BU92" s="23"/>
      <c r="BV92" s="23"/>
      <c r="BW92" s="23"/>
      <c r="BX92" s="23"/>
      <c r="BY92" s="23"/>
      <c r="BZ92" s="23"/>
      <c r="CA92" s="23">
        <f t="shared" si="37"/>
        <v>16.718844661315618</v>
      </c>
      <c r="CB92" s="115">
        <f t="shared" si="38"/>
        <v>167.18844661315617</v>
      </c>
      <c r="CC92" s="23" t="s">
        <v>512</v>
      </c>
      <c r="CD92" s="23"/>
      <c r="CE92" s="2">
        <f t="shared" si="35"/>
        <v>1</v>
      </c>
      <c r="CF92" s="23"/>
      <c r="CG92" s="23"/>
      <c r="CH92" s="23"/>
      <c r="CI92" s="23"/>
      <c r="CJ92" s="23"/>
      <c r="CK92" s="23"/>
      <c r="CL92" s="23"/>
      <c r="CM92" s="23"/>
      <c r="CN92" s="23"/>
      <c r="CO92" s="207"/>
      <c r="CP92" s="207"/>
      <c r="CQ92" s="207"/>
      <c r="CR92" s="207"/>
      <c r="CS92" s="53"/>
      <c r="CT92" s="53"/>
      <c r="CU92" s="53"/>
      <c r="CV92" s="53"/>
      <c r="CW92" s="190"/>
      <c r="CX92" s="190"/>
      <c r="CY92" s="190"/>
      <c r="DG92" s="105"/>
      <c r="DH92" s="105"/>
      <c r="DI92" s="105"/>
      <c r="DJ92" s="105"/>
      <c r="DK92" s="105"/>
      <c r="DL92" s="105"/>
      <c r="DM92" s="105"/>
      <c r="DN92" s="105"/>
      <c r="DO92" s="105"/>
      <c r="DP92" s="105"/>
    </row>
    <row r="93" spans="1:120" x14ac:dyDescent="0.3">
      <c r="A93" s="2" t="s">
        <v>471</v>
      </c>
      <c r="B93" s="2" t="s">
        <v>210</v>
      </c>
      <c r="D93" s="2" t="s">
        <v>239</v>
      </c>
      <c r="E93" s="2" t="s">
        <v>513</v>
      </c>
      <c r="F93" s="105"/>
      <c r="G93" s="105"/>
      <c r="I93" s="105"/>
      <c r="J93" s="105"/>
      <c r="K93" s="105"/>
      <c r="L93" s="105">
        <v>1</v>
      </c>
      <c r="M93" s="105"/>
      <c r="N93" s="105"/>
      <c r="Q93" s="2" t="s">
        <v>471</v>
      </c>
      <c r="S93" s="2" t="s">
        <v>903</v>
      </c>
      <c r="V93" s="174">
        <f>SUMPRODUCT(J93:M93,$J$8:$M$8)</f>
        <v>100000</v>
      </c>
      <c r="W93" s="3"/>
      <c r="X93" s="175">
        <f t="shared" si="39"/>
        <v>0</v>
      </c>
      <c r="Y93" s="23">
        <f>$V93*'Cost inputs'!$B$62/1000000</f>
        <v>27.551688604689922</v>
      </c>
      <c r="AH93" s="23"/>
      <c r="AI93" s="23"/>
      <c r="AJ93" s="23">
        <f>0.1*$Y93*'Cost inputs'!P$10</f>
        <v>3.8622075051134179</v>
      </c>
      <c r="AK93" s="23">
        <f>0.1*$Y93*'Cost inputs'!Q$10</f>
        <v>3.981935937771933</v>
      </c>
      <c r="AL93" s="23">
        <f>0.4*$Y93*'Cost inputs'!R$10</f>
        <v>16.421503807371451</v>
      </c>
      <c r="AM93" s="23">
        <f>0.4*$Y93*'Cost inputs'!S$10</f>
        <v>16.930570425399964</v>
      </c>
      <c r="AY93" s="23"/>
      <c r="AZ93" s="23"/>
      <c r="BA93" s="23"/>
      <c r="BB93" s="23"/>
      <c r="BF93" s="23"/>
      <c r="BH93" s="23"/>
      <c r="BI93" s="23"/>
      <c r="BJ93" s="23"/>
      <c r="BK93" s="23"/>
      <c r="BL93" s="23"/>
      <c r="BM93" s="23"/>
      <c r="BN93" s="23"/>
      <c r="BO93" s="23"/>
      <c r="BP93" s="23" t="s">
        <v>449</v>
      </c>
      <c r="BQ93" s="175" t="str">
        <f t="shared" si="34"/>
        <v/>
      </c>
      <c r="BR93" s="23" t="str">
        <f>IFERROR(VLOOKUP(BQ93,'LTP '!$R$4:$S$86,2,0),"")</f>
        <v/>
      </c>
      <c r="BS93" s="23"/>
      <c r="BT93" s="23"/>
      <c r="BU93" s="23"/>
      <c r="BV93" s="23"/>
      <c r="BW93" s="23"/>
      <c r="BX93" s="23"/>
      <c r="BY93" s="23"/>
      <c r="BZ93" s="23"/>
      <c r="CA93" s="23">
        <f t="shared" si="37"/>
        <v>41.196217675656769</v>
      </c>
      <c r="CB93" s="115">
        <f t="shared" si="38"/>
        <v>411.96217675656771</v>
      </c>
      <c r="CC93" s="23"/>
      <c r="CD93" s="23"/>
      <c r="CE93" s="2">
        <f t="shared" si="35"/>
        <v>1</v>
      </c>
      <c r="CF93" s="23"/>
      <c r="CG93" s="23"/>
      <c r="CH93" s="23"/>
      <c r="CI93" s="23"/>
      <c r="CJ93" s="23"/>
      <c r="CK93" s="23"/>
      <c r="CL93" s="23"/>
      <c r="CM93" s="23"/>
      <c r="CN93" s="23"/>
      <c r="CO93" s="207"/>
      <c r="CP93" s="207"/>
      <c r="CQ93" s="207"/>
      <c r="CR93" s="207"/>
      <c r="CS93" s="53"/>
      <c r="CT93" s="53"/>
      <c r="CU93" s="53"/>
      <c r="CV93" s="53"/>
      <c r="CW93" s="190"/>
      <c r="CX93" s="190"/>
      <c r="CY93" s="190"/>
      <c r="DG93" s="105"/>
      <c r="DH93" s="105"/>
      <c r="DI93" s="105"/>
      <c r="DJ93" s="105"/>
      <c r="DK93" s="105"/>
      <c r="DL93" s="105"/>
      <c r="DM93" s="105"/>
      <c r="DN93" s="105"/>
      <c r="DO93" s="105"/>
      <c r="DP93" s="105"/>
    </row>
    <row r="94" spans="1:120" x14ac:dyDescent="0.3">
      <c r="A94" s="2" t="s">
        <v>471</v>
      </c>
      <c r="B94" s="2" t="s">
        <v>210</v>
      </c>
      <c r="D94" s="2" t="s">
        <v>239</v>
      </c>
      <c r="E94" s="2" t="s">
        <v>514</v>
      </c>
      <c r="F94" s="105"/>
      <c r="G94" s="105"/>
      <c r="I94" s="105"/>
      <c r="J94" s="105"/>
      <c r="K94" s="105"/>
      <c r="L94" s="105">
        <v>1.06</v>
      </c>
      <c r="M94" s="105"/>
      <c r="N94" s="105"/>
      <c r="Q94" s="2" t="s">
        <v>471</v>
      </c>
      <c r="S94" s="2" t="s">
        <v>903</v>
      </c>
      <c r="V94" s="174">
        <f>SUMPRODUCT(J94:M94,$J$8:$M$8)</f>
        <v>106000</v>
      </c>
      <c r="W94" s="3"/>
      <c r="X94" s="175">
        <f t="shared" si="39"/>
        <v>0</v>
      </c>
      <c r="Y94" s="23">
        <f>$V94*'Cost inputs'!$B$62/1000000</f>
        <v>29.204789920971319</v>
      </c>
      <c r="AH94" s="23"/>
      <c r="AI94" s="23"/>
      <c r="AJ94" s="23">
        <f>0.1*$Y94*'Cost inputs'!P$10</f>
        <v>4.0939399554202236</v>
      </c>
      <c r="AK94" s="23">
        <f>0.1*$Y94*'Cost inputs'!Q$10</f>
        <v>4.2208520940382499</v>
      </c>
      <c r="AL94" s="23">
        <f>0.4*$Y94*'Cost inputs'!R$10</f>
        <v>17.406794035813739</v>
      </c>
      <c r="AM94" s="23">
        <f>0.4*$Y94*'Cost inputs'!S$10</f>
        <v>17.946404650923967</v>
      </c>
      <c r="AY94" s="23"/>
      <c r="AZ94" s="23"/>
      <c r="BA94" s="23"/>
      <c r="BB94" s="23"/>
      <c r="BF94" s="23"/>
      <c r="BH94" s="23"/>
      <c r="BI94" s="23"/>
      <c r="BJ94" s="23"/>
      <c r="BK94" s="23"/>
      <c r="BL94" s="23"/>
      <c r="BM94" s="23"/>
      <c r="BN94" s="23"/>
      <c r="BO94" s="23"/>
      <c r="BP94" s="23" t="s">
        <v>449</v>
      </c>
      <c r="BQ94" s="175" t="str">
        <f t="shared" si="34"/>
        <v/>
      </c>
      <c r="BR94" s="23" t="str">
        <f>IFERROR(VLOOKUP(BQ94,'LTP '!$R$4:$S$86,2,0),"")</f>
        <v/>
      </c>
      <c r="BS94" s="23"/>
      <c r="BT94" s="23"/>
      <c r="BU94" s="23"/>
      <c r="BV94" s="23"/>
      <c r="BW94" s="23"/>
      <c r="BX94" s="23"/>
      <c r="BY94" s="23"/>
      <c r="BZ94" s="23"/>
      <c r="CA94" s="23">
        <f t="shared" si="37"/>
        <v>43.667990736196181</v>
      </c>
      <c r="CB94" s="115">
        <f t="shared" si="38"/>
        <v>411.96217675656777</v>
      </c>
      <c r="CC94" s="23"/>
      <c r="CD94" s="23"/>
      <c r="CE94" s="2">
        <f t="shared" si="35"/>
        <v>1</v>
      </c>
      <c r="CF94" s="23"/>
      <c r="CG94" s="23"/>
      <c r="CH94" s="23"/>
      <c r="CI94" s="23"/>
      <c r="CJ94" s="23"/>
      <c r="CK94" s="23"/>
      <c r="CL94" s="23"/>
      <c r="CM94" s="23"/>
      <c r="CN94" s="23"/>
      <c r="CO94" s="207"/>
      <c r="CP94" s="207"/>
      <c r="CQ94" s="207"/>
      <c r="CR94" s="207"/>
      <c r="CS94" s="53"/>
      <c r="CT94" s="53"/>
      <c r="CU94" s="53"/>
      <c r="CV94" s="53"/>
      <c r="CW94" s="190"/>
      <c r="CX94" s="190"/>
      <c r="CY94" s="190"/>
      <c r="DG94" s="105"/>
      <c r="DH94" s="105"/>
      <c r="DI94" s="105"/>
      <c r="DJ94" s="105"/>
      <c r="DK94" s="105"/>
      <c r="DL94" s="105"/>
      <c r="DM94" s="105"/>
      <c r="DN94" s="105"/>
      <c r="DO94" s="105"/>
      <c r="DP94" s="105"/>
    </row>
    <row r="95" spans="1:120" ht="18.75" customHeight="1" x14ac:dyDescent="0.3">
      <c r="A95" s="185" t="s">
        <v>515</v>
      </c>
      <c r="B95" s="185"/>
      <c r="F95" s="184"/>
      <c r="G95" s="184"/>
      <c r="H95" s="184"/>
      <c r="I95" s="184"/>
      <c r="J95" s="184"/>
      <c r="K95" s="105"/>
      <c r="L95" s="105"/>
      <c r="M95" s="105"/>
      <c r="N95" s="105"/>
      <c r="O95" s="215"/>
      <c r="V95" s="175"/>
      <c r="X95" s="175"/>
      <c r="Y95" s="175"/>
      <c r="AK95" s="181"/>
      <c r="AL95" s="181"/>
      <c r="AM95" s="181"/>
      <c r="AN95" s="181"/>
      <c r="AO95" s="181"/>
      <c r="AP95" s="181"/>
      <c r="AQ95" s="181"/>
      <c r="AR95" s="181"/>
      <c r="AS95" s="181"/>
      <c r="AT95" s="181"/>
      <c r="AU95" s="181"/>
      <c r="BF95" s="23"/>
      <c r="BH95" s="23"/>
      <c r="BI95" s="23"/>
      <c r="BJ95" s="23"/>
      <c r="BK95" s="23"/>
      <c r="BL95" s="23"/>
      <c r="BM95" s="23"/>
      <c r="BN95" s="23"/>
      <c r="BO95" s="23"/>
      <c r="BP95" s="23" t="s">
        <v>455</v>
      </c>
      <c r="BQ95" s="175" t="str">
        <f t="shared" si="34"/>
        <v/>
      </c>
      <c r="BR95" s="23" t="str">
        <f>IFERROR(VLOOKUP(BQ95,'LTP '!$R$4:$S$86,2,0),"")</f>
        <v/>
      </c>
      <c r="BS95" s="23"/>
      <c r="BT95" s="23"/>
      <c r="BU95" s="23"/>
      <c r="BV95" s="23"/>
      <c r="BW95" s="23"/>
      <c r="BX95" s="23"/>
      <c r="BY95" s="23"/>
      <c r="BZ95" s="23"/>
      <c r="CA95" s="23">
        <f t="shared" si="37"/>
        <v>0</v>
      </c>
      <c r="CB95" s="115" t="str">
        <f t="shared" si="38"/>
        <v/>
      </c>
      <c r="CC95" s="23"/>
      <c r="CD95" s="23"/>
      <c r="CE95" s="2">
        <f t="shared" si="35"/>
        <v>0</v>
      </c>
      <c r="CF95" s="23"/>
      <c r="CG95" s="23"/>
      <c r="CH95" s="23"/>
      <c r="CI95" s="23"/>
      <c r="CJ95" s="23"/>
      <c r="CK95" s="23"/>
      <c r="CL95" s="23"/>
      <c r="CM95" s="23"/>
      <c r="CN95" s="23"/>
      <c r="CO95" s="207"/>
      <c r="CP95" s="207"/>
      <c r="CQ95" s="207"/>
      <c r="CR95" s="207"/>
      <c r="CS95" s="53"/>
      <c r="CT95" s="53"/>
      <c r="CU95" s="53"/>
      <c r="CV95" s="53"/>
      <c r="CW95" s="190"/>
      <c r="CX95" s="190"/>
      <c r="CY95" s="190"/>
      <c r="DG95" s="105"/>
      <c r="DH95" s="105"/>
      <c r="DI95" s="105"/>
      <c r="DJ95" s="105"/>
      <c r="DK95" s="105"/>
      <c r="DL95" s="105"/>
      <c r="DM95" s="105"/>
      <c r="DN95" s="105"/>
      <c r="DO95" s="105"/>
      <c r="DP95" s="105"/>
    </row>
    <row r="96" spans="1:120" x14ac:dyDescent="0.3">
      <c r="A96" s="2" t="s">
        <v>497</v>
      </c>
      <c r="B96" s="2" t="s">
        <v>210</v>
      </c>
      <c r="C96" s="2" t="s">
        <v>203</v>
      </c>
      <c r="D96" s="2" t="s">
        <v>516</v>
      </c>
      <c r="E96" s="2" t="s">
        <v>757</v>
      </c>
      <c r="F96" s="184"/>
      <c r="G96" s="184"/>
      <c r="H96" s="184"/>
      <c r="I96" s="184"/>
      <c r="J96" s="184"/>
      <c r="K96" s="105"/>
      <c r="L96" s="105">
        <v>0.1</v>
      </c>
      <c r="M96" s="105"/>
      <c r="N96" s="105" t="s">
        <v>756</v>
      </c>
      <c r="O96" s="215"/>
      <c r="V96" s="175"/>
      <c r="W96" s="175"/>
      <c r="X96" s="175">
        <f t="shared" si="33"/>
        <v>0.16490648658472981</v>
      </c>
      <c r="Y96" s="25">
        <v>0.1370388429752066</v>
      </c>
      <c r="AA96" s="181"/>
      <c r="AB96" s="181"/>
      <c r="AC96" s="181"/>
      <c r="AD96" s="181"/>
      <c r="AE96" s="23">
        <f>$Y96*'Cost inputs'!K$10</f>
        <v>0.16490648658472981</v>
      </c>
      <c r="AF96" s="181"/>
      <c r="AG96" s="181"/>
      <c r="AH96" s="181"/>
      <c r="AI96" s="181"/>
      <c r="AJ96" s="181"/>
      <c r="AK96" s="181"/>
      <c r="BF96" s="23"/>
      <c r="BH96" s="23"/>
      <c r="BI96" s="23"/>
      <c r="BJ96" s="23"/>
      <c r="BK96" s="23"/>
      <c r="BL96" s="23"/>
      <c r="BM96" s="23"/>
      <c r="BN96" s="23"/>
      <c r="BO96" s="23"/>
      <c r="BP96" s="23" t="s">
        <v>449</v>
      </c>
      <c r="BQ96" s="175" t="str">
        <f t="shared" si="34"/>
        <v/>
      </c>
      <c r="BR96" s="23" t="str">
        <f>IFERROR(VLOOKUP(BQ96,'LTP '!$R$4:$S$86,2,0),"")</f>
        <v/>
      </c>
      <c r="BS96" s="23"/>
      <c r="BT96" s="23"/>
      <c r="BU96" s="23"/>
      <c r="BV96" s="23"/>
      <c r="BW96" s="23"/>
      <c r="BX96" s="23"/>
      <c r="BY96" s="23"/>
      <c r="BZ96" s="23"/>
      <c r="CA96" s="23">
        <f t="shared" si="37"/>
        <v>0.16490648658472981</v>
      </c>
      <c r="CB96" s="115" t="e">
        <f t="shared" si="38"/>
        <v>#DIV/0!</v>
      </c>
      <c r="CC96" s="23"/>
      <c r="CD96" s="23"/>
      <c r="CE96" s="2">
        <f t="shared" si="35"/>
        <v>1</v>
      </c>
      <c r="CF96" s="23"/>
      <c r="CG96" s="23"/>
      <c r="CH96" s="23"/>
      <c r="CI96" s="23"/>
      <c r="CJ96" s="23"/>
      <c r="CK96" s="23"/>
      <c r="CL96" s="23"/>
      <c r="CM96" s="23"/>
      <c r="CN96" s="23"/>
      <c r="CO96" s="207"/>
      <c r="CP96" s="207"/>
      <c r="CQ96" s="207"/>
      <c r="CR96" s="207"/>
      <c r="CS96" s="53"/>
      <c r="CT96" s="53"/>
      <c r="CU96" s="53"/>
      <c r="CV96" s="53"/>
      <c r="CW96" s="190"/>
      <c r="CX96" s="190"/>
      <c r="CY96" s="190"/>
      <c r="DG96" s="105"/>
      <c r="DH96" s="105"/>
      <c r="DI96" s="105"/>
      <c r="DJ96" s="105"/>
      <c r="DK96" s="105"/>
      <c r="DL96" s="105"/>
      <c r="DM96" s="105"/>
      <c r="DN96" s="105"/>
      <c r="DO96" s="105"/>
      <c r="DP96" s="105"/>
    </row>
    <row r="97" spans="1:120" x14ac:dyDescent="0.3">
      <c r="A97" s="2" t="s">
        <v>322</v>
      </c>
      <c r="B97" s="2" t="s">
        <v>210</v>
      </c>
      <c r="C97" s="2" t="s">
        <v>203</v>
      </c>
      <c r="D97" s="2" t="s">
        <v>450</v>
      </c>
      <c r="E97" s="2" t="s">
        <v>341</v>
      </c>
      <c r="F97" s="184"/>
      <c r="G97" s="184"/>
      <c r="H97" s="184"/>
      <c r="I97" s="184"/>
      <c r="J97" s="184"/>
      <c r="K97" s="105"/>
      <c r="L97" s="105">
        <v>0.1</v>
      </c>
      <c r="M97" s="105"/>
      <c r="N97" s="105"/>
      <c r="O97" s="215"/>
      <c r="U97" s="175"/>
      <c r="V97" s="175"/>
      <c r="W97" s="175"/>
      <c r="X97" s="175">
        <f t="shared" si="33"/>
        <v>0.5</v>
      </c>
      <c r="Y97" s="175"/>
      <c r="Z97" s="181">
        <f>VLOOKUP($E97,'LTP '!$D$4:$N$86,2+Z$11-$Z$11,0)/1000000</f>
        <v>0.5</v>
      </c>
      <c r="AA97" s="181">
        <f>VLOOKUP($E97,'LTP '!$D$4:$N$86,2+AA$11-$Z$11,0)/1000000</f>
        <v>0</v>
      </c>
      <c r="AB97" s="181">
        <f>VLOOKUP($E97,'LTP '!$D$4:$N$86,2+AB$11-$Z$11,0)/1000000</f>
        <v>0</v>
      </c>
      <c r="AC97" s="181">
        <f>VLOOKUP($E97,'LTP '!$D$4:$N$86,2+AC$11-$Z$11,0)/1000000</f>
        <v>0</v>
      </c>
      <c r="AD97" s="181">
        <f>VLOOKUP($E97,'LTP '!$D$4:$N$86,2+AD$11-$Z$11,0)/1000000</f>
        <v>0</v>
      </c>
      <c r="AE97" s="181">
        <f>VLOOKUP($E97,'LTP '!$D$4:$N$86,2+AE$11-$Z$11,0)/1000000</f>
        <v>0</v>
      </c>
      <c r="AF97" s="181">
        <f>VLOOKUP($E97,'LTP '!$D$4:$N$86,2+AF$11-$Z$11,0)/1000000</f>
        <v>0</v>
      </c>
      <c r="AG97" s="181">
        <f>VLOOKUP($E97,'LTP '!$D$4:$N$86,2+AG$11-$Z$11,0)/1000000</f>
        <v>0</v>
      </c>
      <c r="AH97" s="181">
        <f>VLOOKUP($E97,'LTP '!$D$4:$N$86,2+AH$11-$Z$11,0)/1000000</f>
        <v>0</v>
      </c>
      <c r="AI97" s="181">
        <f>VLOOKUP($E97,'LTP '!$D$4:$N$86,2+AI$11-$Z$11,0)/1000000</f>
        <v>0</v>
      </c>
      <c r="AJ97" s="181"/>
      <c r="AK97" s="181"/>
      <c r="BF97" s="23"/>
      <c r="BH97" s="23"/>
      <c r="BI97" s="23"/>
      <c r="BJ97" s="23"/>
      <c r="BK97" s="23"/>
      <c r="BL97" s="23"/>
      <c r="BM97" s="23"/>
      <c r="BN97" s="23"/>
      <c r="BO97" s="23"/>
      <c r="BP97" s="23" t="s">
        <v>451</v>
      </c>
      <c r="BQ97" s="175" t="str">
        <f t="shared" si="34"/>
        <v>N.005219.05.03 - Aorere PK- demolish &amp; rebuild change FAC</v>
      </c>
      <c r="BR97" s="23" t="str">
        <f>IFERROR(VLOOKUP(BQ97,'LTP '!$R$4:$S$86,2,0),"")</f>
        <v>PC3201501 - General park development</v>
      </c>
      <c r="BS97" s="23"/>
      <c r="BT97" s="23"/>
      <c r="BU97" s="23"/>
      <c r="BV97" s="23"/>
      <c r="BW97" s="23"/>
      <c r="BX97" s="23"/>
      <c r="BY97" s="23"/>
      <c r="BZ97" s="23"/>
      <c r="CA97" s="23">
        <f t="shared" si="37"/>
        <v>0.5</v>
      </c>
      <c r="CB97" s="115" t="str">
        <f t="shared" si="38"/>
        <v/>
      </c>
      <c r="CC97" s="23"/>
      <c r="CD97" s="23"/>
      <c r="CE97" s="2">
        <f t="shared" si="35"/>
        <v>1</v>
      </c>
      <c r="CF97" s="23"/>
      <c r="CG97" s="23"/>
      <c r="CH97" s="23"/>
      <c r="CI97" s="23"/>
      <c r="CJ97" s="23"/>
      <c r="CK97" s="23"/>
      <c r="CL97" s="23"/>
      <c r="CM97" s="23"/>
      <c r="CN97" s="23"/>
      <c r="CO97" s="207"/>
      <c r="CP97" s="207"/>
      <c r="CQ97" s="207"/>
      <c r="CR97" s="207"/>
      <c r="CS97" s="53"/>
      <c r="CT97" s="53"/>
      <c r="CU97" s="53"/>
      <c r="CV97" s="53"/>
      <c r="CW97" s="190"/>
      <c r="CX97" s="190"/>
      <c r="CY97" s="190"/>
      <c r="DG97" s="105"/>
      <c r="DH97" s="105"/>
      <c r="DI97" s="105"/>
      <c r="DJ97" s="105"/>
      <c r="DK97" s="105"/>
      <c r="DL97" s="105"/>
      <c r="DM97" s="105"/>
      <c r="DN97" s="105"/>
      <c r="DO97" s="105"/>
      <c r="DP97" s="105"/>
    </row>
    <row r="98" spans="1:120" x14ac:dyDescent="0.3">
      <c r="A98" s="2" t="s">
        <v>497</v>
      </c>
      <c r="B98" s="2" t="s">
        <v>210</v>
      </c>
      <c r="C98" s="2" t="s">
        <v>203</v>
      </c>
      <c r="D98" s="2" t="s">
        <v>517</v>
      </c>
      <c r="E98" s="2" t="s">
        <v>499</v>
      </c>
      <c r="F98" s="184"/>
      <c r="G98" s="184"/>
      <c r="H98" s="184"/>
      <c r="I98" s="184"/>
      <c r="J98" s="184"/>
      <c r="K98" s="105"/>
      <c r="L98" s="105">
        <v>0.1</v>
      </c>
      <c r="M98" s="105"/>
      <c r="N98" s="105" t="s">
        <v>756</v>
      </c>
      <c r="O98" s="215"/>
      <c r="V98" s="175"/>
      <c r="W98" s="175"/>
      <c r="X98" s="175">
        <f t="shared" si="33"/>
        <v>1.7901160668237492</v>
      </c>
      <c r="Y98" s="25">
        <v>1.4876033057851237</v>
      </c>
      <c r="AE98" s="23">
        <f>$Y98*'Cost inputs'!K$10</f>
        <v>1.7901160668237492</v>
      </c>
      <c r="AF98" s="181"/>
      <c r="AG98" s="181"/>
      <c r="AH98" s="181"/>
      <c r="AI98" s="181"/>
      <c r="AJ98" s="181"/>
      <c r="AK98" s="181"/>
      <c r="AL98" s="181"/>
      <c r="AM98" s="181"/>
      <c r="AN98" s="181"/>
      <c r="AO98" s="181"/>
      <c r="AP98" s="181"/>
      <c r="BF98" s="23"/>
      <c r="BH98" s="23"/>
      <c r="BI98" s="23"/>
      <c r="BJ98" s="23"/>
      <c r="BK98" s="23"/>
      <c r="BL98" s="23"/>
      <c r="BM98" s="23"/>
      <c r="BN98" s="23"/>
      <c r="BO98" s="23"/>
      <c r="BP98" s="23" t="s">
        <v>449</v>
      </c>
      <c r="BQ98" s="175" t="str">
        <f t="shared" ref="BQ98:BQ124" si="40">IF(BP98="LTP",E98,"")</f>
        <v/>
      </c>
      <c r="BR98" s="23" t="str">
        <f>IFERROR(VLOOKUP(BQ98,'LTP '!$R$4:$S$86,2,0),"")</f>
        <v/>
      </c>
      <c r="BS98" s="23"/>
      <c r="BT98" s="23"/>
      <c r="BU98" s="23"/>
      <c r="BV98" s="23"/>
      <c r="BW98" s="23"/>
      <c r="BX98" s="23"/>
      <c r="BY98" s="23"/>
      <c r="BZ98" s="23"/>
      <c r="CA98" s="23">
        <f t="shared" si="37"/>
        <v>1.7901160668237492</v>
      </c>
      <c r="CB98" s="115" t="e">
        <f t="shared" si="38"/>
        <v>#DIV/0!</v>
      </c>
      <c r="CC98" s="23"/>
      <c r="CD98" s="23"/>
      <c r="CE98" s="2">
        <f t="shared" si="35"/>
        <v>1</v>
      </c>
      <c r="CF98" s="23"/>
      <c r="CG98" s="23"/>
      <c r="CH98" s="23"/>
      <c r="CI98" s="23"/>
      <c r="CJ98" s="23"/>
      <c r="CK98" s="23"/>
      <c r="CL98" s="23"/>
      <c r="CM98" s="23"/>
      <c r="CN98" s="23"/>
      <c r="CO98" s="207"/>
      <c r="CP98" s="207"/>
      <c r="CQ98" s="207"/>
      <c r="CR98" s="207"/>
      <c r="CS98" s="53"/>
      <c r="CT98" s="53"/>
      <c r="CU98" s="53"/>
      <c r="CV98" s="53"/>
      <c r="CW98" s="190"/>
      <c r="CX98" s="190"/>
      <c r="CY98" s="190"/>
      <c r="DG98" s="105"/>
      <c r="DH98" s="105"/>
      <c r="DI98" s="105"/>
      <c r="DJ98" s="105"/>
      <c r="DK98" s="105"/>
      <c r="DL98" s="105"/>
      <c r="DM98" s="105"/>
      <c r="DN98" s="105"/>
      <c r="DO98" s="105"/>
      <c r="DP98" s="105"/>
    </row>
    <row r="99" spans="1:120" x14ac:dyDescent="0.3">
      <c r="A99" s="2" t="s">
        <v>322</v>
      </c>
      <c r="B99" s="2" t="s">
        <v>210</v>
      </c>
      <c r="C99" s="2" t="s">
        <v>490</v>
      </c>
      <c r="D99" s="2" t="s">
        <v>450</v>
      </c>
      <c r="E99" s="2" t="s">
        <v>332</v>
      </c>
      <c r="F99" s="184"/>
      <c r="G99" s="184"/>
      <c r="H99" s="184"/>
      <c r="I99" s="184"/>
      <c r="J99" s="184"/>
      <c r="K99" s="105"/>
      <c r="L99" s="105">
        <v>0.1</v>
      </c>
      <c r="M99" s="105"/>
      <c r="N99" s="105"/>
      <c r="O99" s="215"/>
      <c r="V99" s="175"/>
      <c r="X99" s="175">
        <f t="shared" si="33"/>
        <v>1.05</v>
      </c>
      <c r="Y99" s="175"/>
      <c r="Z99" s="181">
        <f>VLOOKUP($E99,'LTP '!$D$4:$N$86,2+Z$11-$Z$11,0)/1000000</f>
        <v>0</v>
      </c>
      <c r="AA99" s="181">
        <f>VLOOKUP($E99,'LTP '!$D$4:$N$86,2+AA$11-$Z$11,0)/1000000</f>
        <v>0.05</v>
      </c>
      <c r="AB99" s="181">
        <f>VLOOKUP($E99,'LTP '!$D$4:$N$86,2+AB$11-$Z$11,0)/1000000</f>
        <v>0.2</v>
      </c>
      <c r="AC99" s="181">
        <f>VLOOKUP($E99,'LTP '!$D$4:$N$86,2+AC$11-$Z$11,0)/1000000</f>
        <v>0.8</v>
      </c>
      <c r="AD99" s="181">
        <f>VLOOKUP($E99,'LTP '!$D$4:$N$86,2+AD$11-$Z$11,0)/1000000</f>
        <v>0</v>
      </c>
      <c r="AE99" s="181">
        <f>VLOOKUP($E99,'LTP '!$D$4:$N$86,2+AE$11-$Z$11,0)/1000000</f>
        <v>0</v>
      </c>
      <c r="AF99" s="181">
        <f>VLOOKUP($E99,'LTP '!$D$4:$N$86,2+AF$11-$Z$11,0)/1000000</f>
        <v>0</v>
      </c>
      <c r="AG99" s="181">
        <f>VLOOKUP($E99,'LTP '!$D$4:$N$86,2+AG$11-$Z$11,0)/1000000</f>
        <v>0</v>
      </c>
      <c r="AH99" s="181">
        <f>VLOOKUP($E99,'LTP '!$D$4:$N$86,2+AH$11-$Z$11,0)/1000000</f>
        <v>0</v>
      </c>
      <c r="AI99" s="181">
        <f>VLOOKUP($E99,'LTP '!$D$4:$N$86,2+AI$11-$Z$11,0)/1000000</f>
        <v>0</v>
      </c>
      <c r="AK99" s="181"/>
      <c r="AL99" s="181"/>
      <c r="AM99" s="181"/>
      <c r="AN99" s="181"/>
      <c r="AO99" s="181"/>
      <c r="AP99" s="181"/>
      <c r="BF99" s="23"/>
      <c r="BH99" s="23"/>
      <c r="BI99" s="23"/>
      <c r="BJ99" s="23"/>
      <c r="BK99" s="23"/>
      <c r="BL99" s="23"/>
      <c r="BM99" s="23"/>
      <c r="BN99" s="23"/>
      <c r="BO99" s="23"/>
      <c r="BP99" s="23" t="s">
        <v>451</v>
      </c>
      <c r="BQ99" s="175" t="str">
        <f t="shared" si="40"/>
        <v>N.005219.03.07 - Sturges Park - demolish &amp; upgrade FAC</v>
      </c>
      <c r="BR99" s="23" t="str">
        <f>IFERROR(VLOOKUP(BQ99,'LTP '!$R$4:$S$86,2,0),"")</f>
        <v>PC3201501 - General park development</v>
      </c>
      <c r="BS99" s="23"/>
      <c r="BT99" s="23"/>
      <c r="BU99" s="23"/>
      <c r="BV99" s="23"/>
      <c r="BW99" s="23"/>
      <c r="BX99" s="23"/>
      <c r="BY99" s="23"/>
      <c r="BZ99" s="23"/>
      <c r="CA99" s="23">
        <f t="shared" si="37"/>
        <v>1.05</v>
      </c>
      <c r="CB99" s="115" t="str">
        <f t="shared" si="38"/>
        <v/>
      </c>
      <c r="CC99" s="23"/>
      <c r="CD99" s="23"/>
      <c r="CE99" s="2">
        <f t="shared" si="35"/>
        <v>1</v>
      </c>
      <c r="CF99" s="23"/>
      <c r="CG99" s="23"/>
      <c r="CH99" s="23"/>
      <c r="CI99" s="23"/>
      <c r="CJ99" s="23"/>
      <c r="CK99" s="23"/>
      <c r="CL99" s="23"/>
      <c r="CM99" s="23"/>
      <c r="CN99" s="23"/>
      <c r="CO99" s="207"/>
      <c r="CP99" s="207"/>
      <c r="CQ99" s="207"/>
      <c r="CR99" s="207"/>
      <c r="CS99" s="53"/>
      <c r="CT99" s="53"/>
      <c r="CU99" s="53"/>
      <c r="CV99" s="53"/>
      <c r="CW99" s="190"/>
      <c r="CX99" s="190"/>
      <c r="CY99" s="190"/>
      <c r="DG99" s="105"/>
      <c r="DH99" s="105"/>
      <c r="DI99" s="105"/>
      <c r="DJ99" s="105"/>
      <c r="DK99" s="105"/>
      <c r="DL99" s="105"/>
      <c r="DM99" s="105"/>
      <c r="DN99" s="105"/>
      <c r="DO99" s="105"/>
      <c r="DP99" s="105"/>
    </row>
    <row r="100" spans="1:120" x14ac:dyDescent="0.3">
      <c r="A100" s="185" t="s">
        <v>518</v>
      </c>
      <c r="F100" s="184"/>
      <c r="G100" s="184"/>
      <c r="H100" s="184"/>
      <c r="I100" s="184"/>
      <c r="J100" s="184"/>
      <c r="K100" s="105"/>
      <c r="L100" s="105"/>
      <c r="M100" s="105"/>
      <c r="N100" s="105"/>
      <c r="O100" s="215"/>
      <c r="V100" s="175"/>
      <c r="W100" s="175"/>
      <c r="X100" s="175"/>
      <c r="Y100" s="25"/>
      <c r="AE100" s="23"/>
      <c r="AF100" s="181"/>
      <c r="AG100" s="181"/>
      <c r="AH100" s="181"/>
      <c r="AI100" s="181"/>
      <c r="AJ100" s="181"/>
      <c r="AK100" s="181"/>
      <c r="AL100" s="181"/>
      <c r="AM100" s="181"/>
      <c r="AN100" s="181"/>
      <c r="AO100" s="181"/>
      <c r="AP100" s="181"/>
      <c r="BF100" s="23"/>
      <c r="BH100" s="23"/>
      <c r="BI100" s="23"/>
      <c r="BJ100" s="23"/>
      <c r="BK100" s="23"/>
      <c r="BL100" s="23"/>
      <c r="BM100" s="23"/>
      <c r="BN100" s="23"/>
      <c r="BO100" s="23"/>
      <c r="BP100" s="23" t="s">
        <v>455</v>
      </c>
      <c r="BQ100" s="175" t="str">
        <f t="shared" si="40"/>
        <v/>
      </c>
      <c r="BR100" s="23" t="str">
        <f>IFERROR(VLOOKUP(BQ100,'LTP '!$R$4:$S$86,2,0),"")</f>
        <v/>
      </c>
      <c r="BS100" s="23"/>
      <c r="BT100" s="23"/>
      <c r="BU100" s="23"/>
      <c r="BV100" s="23"/>
      <c r="BW100" s="23"/>
      <c r="BX100" s="23"/>
      <c r="BY100" s="23"/>
      <c r="BZ100" s="23"/>
      <c r="CA100" s="23">
        <f t="shared" si="37"/>
        <v>0</v>
      </c>
      <c r="CB100" s="115" t="str">
        <f t="shared" si="38"/>
        <v/>
      </c>
      <c r="CC100" s="23"/>
      <c r="CD100" s="23"/>
      <c r="CE100" s="2">
        <f t="shared" si="35"/>
        <v>0</v>
      </c>
      <c r="CF100" s="23"/>
      <c r="CG100" s="23"/>
      <c r="CH100" s="23"/>
      <c r="CI100" s="23"/>
      <c r="CJ100" s="23"/>
      <c r="CK100" s="23"/>
      <c r="CL100" s="23"/>
      <c r="CM100" s="23"/>
      <c r="CN100" s="23"/>
      <c r="CO100" s="207"/>
      <c r="CP100" s="207"/>
      <c r="CQ100" s="207"/>
      <c r="CR100" s="207"/>
      <c r="CS100" s="53"/>
      <c r="CT100" s="53"/>
      <c r="CU100" s="53"/>
      <c r="CV100" s="53"/>
      <c r="CW100" s="190"/>
      <c r="CX100" s="190"/>
      <c r="CY100" s="190"/>
      <c r="DG100" s="105"/>
      <c r="DH100" s="105"/>
      <c r="DI100" s="105"/>
      <c r="DJ100" s="105"/>
      <c r="DK100" s="105"/>
      <c r="DL100" s="105"/>
      <c r="DM100" s="105"/>
      <c r="DN100" s="105"/>
      <c r="DO100" s="105"/>
      <c r="DP100" s="105"/>
    </row>
    <row r="101" spans="1:120" x14ac:dyDescent="0.3">
      <c r="A101" s="2" t="s">
        <v>471</v>
      </c>
      <c r="B101" s="2" t="s">
        <v>104</v>
      </c>
      <c r="D101" s="2" t="s">
        <v>239</v>
      </c>
      <c r="E101" s="2" t="s">
        <v>519</v>
      </c>
      <c r="F101" s="105"/>
      <c r="H101" s="105"/>
      <c r="I101" s="105"/>
      <c r="J101" s="105"/>
      <c r="K101" s="105">
        <f>1-G106</f>
        <v>8.5166666666666613E-2</v>
      </c>
      <c r="L101" s="105"/>
      <c r="M101" s="105"/>
      <c r="N101" s="105"/>
      <c r="Q101" s="2" t="s">
        <v>471</v>
      </c>
      <c r="T101" s="2">
        <v>2041</v>
      </c>
      <c r="V101" s="174" t="s">
        <v>520</v>
      </c>
      <c r="W101" s="3"/>
      <c r="X101" s="175">
        <f t="shared" si="33"/>
        <v>0</v>
      </c>
      <c r="Y101" s="175"/>
      <c r="BF101" s="23"/>
      <c r="BH101" s="23"/>
      <c r="BI101" s="23"/>
      <c r="BJ101" s="23"/>
      <c r="BK101" s="23"/>
      <c r="BL101" s="23"/>
      <c r="BM101" s="23"/>
      <c r="BN101" s="23"/>
      <c r="BO101" s="23"/>
      <c r="BP101" s="23" t="s">
        <v>449</v>
      </c>
      <c r="BQ101" s="175" t="str">
        <f t="shared" si="40"/>
        <v/>
      </c>
      <c r="BR101" s="23" t="str">
        <f>IFERROR(VLOOKUP(BQ101,'LTP '!$R$4:$S$86,2,0),"")</f>
        <v/>
      </c>
      <c r="BS101" s="23"/>
      <c r="BT101" s="23"/>
      <c r="BU101" s="23"/>
      <c r="BV101" s="23"/>
      <c r="BW101" s="23"/>
      <c r="BX101" s="23"/>
      <c r="BY101" s="23"/>
      <c r="BZ101" s="23"/>
      <c r="CA101" s="23">
        <f t="shared" si="37"/>
        <v>0</v>
      </c>
      <c r="CB101" s="115" t="str">
        <f t="shared" si="38"/>
        <v/>
      </c>
      <c r="CC101" s="23"/>
      <c r="CD101" s="23"/>
      <c r="CE101" s="2">
        <f t="shared" si="35"/>
        <v>1</v>
      </c>
      <c r="CF101" s="23"/>
      <c r="CG101" s="23"/>
      <c r="CH101" s="23"/>
      <c r="CI101" s="23"/>
      <c r="CJ101" s="23"/>
      <c r="CK101" s="23"/>
      <c r="CL101" s="23"/>
      <c r="CM101" s="23"/>
      <c r="CN101" s="23"/>
      <c r="CO101" s="207"/>
      <c r="CP101" s="207"/>
      <c r="CQ101" s="207"/>
      <c r="CR101" s="207"/>
      <c r="CS101" s="53"/>
      <c r="CT101" s="53"/>
      <c r="CU101" s="53"/>
      <c r="CV101" s="53"/>
      <c r="CW101" s="190"/>
      <c r="CX101" s="190"/>
      <c r="CY101" s="190"/>
      <c r="DG101" s="105"/>
      <c r="DH101" s="105"/>
      <c r="DI101" s="105"/>
      <c r="DJ101" s="105"/>
      <c r="DK101" s="105"/>
      <c r="DL101" s="105"/>
      <c r="DM101" s="105"/>
      <c r="DN101" s="105"/>
      <c r="DO101" s="105"/>
      <c r="DP101" s="105"/>
    </row>
    <row r="102" spans="1:120" x14ac:dyDescent="0.3">
      <c r="A102" s="2" t="s">
        <v>471</v>
      </c>
      <c r="B102" s="2" t="s">
        <v>104</v>
      </c>
      <c r="D102" s="2" t="s">
        <v>239</v>
      </c>
      <c r="E102" s="2" t="s">
        <v>521</v>
      </c>
      <c r="G102" s="105"/>
      <c r="H102" s="105"/>
      <c r="I102" s="105"/>
      <c r="J102" s="105">
        <v>1</v>
      </c>
      <c r="K102" s="105"/>
      <c r="L102" s="105"/>
      <c r="M102" s="105"/>
      <c r="N102" s="105"/>
      <c r="Q102" s="2" t="s">
        <v>471</v>
      </c>
      <c r="S102" s="2" t="s">
        <v>904</v>
      </c>
      <c r="T102" s="2">
        <v>2041</v>
      </c>
      <c r="U102" s="2" cm="1">
        <f t="array" ref="U102">INDEX($Z$11:$BN$11,MATCH(TRUE,INDEX(Z102:BN102&lt;&gt;0,),0))</f>
        <v>2035</v>
      </c>
      <c r="V102" s="174">
        <f>SUMPRODUCT(J102:M102,$J$8:$M$8)</f>
        <v>4000</v>
      </c>
      <c r="W102" s="175"/>
      <c r="X102" s="175">
        <f t="shared" si="33"/>
        <v>0</v>
      </c>
      <c r="Y102" s="23">
        <f>$V102*'Cost inputs'!$B$60/1000000</f>
        <v>2.7715951044761602</v>
      </c>
      <c r="AA102" s="181"/>
      <c r="AB102" s="181"/>
      <c r="AC102" s="181"/>
      <c r="AD102" s="181"/>
      <c r="AE102" s="181"/>
      <c r="AF102" s="181"/>
      <c r="AG102" s="181"/>
      <c r="AH102" s="181"/>
      <c r="AI102" s="181"/>
      <c r="AJ102" s="23">
        <f>0.1*$Y102*'Cost inputs'!P$10</f>
        <v>0.38852338842931355</v>
      </c>
      <c r="AK102" s="23">
        <f>0.9*$Y102*'Cost inputs'!Q$10</f>
        <v>3.6051085212355996</v>
      </c>
      <c r="BF102" s="23"/>
      <c r="BH102" s="23"/>
      <c r="BI102" s="23"/>
      <c r="BJ102" s="23"/>
      <c r="BK102" s="23"/>
      <c r="BL102" s="23"/>
      <c r="BM102" s="23"/>
      <c r="BN102" s="23"/>
      <c r="BO102" s="23"/>
      <c r="BP102" s="23" t="s">
        <v>449</v>
      </c>
      <c r="BQ102" s="175" t="str">
        <f t="shared" si="40"/>
        <v/>
      </c>
      <c r="BR102" s="23" t="str">
        <f>IFERROR(VLOOKUP(BQ102,'LTP '!$R$4:$S$86,2,0),"")</f>
        <v/>
      </c>
      <c r="BS102" s="23"/>
      <c r="BT102" s="23"/>
      <c r="BU102" s="23"/>
      <c r="BV102" s="23"/>
      <c r="BW102" s="23"/>
      <c r="BX102" s="23"/>
      <c r="BY102" s="23"/>
      <c r="BZ102" s="23"/>
      <c r="CA102" s="23">
        <f t="shared" si="37"/>
        <v>3.9936319096649129</v>
      </c>
      <c r="CB102" s="115">
        <f t="shared" si="38"/>
        <v>998.40797741622828</v>
      </c>
      <c r="CC102" s="23"/>
      <c r="CD102" s="23"/>
      <c r="CE102" s="2">
        <f t="shared" si="35"/>
        <v>1</v>
      </c>
      <c r="CF102" s="23"/>
      <c r="CG102" s="23"/>
      <c r="CH102" s="23"/>
      <c r="CI102" s="23"/>
      <c r="CJ102" s="23"/>
      <c r="CK102" s="23"/>
      <c r="CL102" s="23"/>
      <c r="CM102" s="23"/>
      <c r="CN102" s="23"/>
      <c r="CO102" s="207"/>
      <c r="CP102" s="207"/>
      <c r="CQ102" s="207"/>
      <c r="CR102" s="207"/>
      <c r="CS102" s="53"/>
      <c r="CT102" s="53"/>
      <c r="CU102" s="53"/>
      <c r="CV102" s="53"/>
      <c r="CW102" s="190"/>
      <c r="CX102" s="190"/>
      <c r="CY102" s="190"/>
      <c r="DG102" s="105"/>
      <c r="DH102" s="105"/>
      <c r="DI102" s="105"/>
      <c r="DJ102" s="105"/>
      <c r="DK102" s="105"/>
      <c r="DL102" s="105"/>
      <c r="DM102" s="105"/>
      <c r="DN102" s="105"/>
      <c r="DO102" s="105"/>
      <c r="DP102" s="105"/>
    </row>
    <row r="103" spans="1:120" x14ac:dyDescent="0.3">
      <c r="A103" s="2" t="s">
        <v>471</v>
      </c>
      <c r="B103" s="2" t="s">
        <v>104</v>
      </c>
      <c r="D103" s="2" t="s">
        <v>522</v>
      </c>
      <c r="E103" s="2" t="s">
        <v>523</v>
      </c>
      <c r="F103" s="105"/>
      <c r="G103" s="105"/>
      <c r="H103" s="105"/>
      <c r="I103" s="105"/>
      <c r="J103" s="105"/>
      <c r="K103" s="105"/>
      <c r="L103" s="105"/>
      <c r="M103" s="105"/>
      <c r="N103" s="105"/>
      <c r="V103" s="175"/>
      <c r="W103" s="175"/>
      <c r="X103" s="175">
        <f t="shared" si="33"/>
        <v>0</v>
      </c>
      <c r="Y103" s="175"/>
      <c r="AF103" s="181"/>
      <c r="AG103" s="181"/>
      <c r="AH103" s="181"/>
      <c r="AI103" s="181"/>
      <c r="AJ103" s="181"/>
      <c r="AK103" s="181"/>
      <c r="AL103" s="181"/>
      <c r="AM103" s="181"/>
      <c r="AN103" s="181"/>
      <c r="AO103" s="181"/>
      <c r="AP103" s="181"/>
      <c r="AQ103" s="181"/>
      <c r="AR103" s="181"/>
      <c r="AS103" s="181"/>
      <c r="AT103" s="181"/>
      <c r="BF103" s="23"/>
      <c r="BH103" s="23"/>
      <c r="BI103" s="23"/>
      <c r="BJ103" s="23"/>
      <c r="BK103" s="23"/>
      <c r="BL103" s="23"/>
      <c r="BM103" s="23"/>
      <c r="BN103" s="23"/>
      <c r="BO103" s="23"/>
      <c r="BP103" s="23" t="s">
        <v>455</v>
      </c>
      <c r="BQ103" s="175" t="str">
        <f t="shared" si="40"/>
        <v/>
      </c>
      <c r="BR103" s="23" t="str">
        <f>IFERROR(VLOOKUP(BQ103,'LTP '!$R$4:$S$86,2,0),"")</f>
        <v/>
      </c>
      <c r="BS103" s="23"/>
      <c r="BT103" s="23"/>
      <c r="BU103" s="23"/>
      <c r="BV103" s="23"/>
      <c r="BW103" s="23"/>
      <c r="BX103" s="23"/>
      <c r="BY103" s="23"/>
      <c r="BZ103" s="23"/>
      <c r="CA103" s="23">
        <f t="shared" si="37"/>
        <v>0</v>
      </c>
      <c r="CB103" s="115" t="str">
        <f t="shared" si="38"/>
        <v/>
      </c>
      <c r="CC103" s="23"/>
      <c r="CD103" s="23"/>
      <c r="CE103" s="2">
        <f t="shared" si="35"/>
        <v>1</v>
      </c>
      <c r="CF103" s="23"/>
      <c r="CG103" s="23"/>
      <c r="CH103" s="23"/>
      <c r="CI103" s="23"/>
      <c r="CJ103" s="23"/>
      <c r="CK103" s="23"/>
      <c r="CL103" s="23"/>
      <c r="CM103" s="23"/>
      <c r="CN103" s="23"/>
      <c r="CO103" s="207"/>
      <c r="CP103" s="207"/>
      <c r="CQ103" s="207"/>
      <c r="CR103" s="207"/>
      <c r="CS103" s="190"/>
      <c r="CT103" s="190"/>
      <c r="CU103" s="190"/>
      <c r="CV103" s="190"/>
      <c r="CW103" s="190"/>
      <c r="CX103" s="190"/>
      <c r="CY103" s="190"/>
      <c r="DG103" s="105"/>
      <c r="DH103" s="105"/>
      <c r="DI103" s="105"/>
      <c r="DJ103" s="105"/>
      <c r="DK103" s="105"/>
      <c r="DL103" s="105"/>
      <c r="DM103" s="105"/>
      <c r="DN103" s="105"/>
      <c r="DO103" s="105"/>
      <c r="DP103" s="105"/>
    </row>
    <row r="104" spans="1:120" x14ac:dyDescent="0.3">
      <c r="A104" s="2" t="s">
        <v>104</v>
      </c>
      <c r="B104" s="2" t="s">
        <v>196</v>
      </c>
      <c r="D104" s="2" t="s">
        <v>509</v>
      </c>
      <c r="E104" s="2" t="s">
        <v>524</v>
      </c>
      <c r="F104" s="105"/>
      <c r="G104" s="105">
        <v>1</v>
      </c>
      <c r="H104" s="105"/>
      <c r="I104" s="105"/>
      <c r="J104" s="105"/>
      <c r="K104" s="105">
        <f>G104</f>
        <v>1</v>
      </c>
      <c r="L104" s="105"/>
      <c r="M104" s="105"/>
      <c r="N104" s="105"/>
      <c r="Q104" s="2">
        <v>2023</v>
      </c>
      <c r="R104" s="2">
        <v>2042</v>
      </c>
      <c r="S104" s="2" t="s">
        <v>940</v>
      </c>
      <c r="T104" s="2">
        <v>2039</v>
      </c>
      <c r="U104" s="2" cm="1">
        <f t="array" ref="U104">INDEX($Z$11:$BN$11,MATCH(TRUE,INDEX(Z104:BN104&lt;&gt;0,),0))</f>
        <v>2043</v>
      </c>
      <c r="V104" s="174">
        <f>SUMPRODUCT(J104:M104,$J$8:$M$8)</f>
        <v>30000</v>
      </c>
      <c r="W104" s="3"/>
      <c r="X104" s="175">
        <f t="shared" si="33"/>
        <v>0</v>
      </c>
      <c r="Y104" s="23">
        <f>$V104*'Cost inputs'!$B$61/1000000</f>
        <v>3.9401159208744954</v>
      </c>
      <c r="AA104" s="201">
        <f>'sequential acq phasing'!AS31*$Y104*'Cost inputs'!G$10</f>
        <v>0</v>
      </c>
      <c r="AB104" s="201">
        <f>'sequential acq phasing'!AT31*$Y104*'Cost inputs'!H$10</f>
        <v>0</v>
      </c>
      <c r="AC104" s="201">
        <f>'sequential acq phasing'!AU31*$Y104*'Cost inputs'!I$10</f>
        <v>0</v>
      </c>
      <c r="AD104" s="201">
        <f>'sequential acq phasing'!AV31*$Y104*'Cost inputs'!J$10</f>
        <v>0</v>
      </c>
      <c r="AE104" s="201">
        <f>'sequential acq phasing'!AW31*$Y104*'Cost inputs'!K$10</f>
        <v>0</v>
      </c>
      <c r="AF104" s="201">
        <f>'sequential acq phasing'!AX31*$Y104*'Cost inputs'!L$10</f>
        <v>0</v>
      </c>
      <c r="AG104" s="201">
        <f>'sequential acq phasing'!AY31*$Y104*'Cost inputs'!M$10</f>
        <v>0</v>
      </c>
      <c r="AH104" s="201">
        <f>'sequential acq phasing'!AZ31*$Y104*'Cost inputs'!N$10</f>
        <v>0</v>
      </c>
      <c r="AI104" s="201">
        <f>'sequential acq phasing'!BA31*$Y104*'Cost inputs'!O$10</f>
        <v>0</v>
      </c>
      <c r="AJ104" s="201">
        <f>'sequential acq phasing'!BB31*$Y104*'Cost inputs'!P$10</f>
        <v>0</v>
      </c>
      <c r="AK104" s="201">
        <f>'sequential acq phasing'!BC31*$Y104*'Cost inputs'!Q$10</f>
        <v>0</v>
      </c>
      <c r="AL104" s="201">
        <f>'sequential acq phasing'!BD31*$Y104*'Cost inputs'!R$10</f>
        <v>0</v>
      </c>
      <c r="AM104" s="201">
        <f>'sequential acq phasing'!BE31*$Y104*'Cost inputs'!S$10</f>
        <v>0</v>
      </c>
      <c r="AN104" s="201">
        <f>'sequential acq phasing'!BF31*$Y104*'Cost inputs'!T$10</f>
        <v>0</v>
      </c>
      <c r="AO104" s="201">
        <f>'sequential acq phasing'!BG31*$Y104*'Cost inputs'!U$10</f>
        <v>0</v>
      </c>
      <c r="AP104" s="201">
        <f>'sequential acq phasing'!BH31*$Y104*'Cost inputs'!V$10</f>
        <v>0</v>
      </c>
      <c r="AQ104" s="201">
        <f>'sequential acq phasing'!BI31*$Y104*'Cost inputs'!W$10</f>
        <v>0</v>
      </c>
      <c r="AR104" s="201">
        <f>'sequential acq phasing'!BJ31*$Y104*'Cost inputs'!X$10</f>
        <v>0.70512433581308498</v>
      </c>
      <c r="AS104" s="201">
        <f>'sequential acq phasing'!BK31*$Y104*'Cost inputs'!Y$10</f>
        <v>0.72698319022329061</v>
      </c>
      <c r="AT104" s="201">
        <f>'sequential acq phasing'!BL31*$Y104*'Cost inputs'!Z$10</f>
        <v>2.99807867648085</v>
      </c>
      <c r="AU104" s="201">
        <f>'sequential acq phasing'!BM31*$Y104*'Cost inputs'!AA$10</f>
        <v>3.0910191154517563</v>
      </c>
      <c r="BE104" s="23"/>
      <c r="BF104" s="23"/>
      <c r="BH104" s="23"/>
      <c r="BI104" s="23"/>
      <c r="BJ104" s="23"/>
      <c r="BK104" s="23"/>
      <c r="BL104" s="23"/>
      <c r="BM104" s="23"/>
      <c r="BN104" s="23"/>
      <c r="BO104" s="23"/>
      <c r="BP104" s="23" t="s">
        <v>449</v>
      </c>
      <c r="BQ104" s="175" t="str">
        <f t="shared" si="40"/>
        <v/>
      </c>
      <c r="BR104" s="23" t="str">
        <f>IFERROR(VLOOKUP(BQ104,'LTP '!$R$4:$S$86,2,0),"")</f>
        <v/>
      </c>
      <c r="BS104" s="23"/>
      <c r="BT104" s="23"/>
      <c r="BU104" s="23"/>
      <c r="BV104" s="23"/>
      <c r="BW104" s="23"/>
      <c r="BX104" s="23"/>
      <c r="BY104" s="23"/>
      <c r="BZ104" s="23"/>
      <c r="CA104" s="23">
        <f t="shared" si="37"/>
        <v>7.5212053179689811</v>
      </c>
      <c r="CB104" s="115">
        <f t="shared" si="38"/>
        <v>250.70684393229936</v>
      </c>
      <c r="CC104" s="23"/>
      <c r="CD104" s="23"/>
      <c r="CE104" s="2">
        <f t="shared" si="35"/>
        <v>1</v>
      </c>
      <c r="CF104" s="23"/>
      <c r="CG104" s="23"/>
      <c r="CH104" s="23"/>
      <c r="CI104" s="23"/>
      <c r="CJ104" s="23"/>
      <c r="CK104" s="23"/>
      <c r="CL104" s="23"/>
      <c r="CM104" s="23"/>
      <c r="CN104" s="23"/>
      <c r="CO104" s="207"/>
      <c r="CP104" s="207"/>
      <c r="CQ104" s="207"/>
      <c r="CR104" s="207"/>
      <c r="CS104" s="190"/>
      <c r="CT104" s="190"/>
      <c r="CU104" s="190"/>
      <c r="CV104" s="190"/>
      <c r="CW104" s="190"/>
      <c r="CX104" s="190"/>
      <c r="CY104" s="190"/>
      <c r="DG104" s="105"/>
      <c r="DH104" s="105"/>
      <c r="DI104" s="105"/>
      <c r="DJ104" s="105"/>
      <c r="DK104" s="105"/>
      <c r="DL104" s="105"/>
      <c r="DM104" s="105"/>
      <c r="DN104" s="105"/>
      <c r="DO104" s="105"/>
      <c r="DP104" s="105"/>
    </row>
    <row r="105" spans="1:120" x14ac:dyDescent="0.3">
      <c r="A105" s="2" t="s">
        <v>104</v>
      </c>
      <c r="B105" s="2" t="s">
        <v>196</v>
      </c>
      <c r="D105" s="2" t="s">
        <v>509</v>
      </c>
      <c r="E105" s="177" t="s">
        <v>525</v>
      </c>
      <c r="F105" s="105">
        <v>1</v>
      </c>
      <c r="G105" s="105"/>
      <c r="H105" s="105"/>
      <c r="I105" s="105"/>
      <c r="J105" s="105">
        <f>F105</f>
        <v>1</v>
      </c>
      <c r="K105" s="105"/>
      <c r="L105" s="105"/>
      <c r="M105" s="105"/>
      <c r="N105" s="105"/>
      <c r="Q105" s="2">
        <v>2023</v>
      </c>
      <c r="R105" s="2">
        <v>2029</v>
      </c>
      <c r="S105" s="2" t="s">
        <v>881</v>
      </c>
      <c r="T105" s="2">
        <v>2029</v>
      </c>
      <c r="U105" s="2" cm="1">
        <f t="array" ref="U105">INDEX($Z$11:$BN$11,MATCH(TRUE,INDEX(Z105:BN105&lt;&gt;0,),0))</f>
        <v>2031</v>
      </c>
      <c r="V105" s="174">
        <f>SUMPRODUCT(J105:M105,$J$8:$M$8)</f>
        <v>4000</v>
      </c>
      <c r="W105" s="3"/>
      <c r="X105" s="175">
        <f t="shared" si="33"/>
        <v>3.5345438392174988</v>
      </c>
      <c r="Y105" s="23">
        <f>$V105*'Cost inputs'!$B$60/1000000</f>
        <v>2.7715951044761602</v>
      </c>
      <c r="AF105" s="23">
        <f>0.1*$Y105*'Cost inputs'!L$10</f>
        <v>0.34386067119539837</v>
      </c>
      <c r="AG105" s="23">
        <f>0.9*$Y105*'Cost inputs'!M$10</f>
        <v>3.1906831680221006</v>
      </c>
      <c r="BE105" s="23"/>
      <c r="BF105" s="23"/>
      <c r="BH105" s="23"/>
      <c r="BI105" s="23"/>
      <c r="BJ105" s="23"/>
      <c r="BK105" s="23"/>
      <c r="BL105" s="23"/>
      <c r="BM105" s="23"/>
      <c r="BN105" s="23"/>
      <c r="BO105" s="23"/>
      <c r="BP105" s="23" t="s">
        <v>449</v>
      </c>
      <c r="BQ105" s="175" t="str">
        <f t="shared" si="40"/>
        <v/>
      </c>
      <c r="BR105" s="23" t="str">
        <f>IFERROR(VLOOKUP(BQ105,'LTP '!$R$4:$S$86,2,0),"")</f>
        <v/>
      </c>
      <c r="BS105" s="23"/>
      <c r="BT105" s="23"/>
      <c r="BU105" s="23"/>
      <c r="BV105" s="23"/>
      <c r="BW105" s="23"/>
      <c r="BX105" s="23"/>
      <c r="BY105" s="23"/>
      <c r="BZ105" s="23"/>
      <c r="CA105" s="23">
        <f t="shared" si="37"/>
        <v>3.5345438392174988</v>
      </c>
      <c r="CB105" s="115">
        <f t="shared" si="38"/>
        <v>883.63595980437469</v>
      </c>
      <c r="CC105" s="23"/>
      <c r="CD105" s="23"/>
      <c r="CE105" s="2">
        <f t="shared" si="35"/>
        <v>1</v>
      </c>
      <c r="CF105" s="23"/>
      <c r="CG105" s="23"/>
      <c r="CH105" s="23"/>
      <c r="CI105" s="23"/>
      <c r="CJ105" s="23"/>
      <c r="CK105" s="23"/>
      <c r="CL105" s="23"/>
      <c r="CM105" s="23"/>
      <c r="CN105" s="23"/>
      <c r="CO105" s="207"/>
      <c r="CP105" s="207"/>
      <c r="CQ105" s="207"/>
      <c r="CR105" s="207"/>
      <c r="CS105" s="190"/>
      <c r="CT105" s="190"/>
      <c r="CU105" s="190"/>
      <c r="CV105" s="190"/>
      <c r="CW105" s="190"/>
      <c r="CX105" s="190"/>
      <c r="CY105" s="190"/>
      <c r="DG105" s="105"/>
      <c r="DH105" s="105"/>
      <c r="DI105" s="105"/>
      <c r="DJ105" s="105"/>
      <c r="DK105" s="105"/>
      <c r="DL105" s="105"/>
      <c r="DM105" s="105"/>
      <c r="DN105" s="105"/>
      <c r="DO105" s="105"/>
      <c r="DP105" s="105"/>
    </row>
    <row r="106" spans="1:120" x14ac:dyDescent="0.3">
      <c r="A106" s="2" t="s">
        <v>104</v>
      </c>
      <c r="B106" s="2" t="s">
        <v>104</v>
      </c>
      <c r="D106" s="2" t="s">
        <v>239</v>
      </c>
      <c r="E106" s="2" t="s">
        <v>519</v>
      </c>
      <c r="F106" s="105"/>
      <c r="G106" s="105">
        <f>(30000-2555)/30000</f>
        <v>0.91483333333333339</v>
      </c>
      <c r="H106" s="105"/>
      <c r="I106" s="105"/>
      <c r="J106" s="105"/>
      <c r="K106" s="105" t="s">
        <v>882</v>
      </c>
      <c r="L106" s="105"/>
      <c r="M106" s="105"/>
      <c r="N106" s="105"/>
      <c r="O106" s="2">
        <v>2031</v>
      </c>
      <c r="P106" s="2">
        <v>2035</v>
      </c>
      <c r="Q106" s="2">
        <v>2039</v>
      </c>
      <c r="R106" s="2">
        <v>2040</v>
      </c>
      <c r="S106" s="2" t="s">
        <v>881</v>
      </c>
      <c r="T106" s="2">
        <v>2043</v>
      </c>
      <c r="U106" s="2" cm="1">
        <f t="array" ref="U106">INDEX($Z$11:$BN$11,MATCH(TRUE,INDEX(Z106:BN106&lt;&gt;0,),0))</f>
        <v>2042</v>
      </c>
      <c r="V106" s="174">
        <v>30000</v>
      </c>
      <c r="W106" s="3"/>
      <c r="X106" s="175">
        <f t="shared" si="33"/>
        <v>0</v>
      </c>
      <c r="Y106" s="23">
        <f>$V106*'Cost inputs'!$B$61/1000000</f>
        <v>3.9401159208744954</v>
      </c>
      <c r="AH106" s="23"/>
      <c r="AI106" s="23"/>
      <c r="AJ106" s="23"/>
      <c r="AK106" s="23"/>
      <c r="AQ106" s="23">
        <f>0.1*$Y106*'Cost inputs'!W$10</f>
        <v>0.68392273114751223</v>
      </c>
      <c r="AR106" s="23">
        <f>0.1*$Y106*'Cost inputs'!X$10</f>
        <v>0.70512433581308498</v>
      </c>
      <c r="AS106" s="23">
        <f>0.4*$Y106*'Cost inputs'!Y$10</f>
        <v>2.9079327608931624</v>
      </c>
      <c r="AT106" s="23">
        <f>0.4*$Y106*'Cost inputs'!Z$10</f>
        <v>2.99807867648085</v>
      </c>
      <c r="AU106" s="23"/>
      <c r="AV106" s="23"/>
      <c r="AW106" s="23"/>
      <c r="BE106" s="23"/>
      <c r="BF106" s="23"/>
      <c r="BH106" s="23"/>
      <c r="BI106" s="23"/>
      <c r="BJ106" s="23"/>
      <c r="BK106" s="23"/>
      <c r="BL106" s="23"/>
      <c r="BM106" s="23"/>
      <c r="BN106" s="23"/>
      <c r="BO106" s="23"/>
      <c r="BP106" s="23" t="s">
        <v>449</v>
      </c>
      <c r="BQ106" s="175" t="str">
        <f t="shared" si="40"/>
        <v/>
      </c>
      <c r="BR106" s="23" t="str">
        <f>IFERROR(VLOOKUP(BQ106,'LTP '!$R$4:$S$86,2,0),"")</f>
        <v/>
      </c>
      <c r="BS106" s="23"/>
      <c r="BT106" s="23"/>
      <c r="BU106" s="23"/>
      <c r="BV106" s="23"/>
      <c r="BW106" s="23"/>
      <c r="BX106" s="23"/>
      <c r="BY106" s="23"/>
      <c r="BZ106" s="23"/>
      <c r="CA106" s="23">
        <f t="shared" si="37"/>
        <v>7.2950585043346088</v>
      </c>
      <c r="CB106" s="115">
        <f t="shared" si="38"/>
        <v>243.16861681115364</v>
      </c>
      <c r="CC106" s="23"/>
      <c r="CD106" s="23"/>
      <c r="CE106" s="2">
        <f t="shared" si="35"/>
        <v>1</v>
      </c>
      <c r="CF106" s="23"/>
      <c r="CG106" s="23"/>
      <c r="CH106" s="23"/>
      <c r="CI106" s="23"/>
      <c r="CJ106" s="23"/>
      <c r="CK106" s="23"/>
      <c r="CL106" s="23"/>
      <c r="CM106" s="23"/>
      <c r="CN106" s="23"/>
      <c r="CO106" s="207"/>
      <c r="CP106" s="207"/>
      <c r="CQ106" s="207"/>
      <c r="CR106" s="207"/>
      <c r="CS106" s="190"/>
      <c r="CT106" s="190"/>
      <c r="CU106" s="190"/>
      <c r="CV106" s="190"/>
      <c r="CW106" s="190"/>
      <c r="CX106" s="190"/>
      <c r="CY106" s="190"/>
      <c r="DG106" s="105"/>
      <c r="DH106" s="105"/>
      <c r="DI106" s="105"/>
      <c r="DJ106" s="105"/>
      <c r="DK106" s="105"/>
      <c r="DL106" s="105"/>
      <c r="DM106" s="105"/>
      <c r="DN106" s="105"/>
      <c r="DO106" s="105"/>
      <c r="DP106" s="105"/>
    </row>
    <row r="107" spans="1:120" x14ac:dyDescent="0.3">
      <c r="A107" s="2" t="s">
        <v>102</v>
      </c>
      <c r="B107" s="2" t="s">
        <v>102</v>
      </c>
      <c r="D107" s="2" t="s">
        <v>234</v>
      </c>
      <c r="E107" s="177" t="s">
        <v>526</v>
      </c>
      <c r="F107" s="178">
        <f>5000/4000</f>
        <v>1.25</v>
      </c>
      <c r="G107" s="178"/>
      <c r="H107" s="178"/>
      <c r="I107" s="178"/>
      <c r="J107" s="178">
        <f>F107</f>
        <v>1.25</v>
      </c>
      <c r="K107" s="178"/>
      <c r="L107" s="178"/>
      <c r="M107" s="178"/>
      <c r="N107" s="178"/>
      <c r="O107" s="177"/>
      <c r="P107" s="177"/>
      <c r="Q107" s="177" t="s">
        <v>527</v>
      </c>
      <c r="R107" s="177">
        <v>2026</v>
      </c>
      <c r="S107" s="177" t="s">
        <v>881</v>
      </c>
      <c r="T107" s="177">
        <v>2026</v>
      </c>
      <c r="U107" s="177" cm="1">
        <f t="array" ref="U107">INDEX($Z$11:$BN$11,MATCH(TRUE,INDEX(Z107:BN107&lt;&gt;0,),0))</f>
        <v>2028</v>
      </c>
      <c r="V107" s="179">
        <f>SUMPRODUCT(J107:M107,$J$8:$M$8)</f>
        <v>5000</v>
      </c>
      <c r="W107" s="186"/>
      <c r="X107" s="187">
        <f t="shared" si="33"/>
        <v>4.0315067360335934</v>
      </c>
      <c r="Y107" s="180">
        <f>$V107*'Cost inputs'!$B$60/1000000</f>
        <v>3.4644938805952008</v>
      </c>
      <c r="Z107" s="177"/>
      <c r="AA107" s="177"/>
      <c r="AB107" s="177"/>
      <c r="AC107" s="180">
        <f>0.1*$Y107*'Cost inputs'!I$10</f>
        <v>0.39220806849242079</v>
      </c>
      <c r="AD107" s="180">
        <f>0.9*$Y107*'Cost inputs'!J$10</f>
        <v>3.6392986675411723</v>
      </c>
      <c r="AE107" s="177"/>
      <c r="AF107" s="180"/>
      <c r="AG107" s="180"/>
      <c r="AH107" s="180"/>
      <c r="AI107" s="180"/>
      <c r="AJ107" s="177"/>
      <c r="AK107" s="177"/>
      <c r="AL107" s="177"/>
      <c r="AM107" s="177"/>
      <c r="AN107" s="177"/>
      <c r="AO107" s="177"/>
      <c r="AP107" s="177"/>
      <c r="AQ107" s="177"/>
      <c r="AR107" s="177"/>
      <c r="AS107" s="177"/>
      <c r="AT107" s="177"/>
      <c r="AU107" s="177"/>
      <c r="AV107" s="177"/>
      <c r="AW107" s="177"/>
      <c r="AX107" s="177"/>
      <c r="AY107" s="177"/>
      <c r="AZ107" s="177"/>
      <c r="BA107" s="177"/>
      <c r="BB107" s="177"/>
      <c r="BC107" s="177"/>
      <c r="BD107" s="177"/>
      <c r="BE107" s="180"/>
      <c r="BF107" s="180"/>
      <c r="BG107" s="177"/>
      <c r="BH107" s="180"/>
      <c r="BI107" s="180"/>
      <c r="BJ107" s="180"/>
      <c r="BK107" s="23"/>
      <c r="BL107" s="23"/>
      <c r="BM107" s="23"/>
      <c r="BN107" s="23"/>
      <c r="BO107" s="23"/>
      <c r="BP107" s="23" t="s">
        <v>449</v>
      </c>
      <c r="BQ107" s="175" t="str">
        <f t="shared" si="40"/>
        <v/>
      </c>
      <c r="BR107" s="23" t="str">
        <f>IFERROR(VLOOKUP(BQ107,'LTP '!$R$4:$S$86,2,0),"")</f>
        <v/>
      </c>
      <c r="BS107" s="23"/>
      <c r="BT107" s="23"/>
      <c r="BU107" s="23"/>
      <c r="BV107" s="23"/>
      <c r="BW107" s="23"/>
      <c r="BX107" s="23"/>
      <c r="BY107" s="23"/>
      <c r="BZ107" s="23"/>
      <c r="CA107" s="23">
        <f t="shared" si="37"/>
        <v>4.0315067360335934</v>
      </c>
      <c r="CB107" s="115">
        <f t="shared" si="38"/>
        <v>806.30134720671867</v>
      </c>
      <c r="CC107" s="23"/>
      <c r="CD107" s="23"/>
      <c r="CE107" s="2">
        <f t="shared" si="35"/>
        <v>1</v>
      </c>
      <c r="CF107" s="23"/>
      <c r="CG107" s="23"/>
      <c r="CH107" s="105">
        <f>J107</f>
        <v>1.25</v>
      </c>
      <c r="CI107" s="105">
        <f t="shared" ref="CI107" si="41">K107</f>
        <v>0</v>
      </c>
      <c r="CJ107" s="105">
        <f>M107</f>
        <v>0</v>
      </c>
      <c r="CK107" s="23"/>
      <c r="CL107" s="23"/>
      <c r="CM107" s="23"/>
      <c r="CN107" s="23"/>
      <c r="CO107" s="207"/>
      <c r="CP107" s="207"/>
      <c r="CQ107" s="207"/>
      <c r="CR107" s="207"/>
      <c r="CS107" s="190"/>
      <c r="CT107" s="190"/>
      <c r="CU107" s="190"/>
      <c r="CV107" s="190"/>
      <c r="CW107" s="190"/>
      <c r="CX107" s="190"/>
      <c r="CY107" s="190"/>
      <c r="DG107" s="105"/>
      <c r="DH107" s="105"/>
      <c r="DI107" s="105"/>
      <c r="DJ107" s="105"/>
      <c r="DK107" s="105"/>
      <c r="DL107" s="105"/>
      <c r="DM107" s="105"/>
      <c r="DN107" s="105"/>
      <c r="DO107" s="105"/>
      <c r="DP107" s="105"/>
    </row>
    <row r="108" spans="1:120" x14ac:dyDescent="0.3">
      <c r="A108" s="2" t="s">
        <v>718</v>
      </c>
      <c r="B108" s="2" t="s">
        <v>102</v>
      </c>
      <c r="D108" s="2" t="s">
        <v>234</v>
      </c>
      <c r="E108" s="2" t="s">
        <v>813</v>
      </c>
      <c r="F108" s="105">
        <v>1</v>
      </c>
      <c r="G108" s="105"/>
      <c r="H108" s="105"/>
      <c r="I108" s="105"/>
      <c r="J108" s="105">
        <v>1</v>
      </c>
      <c r="K108" s="105"/>
      <c r="L108" s="105"/>
      <c r="M108" s="105"/>
      <c r="N108" s="105"/>
      <c r="V108" s="174"/>
      <c r="W108" s="3"/>
      <c r="X108" s="175">
        <f t="shared" si="33"/>
        <v>1</v>
      </c>
      <c r="Y108" s="23"/>
      <c r="AB108" s="2">
        <v>0.05</v>
      </c>
      <c r="AC108" s="2">
        <v>0.95</v>
      </c>
      <c r="AD108" s="23"/>
      <c r="AF108" s="23"/>
      <c r="AG108" s="23"/>
      <c r="AH108" s="23"/>
      <c r="AI108" s="23"/>
      <c r="BE108" s="23"/>
      <c r="BF108" s="23"/>
      <c r="BH108" s="23"/>
      <c r="BI108" s="23"/>
      <c r="BJ108" s="23"/>
      <c r="BK108" s="23"/>
      <c r="BL108" s="23"/>
      <c r="BM108" s="23"/>
      <c r="BN108" s="23"/>
      <c r="BO108" s="23"/>
      <c r="BP108" s="23" t="s">
        <v>451</v>
      </c>
      <c r="BQ108" s="175" t="str">
        <f t="shared" si="40"/>
        <v>RWP 490E DonB, develop NHP</v>
      </c>
      <c r="BR108" s="23"/>
      <c r="BS108" s="23"/>
      <c r="BT108" s="23"/>
      <c r="BU108" s="23"/>
      <c r="BV108" s="23"/>
      <c r="BW108" s="23"/>
      <c r="BX108" s="23"/>
      <c r="BY108" s="23"/>
      <c r="BZ108" s="23"/>
      <c r="CA108" s="23"/>
      <c r="CB108" s="115"/>
      <c r="CC108" s="23"/>
      <c r="CD108" s="23"/>
      <c r="CE108" s="2">
        <f t="shared" si="35"/>
        <v>1</v>
      </c>
      <c r="CF108" s="23"/>
      <c r="CG108" s="23"/>
      <c r="CH108" s="23"/>
      <c r="CI108" s="23"/>
      <c r="CJ108" s="23"/>
      <c r="CK108" s="23"/>
      <c r="CL108" s="23"/>
      <c r="CM108" s="23"/>
      <c r="CN108" s="23"/>
      <c r="CO108" s="207"/>
      <c r="CP108" s="207"/>
      <c r="CQ108" s="207"/>
      <c r="CR108" s="207"/>
      <c r="CS108" s="190"/>
      <c r="CT108" s="190"/>
      <c r="CU108" s="190"/>
      <c r="CV108" s="190"/>
      <c r="CW108" s="190"/>
      <c r="CX108" s="190"/>
      <c r="CY108" s="190"/>
      <c r="DG108" s="105"/>
      <c r="DH108" s="105"/>
      <c r="DI108" s="105"/>
      <c r="DJ108" s="105"/>
      <c r="DK108" s="105"/>
      <c r="DL108" s="105"/>
      <c r="DM108" s="105"/>
      <c r="DN108" s="105"/>
      <c r="DO108" s="105"/>
      <c r="DP108" s="105"/>
    </row>
    <row r="109" spans="1:120" x14ac:dyDescent="0.3">
      <c r="A109" s="2" t="s">
        <v>102</v>
      </c>
      <c r="B109" s="2" t="s">
        <v>102</v>
      </c>
      <c r="D109" s="2" t="s">
        <v>234</v>
      </c>
      <c r="E109" s="2" t="s">
        <v>901</v>
      </c>
      <c r="F109" s="105">
        <v>11</v>
      </c>
      <c r="G109" s="105"/>
      <c r="H109" s="105"/>
      <c r="I109" s="105"/>
      <c r="J109" s="105">
        <f>F109</f>
        <v>11</v>
      </c>
      <c r="K109" s="105"/>
      <c r="L109" s="105"/>
      <c r="M109" s="105"/>
      <c r="N109" s="105"/>
      <c r="O109" s="2">
        <v>2020</v>
      </c>
      <c r="P109" s="2">
        <v>2024</v>
      </c>
      <c r="Q109" s="2">
        <v>2028</v>
      </c>
      <c r="R109" s="2">
        <v>2041</v>
      </c>
      <c r="S109" s="2" t="s">
        <v>940</v>
      </c>
      <c r="T109" s="2">
        <v>2040</v>
      </c>
      <c r="U109" s="2" cm="1">
        <f t="array" ref="U109">INDEX($Z$11:$BN$11,MATCH(TRUE,INDEX(Z109:BN109&lt;&gt;0,),0))</f>
        <v>2028</v>
      </c>
      <c r="V109" s="174">
        <f t="shared" ref="V109:V120" si="42">SUMPRODUCT(J109:M109,$J$8:$M$8)</f>
        <v>44000</v>
      </c>
      <c r="W109" s="3"/>
      <c r="X109" s="175">
        <f t="shared" si="33"/>
        <v>10.597227266011474</v>
      </c>
      <c r="Y109" s="23">
        <f>$V109*'Cost inputs'!$B$60/1000000</f>
        <v>30.487546149237765</v>
      </c>
      <c r="AA109" s="201">
        <f>'sequential acq phasing'!AS32*$Y109*'Cost inputs'!G$10</f>
        <v>0</v>
      </c>
      <c r="AB109" s="201">
        <f>'sequential acq phasing'!AT32*$Y109*'Cost inputs'!H$10</f>
        <v>0</v>
      </c>
      <c r="AC109" s="201">
        <f>'sequential acq phasing'!AU32*$Y109*'Cost inputs'!I$10</f>
        <v>3.1376645479393663</v>
      </c>
      <c r="AD109" s="201">
        <f>'sequential acq phasing'!AV32*$Y109*'Cost inputs'!J$10</f>
        <v>0</v>
      </c>
      <c r="AE109" s="201">
        <f>'sequential acq phasing'!AW32*$Y109*'Cost inputs'!K$10</f>
        <v>0</v>
      </c>
      <c r="AF109" s="201">
        <f>'sequential acq phasing'!AX32*$Y109*'Cost inputs'!L$10</f>
        <v>3.4386067119539834</v>
      </c>
      <c r="AG109" s="201">
        <f>'sequential acq phasing'!AY32*$Y109*'Cost inputs'!M$10</f>
        <v>0.35452035200245574</v>
      </c>
      <c r="AH109" s="201">
        <f>'sequential acq phasing'!AZ32*$Y109*'Cost inputs'!N$10</f>
        <v>3.2895943462307864</v>
      </c>
      <c r="AI109" s="201">
        <f>'sequential acq phasing'!BA32*$Y109*'Cost inputs'!O$10</f>
        <v>0.37684130788488229</v>
      </c>
      <c r="AJ109" s="201">
        <f>'sequential acq phasing'!BB32*$Y109*'Cost inputs'!P$10</f>
        <v>3.885233884293136</v>
      </c>
      <c r="AK109" s="201">
        <f>'sequential acq phasing'!BC32*$Y109*'Cost inputs'!Q$10</f>
        <v>3.6051085212356</v>
      </c>
      <c r="AL109" s="201">
        <f>'sequential acq phasing'!BD32*$Y109*'Cost inputs'!R$10</f>
        <v>0.41298520948821155</v>
      </c>
      <c r="AM109" s="201">
        <f>'sequential acq phasing'!BE32*$Y109*'Cost inputs'!S$10</f>
        <v>4.2578775098234605</v>
      </c>
      <c r="AN109" s="201">
        <f>'sequential acq phasing'!BF32*$Y109*'Cost inputs'!T$10</f>
        <v>4.3898717126279871</v>
      </c>
      <c r="AO109" s="201">
        <f>'sequential acq phasing'!BG32*$Y109*'Cost inputs'!U$10</f>
        <v>4.5259577357194551</v>
      </c>
      <c r="AP109" s="201">
        <f>'sequential acq phasing'!BH32*$Y109*'Cost inputs'!V$10</f>
        <v>4.6662624255267575</v>
      </c>
      <c r="AQ109" s="201">
        <f>'sequential acq phasing'!BI32*$Y109*'Cost inputs'!W$10</f>
        <v>4.3298249046462773</v>
      </c>
      <c r="AR109" s="201">
        <f>'sequential acq phasing'!BJ32*$Y109*'Cost inputs'!X$10</f>
        <v>0.49600549741003469</v>
      </c>
      <c r="AS109" s="201">
        <f>'sequential acq phasing'!BK32*$Y109*'Cost inputs'!Y$10</f>
        <v>4.602435010467711</v>
      </c>
      <c r="AT109" s="201">
        <f>'sequential acq phasing'!BL32*$Y109*'Cost inputs'!Z$10</f>
        <v>0</v>
      </c>
      <c r="AU109" s="201">
        <f>'sequential acq phasing'!BM32*$Y109*'Cost inputs'!AA$10</f>
        <v>0</v>
      </c>
      <c r="BE109" s="23"/>
      <c r="BF109" s="23"/>
      <c r="BH109" s="23"/>
      <c r="BI109" s="23"/>
      <c r="BJ109" s="23"/>
      <c r="BK109" s="23"/>
      <c r="BL109" s="23"/>
      <c r="BM109" s="23"/>
      <c r="BN109" s="23"/>
      <c r="BO109" s="23"/>
      <c r="BP109" s="23" t="s">
        <v>449</v>
      </c>
      <c r="BQ109" s="175" t="str">
        <f t="shared" si="40"/>
        <v/>
      </c>
      <c r="BR109" s="23" t="str">
        <f>IFERROR(VLOOKUP(BQ109,'LTP '!$R$4:$S$86,2,0),"")</f>
        <v/>
      </c>
      <c r="BS109" s="23"/>
      <c r="BT109" s="23"/>
      <c r="BU109" s="23"/>
      <c r="BV109" s="23"/>
      <c r="BW109" s="23"/>
      <c r="BX109" s="23"/>
      <c r="BY109" s="23"/>
      <c r="BZ109" s="23"/>
      <c r="CA109" s="23">
        <f t="shared" si="37"/>
        <v>45.768789677250098</v>
      </c>
      <c r="CB109" s="115">
        <f t="shared" si="38"/>
        <v>1040.1997653920475</v>
      </c>
      <c r="CC109" s="23"/>
      <c r="CD109" s="23"/>
      <c r="CE109" s="2">
        <f t="shared" si="35"/>
        <v>1</v>
      </c>
      <c r="CF109" s="23"/>
      <c r="CG109" s="23"/>
      <c r="CH109" s="105">
        <f t="shared" ref="CH109:CH112" si="43">J109</f>
        <v>11</v>
      </c>
      <c r="CI109" s="105">
        <f t="shared" ref="CI109:CI112" si="44">K109</f>
        <v>0</v>
      </c>
      <c r="CJ109" s="105">
        <f t="shared" ref="CJ109:CJ112" si="45">M109</f>
        <v>0</v>
      </c>
      <c r="CK109" s="23"/>
      <c r="CL109" s="23"/>
      <c r="CM109" s="23"/>
      <c r="CN109" s="23"/>
      <c r="CO109" s="207"/>
      <c r="CP109" s="207"/>
      <c r="CQ109" s="207"/>
      <c r="CR109" s="207"/>
      <c r="CS109" s="190"/>
      <c r="CT109" s="190"/>
      <c r="CU109" s="190"/>
      <c r="CV109" s="190"/>
      <c r="CW109" s="190"/>
      <c r="CX109" s="190"/>
      <c r="CY109" s="190"/>
      <c r="DG109" s="105"/>
      <c r="DH109" s="105"/>
      <c r="DI109" s="105"/>
      <c r="DJ109" s="105"/>
      <c r="DK109" s="105"/>
      <c r="DL109" s="105"/>
      <c r="DM109" s="105"/>
      <c r="DN109" s="105"/>
      <c r="DO109" s="105"/>
      <c r="DP109" s="105"/>
    </row>
    <row r="110" spans="1:120" x14ac:dyDescent="0.3">
      <c r="A110" s="2" t="s">
        <v>102</v>
      </c>
      <c r="B110" s="2" t="s">
        <v>102</v>
      </c>
      <c r="D110" s="2" t="s">
        <v>234</v>
      </c>
      <c r="E110" s="2" t="s">
        <v>528</v>
      </c>
      <c r="F110" s="105"/>
      <c r="G110" s="105">
        <v>2</v>
      </c>
      <c r="H110" s="105"/>
      <c r="I110" s="105"/>
      <c r="J110" s="105"/>
      <c r="K110" s="105">
        <f>G110</f>
        <v>2</v>
      </c>
      <c r="L110" s="105"/>
      <c r="M110" s="105"/>
      <c r="N110" s="105"/>
      <c r="O110" s="2">
        <v>2020</v>
      </c>
      <c r="P110" s="2">
        <v>2024</v>
      </c>
      <c r="Q110" s="2">
        <v>2028</v>
      </c>
      <c r="R110" s="2">
        <v>2041</v>
      </c>
      <c r="S110" s="2" t="s">
        <v>940</v>
      </c>
      <c r="T110" s="2">
        <v>2040</v>
      </c>
      <c r="U110" s="2" cm="1">
        <f t="array" ref="U110">INDEX($Z$11:$BN$11,MATCH(TRUE,INDEX(Z110:BN110&lt;&gt;0,),0))</f>
        <v>2034</v>
      </c>
      <c r="V110" s="174">
        <f t="shared" si="42"/>
        <v>60000</v>
      </c>
      <c r="W110" s="3"/>
      <c r="X110" s="175">
        <f t="shared" si="33"/>
        <v>0.53571982229382065</v>
      </c>
      <c r="Y110" s="23">
        <f>$V110*'Cost inputs'!$B$61/1000000</f>
        <v>7.8802318417489907</v>
      </c>
      <c r="AA110" s="201">
        <f>'sequential acq phasing'!AS33*$Y110*'Cost inputs'!G$10</f>
        <v>0</v>
      </c>
      <c r="AB110" s="201">
        <f>'sequential acq phasing'!AT33*$Y110*'Cost inputs'!H$10</f>
        <v>0</v>
      </c>
      <c r="AC110" s="201">
        <f>'sequential acq phasing'!AU33*$Y110*'Cost inputs'!I$10</f>
        <v>0</v>
      </c>
      <c r="AD110" s="201">
        <f>'sequential acq phasing'!AV33*$Y110*'Cost inputs'!J$10</f>
        <v>0</v>
      </c>
      <c r="AE110" s="201">
        <f>'sequential acq phasing'!AW33*$Y110*'Cost inputs'!K$10</f>
        <v>0</v>
      </c>
      <c r="AF110" s="201">
        <f>'sequential acq phasing'!AX33*$Y110*'Cost inputs'!L$10</f>
        <v>0</v>
      </c>
      <c r="AG110" s="201">
        <f>'sequential acq phasing'!AY33*$Y110*'Cost inputs'!M$10</f>
        <v>0</v>
      </c>
      <c r="AH110" s="201">
        <f>'sequential acq phasing'!AZ33*$Y110*'Cost inputs'!N$10</f>
        <v>0</v>
      </c>
      <c r="AI110" s="201">
        <f>'sequential acq phasing'!BA33*$Y110*'Cost inputs'!O$10</f>
        <v>0.53571982229382065</v>
      </c>
      <c r="AJ110" s="201">
        <f>'sequential acq phasing'!BB33*$Y110*'Cost inputs'!P$10</f>
        <v>0.55232713678492906</v>
      </c>
      <c r="AK110" s="201">
        <f>'sequential acq phasing'!BC33*$Y110*'Cost inputs'!Q$10</f>
        <v>2.2777971121010472</v>
      </c>
      <c r="AL110" s="201">
        <f>'sequential acq phasing'!BD33*$Y110*'Cost inputs'!R$10</f>
        <v>2.3484088225761792</v>
      </c>
      <c r="AM110" s="201">
        <f>'sequential acq phasing'!BE33*$Y110*'Cost inputs'!S$10</f>
        <v>0</v>
      </c>
      <c r="AN110" s="201">
        <f>'sequential acq phasing'!BF33*$Y110*'Cost inputs'!T$10</f>
        <v>0</v>
      </c>
      <c r="AO110" s="201">
        <f>'sequential acq phasing'!BG33*$Y110*'Cost inputs'!U$10</f>
        <v>0</v>
      </c>
      <c r="AP110" s="201">
        <f>'sequential acq phasing'!BH33*$Y110*'Cost inputs'!V$10</f>
        <v>0.66335861411009922</v>
      </c>
      <c r="AQ110" s="201">
        <f>'sequential acq phasing'!BI33*$Y110*'Cost inputs'!W$10</f>
        <v>0.68392273114751223</v>
      </c>
      <c r="AR110" s="201">
        <f>'sequential acq phasing'!BJ33*$Y110*'Cost inputs'!X$10</f>
        <v>2.8204973432523399</v>
      </c>
      <c r="AS110" s="201">
        <f>'sequential acq phasing'!BK33*$Y110*'Cost inputs'!Y$10</f>
        <v>2.9079327608931624</v>
      </c>
      <c r="AT110" s="201">
        <f>'sequential acq phasing'!BL33*$Y110*'Cost inputs'!Z$10</f>
        <v>0</v>
      </c>
      <c r="AU110" s="201">
        <f>'sequential acq phasing'!BM33*$Y110*'Cost inputs'!AA$10</f>
        <v>0</v>
      </c>
      <c r="BE110" s="23"/>
      <c r="BF110" s="23"/>
      <c r="BH110" s="23"/>
      <c r="BI110" s="23"/>
      <c r="BJ110" s="23"/>
      <c r="BK110" s="23"/>
      <c r="BL110" s="23"/>
      <c r="BM110" s="23"/>
      <c r="BN110" s="23"/>
      <c r="BO110" s="23"/>
      <c r="BP110" s="23" t="s">
        <v>449</v>
      </c>
      <c r="BQ110" s="175" t="str">
        <f t="shared" si="40"/>
        <v/>
      </c>
      <c r="BR110" s="23" t="str">
        <f>IFERROR(VLOOKUP(BQ110,'LTP '!$R$4:$S$86,2,0),"")</f>
        <v/>
      </c>
      <c r="BS110" s="23"/>
      <c r="BT110" s="23"/>
      <c r="BU110" s="23"/>
      <c r="BV110" s="23"/>
      <c r="BW110" s="23"/>
      <c r="BX110" s="23"/>
      <c r="BY110" s="23"/>
      <c r="BZ110" s="23"/>
      <c r="CA110" s="23">
        <f t="shared" si="37"/>
        <v>12.78996434315909</v>
      </c>
      <c r="CB110" s="115">
        <f t="shared" si="38"/>
        <v>213.16607238598482</v>
      </c>
      <c r="CC110" s="23"/>
      <c r="CD110" s="23"/>
      <c r="CE110" s="2">
        <f t="shared" si="35"/>
        <v>1</v>
      </c>
      <c r="CF110" s="23"/>
      <c r="CG110" s="23"/>
      <c r="CH110" s="105">
        <f t="shared" si="43"/>
        <v>0</v>
      </c>
      <c r="CI110" s="105">
        <f t="shared" si="44"/>
        <v>2</v>
      </c>
      <c r="CJ110" s="105">
        <f t="shared" si="45"/>
        <v>0</v>
      </c>
      <c r="CK110" s="23"/>
      <c r="CL110" s="23"/>
      <c r="CM110" s="23"/>
      <c r="CN110" s="23"/>
      <c r="CO110" s="207"/>
      <c r="CP110" s="207"/>
      <c r="CQ110" s="207"/>
      <c r="CR110" s="207"/>
      <c r="CS110" s="190"/>
      <c r="CT110" s="190"/>
      <c r="CU110" s="190"/>
      <c r="CV110" s="190"/>
      <c r="CW110" s="190"/>
      <c r="CX110" s="190"/>
      <c r="CY110" s="190"/>
      <c r="DG110" s="105"/>
      <c r="DH110" s="105"/>
      <c r="DI110" s="105"/>
      <c r="DJ110" s="105"/>
      <c r="DK110" s="105"/>
      <c r="DL110" s="105"/>
      <c r="DM110" s="105"/>
      <c r="DN110" s="105"/>
      <c r="DO110" s="105"/>
      <c r="DP110" s="105"/>
    </row>
    <row r="111" spans="1:120" x14ac:dyDescent="0.3">
      <c r="A111" s="2" t="s">
        <v>102</v>
      </c>
      <c r="B111" s="2" t="s">
        <v>102</v>
      </c>
      <c r="D111" s="2" t="s">
        <v>234</v>
      </c>
      <c r="E111" s="2" t="s">
        <v>528</v>
      </c>
      <c r="F111" s="105"/>
      <c r="G111" s="105"/>
      <c r="H111" s="105"/>
      <c r="I111" s="105">
        <v>1</v>
      </c>
      <c r="J111" s="105"/>
      <c r="K111" s="105"/>
      <c r="L111" s="105"/>
      <c r="M111" s="105">
        <f>I111</f>
        <v>1</v>
      </c>
      <c r="N111" s="105"/>
      <c r="O111" s="2">
        <v>2020</v>
      </c>
      <c r="P111" s="2">
        <v>2024</v>
      </c>
      <c r="Q111" s="2">
        <v>2028</v>
      </c>
      <c r="R111" s="2">
        <v>2037</v>
      </c>
      <c r="S111" s="2" t="s">
        <v>881</v>
      </c>
      <c r="T111" s="2">
        <v>2037</v>
      </c>
      <c r="U111" s="2" cm="1">
        <f t="array" ref="U111">INDEX($Z$11:$BN$11,MATCH(TRUE,INDEX(Z111:BN111&lt;&gt;0,),0))</f>
        <v>2039</v>
      </c>
      <c r="V111" s="174">
        <f t="shared" si="42"/>
        <v>2000</v>
      </c>
      <c r="W111" s="3"/>
      <c r="X111" s="175">
        <f t="shared" si="33"/>
        <v>0</v>
      </c>
      <c r="Y111" s="23">
        <f>$V111*'Cost inputs'!$B$60/1000000</f>
        <v>1.3857975522380801</v>
      </c>
      <c r="AN111" s="23">
        <f>0.1*$Y111*'Cost inputs'!T$10</f>
        <v>0.21949358563139934</v>
      </c>
      <c r="AO111" s="23">
        <f>0.9*$Y111*'Cost inputs'!U$10</f>
        <v>2.0366809810737543</v>
      </c>
      <c r="BE111" s="23"/>
      <c r="BF111" s="23"/>
      <c r="BH111" s="23"/>
      <c r="BI111" s="23"/>
      <c r="BJ111" s="23"/>
      <c r="BK111" s="23"/>
      <c r="BL111" s="23"/>
      <c r="BM111" s="23"/>
      <c r="BN111" s="23"/>
      <c r="BO111" s="23"/>
      <c r="BP111" s="23" t="s">
        <v>449</v>
      </c>
      <c r="BQ111" s="175" t="str">
        <f t="shared" si="40"/>
        <v/>
      </c>
      <c r="BR111" s="23" t="str">
        <f>IFERROR(VLOOKUP(BQ111,'LTP '!$R$4:$S$86,2,0),"")</f>
        <v/>
      </c>
      <c r="BS111" s="23"/>
      <c r="BT111" s="23"/>
      <c r="BU111" s="23"/>
      <c r="BV111" s="23"/>
      <c r="BW111" s="23"/>
      <c r="BX111" s="23"/>
      <c r="BY111" s="23"/>
      <c r="BZ111" s="23"/>
      <c r="CA111" s="23">
        <f t="shared" si="37"/>
        <v>2.2561745667051536</v>
      </c>
      <c r="CB111" s="115">
        <f t="shared" si="38"/>
        <v>1128.0872833525766</v>
      </c>
      <c r="CC111" s="23"/>
      <c r="CD111" s="23"/>
      <c r="CE111" s="2">
        <f t="shared" si="35"/>
        <v>1</v>
      </c>
      <c r="CF111" s="23"/>
      <c r="CG111" s="23"/>
      <c r="CH111" s="105">
        <f t="shared" si="43"/>
        <v>0</v>
      </c>
      <c r="CI111" s="105">
        <f t="shared" si="44"/>
        <v>0</v>
      </c>
      <c r="CJ111" s="105">
        <f t="shared" si="45"/>
        <v>1</v>
      </c>
      <c r="CK111" s="23"/>
      <c r="CL111" s="23"/>
      <c r="CM111" s="23"/>
      <c r="CN111" s="23"/>
      <c r="CO111" s="207"/>
      <c r="CP111" s="207"/>
      <c r="CQ111" s="207"/>
      <c r="CR111" s="207"/>
      <c r="CS111" s="190"/>
      <c r="CT111" s="190"/>
      <c r="CU111" s="190"/>
      <c r="CV111" s="190"/>
      <c r="CW111" s="190"/>
      <c r="CX111" s="190"/>
      <c r="CY111" s="190"/>
      <c r="DG111" s="105"/>
      <c r="DH111" s="105"/>
      <c r="DI111" s="105"/>
      <c r="DJ111" s="105"/>
      <c r="DK111" s="105"/>
      <c r="DL111" s="105"/>
      <c r="DM111" s="105"/>
      <c r="DN111" s="105"/>
      <c r="DO111" s="105"/>
      <c r="DP111" s="105"/>
    </row>
    <row r="112" spans="1:120" x14ac:dyDescent="0.3">
      <c r="A112" s="2" t="s">
        <v>102</v>
      </c>
      <c r="B112" s="2" t="s">
        <v>104</v>
      </c>
      <c r="D112" s="2" t="s">
        <v>235</v>
      </c>
      <c r="F112" s="105">
        <v>2</v>
      </c>
      <c r="G112" s="105"/>
      <c r="H112" s="105"/>
      <c r="I112" s="105"/>
      <c r="J112" s="105">
        <f>F112</f>
        <v>2</v>
      </c>
      <c r="K112" s="105"/>
      <c r="L112" s="105"/>
      <c r="M112" s="105"/>
      <c r="N112" s="105"/>
      <c r="O112" s="2">
        <v>2031</v>
      </c>
      <c r="P112" s="2">
        <v>2035</v>
      </c>
      <c r="Q112" s="2">
        <v>2039</v>
      </c>
      <c r="R112" s="2">
        <v>2041</v>
      </c>
      <c r="S112" s="2" t="s">
        <v>881</v>
      </c>
      <c r="T112" s="2">
        <v>2041</v>
      </c>
      <c r="U112" s="2" cm="1">
        <f t="array" ref="U112">INDEX($Z$11:$BN$11,MATCH(TRUE,INDEX(Z112:BN112&lt;&gt;0,),0))</f>
        <v>2043</v>
      </c>
      <c r="V112" s="174">
        <f t="shared" si="42"/>
        <v>8000</v>
      </c>
      <c r="W112" s="3"/>
      <c r="X112" s="175">
        <f t="shared" si="33"/>
        <v>0</v>
      </c>
      <c r="Y112" s="23">
        <f>$V112*'Cost inputs'!$B$60/1000000</f>
        <v>5.5431902089523204</v>
      </c>
      <c r="AR112" s="23">
        <f>0.1*$Y112*'Cost inputs'!X$10</f>
        <v>0.99201099482006916</v>
      </c>
      <c r="AS112" s="23">
        <f>0.9*$Y112*'Cost inputs'!Y$10</f>
        <v>9.2048700209354202</v>
      </c>
      <c r="BE112" s="23"/>
      <c r="BF112" s="23"/>
      <c r="BH112" s="23"/>
      <c r="BI112" s="23"/>
      <c r="BJ112" s="23"/>
      <c r="BK112" s="23"/>
      <c r="BL112" s="23"/>
      <c r="BM112" s="23"/>
      <c r="BN112" s="23"/>
      <c r="BO112" s="23"/>
      <c r="BP112" s="23" t="s">
        <v>449</v>
      </c>
      <c r="BQ112" s="175" t="str">
        <f t="shared" si="40"/>
        <v/>
      </c>
      <c r="BR112" s="23" t="str">
        <f>IFERROR(VLOOKUP(BQ112,'LTP '!$R$4:$S$86,2,0),"")</f>
        <v/>
      </c>
      <c r="BS112" s="23"/>
      <c r="BT112" s="23"/>
      <c r="BU112" s="23"/>
      <c r="BV112" s="23"/>
      <c r="BW112" s="23"/>
      <c r="BX112" s="23"/>
      <c r="BY112" s="23"/>
      <c r="BZ112" s="23"/>
      <c r="CA112" s="23">
        <f t="shared" si="37"/>
        <v>10.196881015755489</v>
      </c>
      <c r="CB112" s="115">
        <f t="shared" si="38"/>
        <v>1274.6101269694361</v>
      </c>
      <c r="CC112" s="23"/>
      <c r="CD112" s="23"/>
      <c r="CE112" s="2">
        <f t="shared" si="35"/>
        <v>1</v>
      </c>
      <c r="CF112" s="23"/>
      <c r="CG112" s="23"/>
      <c r="CH112" s="105">
        <f t="shared" si="43"/>
        <v>2</v>
      </c>
      <c r="CI112" s="105">
        <f t="shared" si="44"/>
        <v>0</v>
      </c>
      <c r="CJ112" s="105">
        <f t="shared" si="45"/>
        <v>0</v>
      </c>
      <c r="CK112" s="23"/>
      <c r="CL112" s="23"/>
      <c r="CM112" s="23"/>
      <c r="CN112" s="23"/>
      <c r="CO112" s="207"/>
      <c r="CP112" s="207"/>
      <c r="CQ112" s="207"/>
      <c r="CR112" s="207"/>
      <c r="CS112" s="190"/>
      <c r="CT112" s="190"/>
      <c r="CU112" s="190"/>
      <c r="CV112" s="190"/>
      <c r="CW112" s="190"/>
      <c r="CX112" s="190"/>
      <c r="CY112" s="190"/>
      <c r="DG112" s="105"/>
      <c r="DH112" s="105"/>
      <c r="DI112" s="105"/>
      <c r="DJ112" s="105"/>
      <c r="DK112" s="105"/>
      <c r="DL112" s="105"/>
      <c r="DM112" s="105"/>
      <c r="DN112" s="105"/>
      <c r="DO112" s="105"/>
      <c r="DP112" s="105"/>
    </row>
    <row r="113" spans="1:120" x14ac:dyDescent="0.3">
      <c r="A113" s="2" t="s">
        <v>104</v>
      </c>
      <c r="B113" s="2" t="s">
        <v>104</v>
      </c>
      <c r="D113" s="2" t="s">
        <v>236</v>
      </c>
      <c r="F113" s="105">
        <v>1</v>
      </c>
      <c r="G113" s="105"/>
      <c r="H113" s="105"/>
      <c r="I113" s="105"/>
      <c r="J113" s="105">
        <f t="shared" ref="J113:M120" si="46">F113</f>
        <v>1</v>
      </c>
      <c r="K113" s="105"/>
      <c r="L113" s="105"/>
      <c r="M113" s="105"/>
      <c r="N113" s="105"/>
      <c r="O113" s="2">
        <v>2031</v>
      </c>
      <c r="P113" s="2">
        <v>2035</v>
      </c>
      <c r="Q113" s="2">
        <v>2039</v>
      </c>
      <c r="R113" s="2">
        <v>2041</v>
      </c>
      <c r="S113" s="2" t="s">
        <v>881</v>
      </c>
      <c r="T113" s="2">
        <v>2041</v>
      </c>
      <c r="U113" s="2" cm="1">
        <f t="array" ref="U113">INDEX($Z$11:$BN$11,MATCH(TRUE,INDEX(Z113:BN113&lt;&gt;0,),0))</f>
        <v>2043</v>
      </c>
      <c r="V113" s="174">
        <f t="shared" si="42"/>
        <v>4000</v>
      </c>
      <c r="W113" s="3"/>
      <c r="X113" s="175">
        <f t="shared" si="33"/>
        <v>0</v>
      </c>
      <c r="Y113" s="23">
        <f>$V113*'Cost inputs'!$B$60/1000000</f>
        <v>2.7715951044761602</v>
      </c>
      <c r="AR113" s="23">
        <f>0.1*$Y113*'Cost inputs'!X$10</f>
        <v>0.49600549741003458</v>
      </c>
      <c r="AS113" s="23">
        <f>0.9*$Y113*'Cost inputs'!Y$10</f>
        <v>4.6024350104677101</v>
      </c>
      <c r="BE113" s="23"/>
      <c r="BF113" s="23"/>
      <c r="BH113" s="23"/>
      <c r="BI113" s="23"/>
      <c r="BJ113" s="23"/>
      <c r="BK113" s="23"/>
      <c r="BL113" s="23"/>
      <c r="BM113" s="23"/>
      <c r="BN113" s="23"/>
      <c r="BO113" s="23"/>
      <c r="BP113" s="23" t="s">
        <v>449</v>
      </c>
      <c r="BQ113" s="175" t="str">
        <f t="shared" si="40"/>
        <v/>
      </c>
      <c r="BR113" s="23" t="str">
        <f>IFERROR(VLOOKUP(BQ113,'LTP '!$R$4:$S$86,2,0),"")</f>
        <v/>
      </c>
      <c r="BS113" s="23"/>
      <c r="BT113" s="23"/>
      <c r="BU113" s="23"/>
      <c r="BV113" s="23"/>
      <c r="BW113" s="23"/>
      <c r="BX113" s="23"/>
      <c r="BY113" s="23"/>
      <c r="BZ113" s="23"/>
      <c r="CA113" s="23">
        <f t="shared" si="37"/>
        <v>5.0984405078777444</v>
      </c>
      <c r="CB113" s="115">
        <f t="shared" si="38"/>
        <v>1274.6101269694361</v>
      </c>
      <c r="CC113" s="23"/>
      <c r="CD113" s="23"/>
      <c r="CE113" s="2">
        <f t="shared" si="35"/>
        <v>1</v>
      </c>
      <c r="CF113" s="23"/>
      <c r="CG113" s="23"/>
      <c r="CH113" s="23"/>
      <c r="CI113" s="23"/>
      <c r="CJ113" s="23"/>
      <c r="CK113" s="23"/>
      <c r="CL113" s="23"/>
      <c r="CM113" s="23"/>
      <c r="CN113" s="23"/>
      <c r="CO113" s="207"/>
      <c r="CP113" s="207"/>
      <c r="CQ113" s="207"/>
      <c r="CR113" s="207"/>
      <c r="CS113" s="190"/>
      <c r="CT113" s="190"/>
      <c r="CU113" s="190"/>
      <c r="CV113" s="190"/>
      <c r="CW113" s="190"/>
      <c r="CX113" s="190"/>
      <c r="CY113" s="190"/>
      <c r="DG113" s="105"/>
      <c r="DH113" s="105"/>
      <c r="DI113" s="105"/>
      <c r="DJ113" s="105"/>
      <c r="DK113" s="105"/>
      <c r="DL113" s="105"/>
      <c r="DM113" s="105"/>
      <c r="DN113" s="105"/>
      <c r="DO113" s="105"/>
      <c r="DP113" s="105"/>
    </row>
    <row r="114" spans="1:120" x14ac:dyDescent="0.3">
      <c r="A114" s="2" t="s">
        <v>104</v>
      </c>
      <c r="B114" s="2" t="s">
        <v>197</v>
      </c>
      <c r="D114" s="2" t="s">
        <v>237</v>
      </c>
      <c r="E114" s="2" t="s">
        <v>529</v>
      </c>
      <c r="F114" s="105">
        <v>5</v>
      </c>
      <c r="G114" s="105"/>
      <c r="H114" s="105"/>
      <c r="I114" s="105"/>
      <c r="J114" s="105">
        <f t="shared" si="46"/>
        <v>5</v>
      </c>
      <c r="K114" s="105"/>
      <c r="L114" s="105"/>
      <c r="M114" s="105"/>
      <c r="N114" s="105"/>
      <c r="O114" s="2">
        <v>2031</v>
      </c>
      <c r="P114" s="2">
        <v>2035</v>
      </c>
      <c r="Q114" s="2">
        <v>2039</v>
      </c>
      <c r="R114" s="2">
        <v>2041</v>
      </c>
      <c r="S114" s="2" t="s">
        <v>881</v>
      </c>
      <c r="T114" s="2">
        <v>2041</v>
      </c>
      <c r="U114" s="2" cm="1">
        <f t="array" ref="U114">INDEX($Z$11:$BN$11,MATCH(TRUE,INDEX(Z114:BN114&lt;&gt;0,),0))</f>
        <v>2043</v>
      </c>
      <c r="V114" s="174">
        <f t="shared" si="42"/>
        <v>20000</v>
      </c>
      <c r="W114" s="3"/>
      <c r="X114" s="175">
        <f t="shared" si="33"/>
        <v>0</v>
      </c>
      <c r="Y114" s="23">
        <f>$V114*'Cost inputs'!$B$60/1000000</f>
        <v>13.857975522380803</v>
      </c>
      <c r="AR114" s="23">
        <f>0.1*$Y114*'Cost inputs'!X$10</f>
        <v>2.4800274870501728</v>
      </c>
      <c r="AS114" s="23">
        <f>0.9*$Y114*'Cost inputs'!Y$10</f>
        <v>23.012175052338556</v>
      </c>
      <c r="BE114" s="23"/>
      <c r="BF114" s="23"/>
      <c r="BH114" s="23"/>
      <c r="BI114" s="23"/>
      <c r="BJ114" s="23"/>
      <c r="BK114" s="23"/>
      <c r="BL114" s="23"/>
      <c r="BM114" s="23"/>
      <c r="BN114" s="23"/>
      <c r="BO114" s="23"/>
      <c r="BP114" s="23" t="s">
        <v>449</v>
      </c>
      <c r="BQ114" s="175" t="str">
        <f t="shared" si="40"/>
        <v/>
      </c>
      <c r="BR114" s="23" t="str">
        <f>IFERROR(VLOOKUP(BQ114,'LTP '!$R$4:$S$86,2,0),"")</f>
        <v/>
      </c>
      <c r="BS114" s="23"/>
      <c r="BT114" s="23"/>
      <c r="BU114" s="23"/>
      <c r="BV114" s="23"/>
      <c r="BW114" s="23"/>
      <c r="BX114" s="23"/>
      <c r="BY114" s="23"/>
      <c r="BZ114" s="23"/>
      <c r="CA114" s="23">
        <f t="shared" si="37"/>
        <v>25.492202539388728</v>
      </c>
      <c r="CB114" s="115">
        <f t="shared" si="38"/>
        <v>1274.6101269694366</v>
      </c>
      <c r="CC114" s="23"/>
      <c r="CD114" s="23"/>
      <c r="CE114" s="2">
        <f t="shared" si="35"/>
        <v>1</v>
      </c>
      <c r="CF114" s="23"/>
      <c r="CG114" s="23"/>
      <c r="CH114" s="23"/>
      <c r="CI114" s="23"/>
      <c r="CJ114" s="23"/>
      <c r="CK114" s="23"/>
      <c r="CL114" s="23"/>
      <c r="CM114" s="23"/>
      <c r="CN114" s="23"/>
      <c r="CO114" s="207"/>
      <c r="CP114" s="207"/>
      <c r="CQ114" s="207"/>
      <c r="CR114" s="207"/>
      <c r="CS114" s="190"/>
      <c r="CT114" s="190"/>
      <c r="CU114" s="190"/>
      <c r="CV114" s="190"/>
      <c r="CW114" s="190"/>
      <c r="CX114" s="190"/>
      <c r="CY114" s="190"/>
      <c r="DG114" s="105"/>
      <c r="DH114" s="105"/>
      <c r="DI114" s="105"/>
      <c r="DJ114" s="105"/>
      <c r="DK114" s="105"/>
      <c r="DL114" s="105"/>
      <c r="DM114" s="105"/>
      <c r="DN114" s="105"/>
      <c r="DO114" s="105"/>
      <c r="DP114" s="105"/>
    </row>
    <row r="115" spans="1:120" x14ac:dyDescent="0.3">
      <c r="A115" s="2" t="s">
        <v>104</v>
      </c>
      <c r="B115" s="2" t="s">
        <v>197</v>
      </c>
      <c r="D115" s="2" t="s">
        <v>237</v>
      </c>
      <c r="E115" s="2" t="s">
        <v>529</v>
      </c>
      <c r="F115" s="105"/>
      <c r="G115" s="105">
        <v>1</v>
      </c>
      <c r="H115" s="105"/>
      <c r="I115" s="105"/>
      <c r="J115" s="105"/>
      <c r="K115" s="105">
        <f t="shared" si="46"/>
        <v>1</v>
      </c>
      <c r="L115" s="105"/>
      <c r="M115" s="105"/>
      <c r="N115" s="105"/>
      <c r="O115" s="2">
        <v>2031</v>
      </c>
      <c r="P115" s="2">
        <v>2035</v>
      </c>
      <c r="Q115" s="2">
        <v>2039</v>
      </c>
      <c r="R115" s="2">
        <v>2036</v>
      </c>
      <c r="S115" s="2" t="s">
        <v>881</v>
      </c>
      <c r="T115" s="2">
        <v>2038</v>
      </c>
      <c r="U115" s="2" cm="1">
        <f t="array" ref="U115">INDEX($Z$11:$BN$11,MATCH(TRUE,INDEX(Z115:BN115&lt;&gt;0,),0))</f>
        <v>2038</v>
      </c>
      <c r="V115" s="174">
        <f t="shared" si="42"/>
        <v>30000</v>
      </c>
      <c r="W115" s="3"/>
      <c r="X115" s="175">
        <f t="shared" si="33"/>
        <v>0</v>
      </c>
      <c r="Y115" s="23">
        <f>$V115*'Cost inputs'!$B$61/1000000</f>
        <v>3.9401159208744954</v>
      </c>
      <c r="AM115" s="23">
        <f>0.1*$Y115*'Cost inputs'!S$10</f>
        <v>0.60530237401901021</v>
      </c>
      <c r="AN115" s="23">
        <f>0.1*$Y115*'Cost inputs'!T$10</f>
        <v>0.62406674761359948</v>
      </c>
      <c r="AO115" s="23">
        <f>0.4*$Y115*'Cost inputs'!U$10</f>
        <v>2.5736512671584841</v>
      </c>
      <c r="AP115" s="23">
        <f>0.4*$Y115*'Cost inputs'!V$10</f>
        <v>2.6534344564403969</v>
      </c>
      <c r="AQ115" s="23"/>
      <c r="AR115" s="23"/>
      <c r="BE115" s="23"/>
      <c r="BF115" s="23"/>
      <c r="BH115" s="23"/>
      <c r="BI115" s="23"/>
      <c r="BJ115" s="23"/>
      <c r="BK115" s="23"/>
      <c r="BL115" s="23"/>
      <c r="BM115" s="23"/>
      <c r="BN115" s="23"/>
      <c r="BO115" s="23"/>
      <c r="BP115" s="23" t="s">
        <v>449</v>
      </c>
      <c r="BQ115" s="175" t="str">
        <f t="shared" si="40"/>
        <v/>
      </c>
      <c r="BR115" s="23" t="str">
        <f>IFERROR(VLOOKUP(BQ115,'LTP '!$R$4:$S$86,2,0),"")</f>
        <v/>
      </c>
      <c r="BS115" s="23"/>
      <c r="BT115" s="23"/>
      <c r="BU115" s="23"/>
      <c r="BV115" s="23"/>
      <c r="BW115" s="23"/>
      <c r="BX115" s="23"/>
      <c r="BY115" s="23"/>
      <c r="BZ115" s="23"/>
      <c r="CA115" s="23">
        <f t="shared" si="37"/>
        <v>6.4564548452314909</v>
      </c>
      <c r="CB115" s="115">
        <f t="shared" si="38"/>
        <v>215.21516150771637</v>
      </c>
      <c r="CC115" s="23"/>
      <c r="CD115" s="23"/>
      <c r="CE115" s="2">
        <f t="shared" si="35"/>
        <v>1</v>
      </c>
      <c r="CF115" s="23"/>
      <c r="CG115" s="23"/>
      <c r="CH115" s="23"/>
      <c r="CI115" s="23"/>
      <c r="CJ115" s="23"/>
      <c r="CK115" s="23"/>
      <c r="CL115" s="23"/>
      <c r="CM115" s="23"/>
      <c r="CN115" s="23"/>
      <c r="CO115" s="207"/>
      <c r="CP115" s="207"/>
      <c r="CQ115" s="207"/>
      <c r="CR115" s="207"/>
      <c r="CS115" s="190"/>
      <c r="CT115" s="190"/>
      <c r="CU115" s="190"/>
      <c r="CV115" s="190"/>
      <c r="CW115" s="190"/>
      <c r="CX115" s="190"/>
      <c r="CY115" s="190"/>
      <c r="DG115" s="105"/>
      <c r="DH115" s="105"/>
      <c r="DI115" s="105"/>
      <c r="DJ115" s="105"/>
      <c r="DK115" s="105"/>
      <c r="DL115" s="105"/>
      <c r="DM115" s="105"/>
      <c r="DN115" s="105"/>
      <c r="DO115" s="105"/>
      <c r="DP115" s="105"/>
    </row>
    <row r="116" spans="1:120" x14ac:dyDescent="0.3">
      <c r="A116" s="2" t="s">
        <v>104</v>
      </c>
      <c r="B116" s="2" t="s">
        <v>197</v>
      </c>
      <c r="D116" s="2" t="s">
        <v>238</v>
      </c>
      <c r="F116" s="105">
        <v>5</v>
      </c>
      <c r="G116" s="105"/>
      <c r="H116" s="105"/>
      <c r="I116" s="105"/>
      <c r="J116" s="105">
        <f t="shared" si="46"/>
        <v>5</v>
      </c>
      <c r="K116" s="105"/>
      <c r="L116" s="105"/>
      <c r="M116" s="105"/>
      <c r="N116" s="105"/>
      <c r="O116" s="2">
        <v>2046</v>
      </c>
      <c r="P116" s="2">
        <v>2050</v>
      </c>
      <c r="Q116" s="2">
        <v>2054</v>
      </c>
      <c r="R116" s="2">
        <v>2056</v>
      </c>
      <c r="S116" s="2" t="s">
        <v>881</v>
      </c>
      <c r="T116" s="2">
        <v>2056</v>
      </c>
      <c r="U116" s="2" cm="1">
        <f t="array" ref="U116">INDEX($Z$11:$BN$11,MATCH(TRUE,INDEX(Z116:BN116&lt;&gt;0,),0))</f>
        <v>2058</v>
      </c>
      <c r="V116" s="174">
        <f t="shared" si="42"/>
        <v>20000</v>
      </c>
      <c r="W116" s="3"/>
      <c r="X116" s="175">
        <f t="shared" si="33"/>
        <v>0</v>
      </c>
      <c r="Y116" s="23">
        <f>$V116*'Cost inputs'!$B$60/1000000</f>
        <v>13.857975522380803</v>
      </c>
      <c r="BE116" s="23"/>
      <c r="BF116" s="23"/>
      <c r="BG116" s="23">
        <f>0.1*$Y116*'Cost inputs'!AM$10</f>
        <v>3.9204550024722735</v>
      </c>
      <c r="BH116" s="23">
        <f>0.9*$Y116*'Cost inputs'!AN$10</f>
        <v>36.377901967940218</v>
      </c>
      <c r="BI116" s="23"/>
      <c r="BJ116" s="23"/>
      <c r="BK116" s="23"/>
      <c r="BL116" s="23"/>
      <c r="BM116" s="23"/>
      <c r="BN116" s="23"/>
      <c r="BO116" s="23"/>
      <c r="BP116" s="23" t="s">
        <v>449</v>
      </c>
      <c r="BQ116" s="175" t="str">
        <f t="shared" si="40"/>
        <v/>
      </c>
      <c r="BR116" s="23" t="str">
        <f>IFERROR(VLOOKUP(BQ116,'LTP '!$R$4:$S$86,2,0),"")</f>
        <v/>
      </c>
      <c r="BS116" s="23"/>
      <c r="BT116" s="23"/>
      <c r="BU116" s="23"/>
      <c r="BV116" s="23"/>
      <c r="BW116" s="23"/>
      <c r="BX116" s="23"/>
      <c r="BY116" s="23"/>
      <c r="BZ116" s="23"/>
      <c r="CA116" s="23">
        <f t="shared" si="37"/>
        <v>40.298356970412492</v>
      </c>
      <c r="CB116" s="115">
        <f t="shared" si="38"/>
        <v>2014.9178485206246</v>
      </c>
      <c r="CC116" s="23"/>
      <c r="CD116" s="23"/>
      <c r="CE116" s="2">
        <f t="shared" si="35"/>
        <v>1</v>
      </c>
      <c r="CF116" s="23"/>
      <c r="CG116" s="23"/>
      <c r="CH116" s="23"/>
      <c r="CI116" s="23"/>
      <c r="CJ116" s="23"/>
      <c r="CK116" s="23"/>
      <c r="CL116" s="23"/>
      <c r="CM116" s="23"/>
      <c r="CN116" s="23"/>
      <c r="CO116" s="207"/>
      <c r="CP116" s="207"/>
      <c r="CQ116" s="207"/>
      <c r="CR116" s="207"/>
      <c r="CS116" s="190"/>
      <c r="CT116" s="190"/>
      <c r="CU116" s="190"/>
      <c r="CV116" s="190"/>
      <c r="CW116" s="190"/>
      <c r="CX116" s="190"/>
      <c r="CY116" s="190"/>
      <c r="DG116" s="105"/>
      <c r="DH116" s="105"/>
      <c r="DI116" s="105"/>
      <c r="DJ116" s="105"/>
      <c r="DK116" s="105"/>
      <c r="DL116" s="105"/>
      <c r="DM116" s="105"/>
      <c r="DN116" s="105"/>
      <c r="DO116" s="105"/>
      <c r="DP116" s="105"/>
    </row>
    <row r="117" spans="1:120" x14ac:dyDescent="0.3">
      <c r="A117" s="2" t="s">
        <v>104</v>
      </c>
      <c r="B117" s="2" t="s">
        <v>197</v>
      </c>
      <c r="D117" s="2" t="s">
        <v>238</v>
      </c>
      <c r="F117" s="105"/>
      <c r="G117" s="105">
        <v>1</v>
      </c>
      <c r="H117" s="105"/>
      <c r="I117" s="105"/>
      <c r="J117" s="105"/>
      <c r="K117" s="105">
        <f t="shared" si="46"/>
        <v>1</v>
      </c>
      <c r="L117" s="105"/>
      <c r="M117" s="105"/>
      <c r="N117" s="105"/>
      <c r="O117" s="2">
        <v>2046</v>
      </c>
      <c r="P117" s="2">
        <v>2050</v>
      </c>
      <c r="Q117" s="2">
        <v>2054</v>
      </c>
      <c r="R117" s="2">
        <v>2056</v>
      </c>
      <c r="S117" s="2" t="s">
        <v>881</v>
      </c>
      <c r="T117" s="2">
        <v>2056</v>
      </c>
      <c r="U117" s="2" cm="1">
        <f t="array" ref="U117">INDEX($Z$11:$BN$11,MATCH(TRUE,INDEX(Z117:BN117&lt;&gt;0,),0))</f>
        <v>2058</v>
      </c>
      <c r="V117" s="174">
        <f t="shared" si="42"/>
        <v>30000</v>
      </c>
      <c r="X117" s="175">
        <f t="shared" si="33"/>
        <v>0</v>
      </c>
      <c r="Y117" s="23">
        <f>$V117*'Cost inputs'!$B$61/1000000</f>
        <v>3.9401159208744954</v>
      </c>
      <c r="BF117" s="188"/>
      <c r="BG117" s="23">
        <f>0.1*$Y117*'Cost inputs'!AM$10</f>
        <v>1.1146683833699873</v>
      </c>
      <c r="BH117" s="23">
        <f>0.1*$Y117*'Cost inputs'!AN$10</f>
        <v>1.1492231032544566</v>
      </c>
      <c r="BI117" s="23">
        <f>0.4*$Y117*'Cost inputs'!AO$10</f>
        <v>4.7393960778213797</v>
      </c>
      <c r="BJ117" s="23">
        <f>0.4*$Y117*'Cost inputs'!AP$10</f>
        <v>4.8863173562338416</v>
      </c>
      <c r="BK117" s="188"/>
      <c r="BL117" s="188"/>
      <c r="BM117" s="188"/>
      <c r="BN117" s="188"/>
      <c r="BO117" s="23"/>
      <c r="BP117" s="23" t="s">
        <v>449</v>
      </c>
      <c r="BQ117" s="175" t="str">
        <f t="shared" si="40"/>
        <v/>
      </c>
      <c r="BR117" s="23" t="str">
        <f>IFERROR(VLOOKUP(BQ117,'LTP '!$R$4:$S$86,2,0),"")</f>
        <v/>
      </c>
      <c r="BS117" s="188"/>
      <c r="BT117" s="188"/>
      <c r="BU117" s="188"/>
      <c r="BV117" s="188"/>
      <c r="BW117" s="188"/>
      <c r="BX117" s="188"/>
      <c r="BY117" s="188"/>
      <c r="BZ117" s="188"/>
      <c r="CA117" s="23">
        <f t="shared" si="37"/>
        <v>11.889604920679666</v>
      </c>
      <c r="CB117" s="115">
        <f t="shared" si="38"/>
        <v>396.32016402265549</v>
      </c>
      <c r="CC117" s="188"/>
      <c r="CD117" s="188"/>
      <c r="CE117" s="2">
        <f t="shared" si="35"/>
        <v>1</v>
      </c>
      <c r="CF117" s="188"/>
      <c r="CG117" s="188"/>
      <c r="CH117" s="188"/>
      <c r="CI117" s="188"/>
      <c r="CJ117" s="188"/>
      <c r="CK117" s="188"/>
      <c r="CL117" s="188"/>
      <c r="CM117" s="188"/>
      <c r="CN117" s="188"/>
    </row>
    <row r="118" spans="1:120" x14ac:dyDescent="0.3">
      <c r="A118" s="2" t="s">
        <v>104</v>
      </c>
      <c r="B118" s="2" t="s">
        <v>197</v>
      </c>
      <c r="D118" s="2" t="s">
        <v>239</v>
      </c>
      <c r="F118" s="105">
        <v>4</v>
      </c>
      <c r="G118" s="105"/>
      <c r="H118" s="105"/>
      <c r="I118" s="105"/>
      <c r="J118" s="105">
        <f t="shared" si="46"/>
        <v>4</v>
      </c>
      <c r="K118" s="105"/>
      <c r="L118" s="105"/>
      <c r="M118" s="105"/>
      <c r="N118" s="105"/>
      <c r="O118" s="2">
        <v>2031</v>
      </c>
      <c r="P118" s="2">
        <v>2035</v>
      </c>
      <c r="Q118" s="2">
        <v>2039</v>
      </c>
      <c r="R118" s="2">
        <v>2041</v>
      </c>
      <c r="S118" s="2" t="s">
        <v>881</v>
      </c>
      <c r="T118" s="2">
        <v>2041</v>
      </c>
      <c r="U118" s="2" cm="1">
        <f t="array" ref="U118">INDEX($Z$11:$BN$11,MATCH(TRUE,INDEX(Z118:BN118&lt;&gt;0,),0))</f>
        <v>2043</v>
      </c>
      <c r="V118" s="174">
        <f t="shared" si="42"/>
        <v>16000</v>
      </c>
      <c r="X118" s="175">
        <f t="shared" si="33"/>
        <v>0</v>
      </c>
      <c r="Y118" s="23">
        <f>$V118*'Cost inputs'!$B$60/1000000</f>
        <v>11.086380417904641</v>
      </c>
      <c r="AR118" s="23">
        <f>0.1*$Y118*'Cost inputs'!X$10</f>
        <v>1.9840219896401383</v>
      </c>
      <c r="AS118" s="23">
        <f>0.9*$Y118*'Cost inputs'!Y$10</f>
        <v>18.40974004187084</v>
      </c>
      <c r="BO118" s="23"/>
      <c r="BP118" s="23" t="s">
        <v>449</v>
      </c>
      <c r="BQ118" s="175" t="str">
        <f t="shared" si="40"/>
        <v/>
      </c>
      <c r="BR118" s="23" t="str">
        <f>IFERROR(VLOOKUP(BQ118,'LTP '!$R$4:$S$86,2,0),"")</f>
        <v/>
      </c>
      <c r="CA118" s="23">
        <f t="shared" si="37"/>
        <v>20.393762031510978</v>
      </c>
      <c r="CB118" s="115">
        <f t="shared" si="38"/>
        <v>1274.6101269694361</v>
      </c>
      <c r="CE118" s="2">
        <f t="shared" si="35"/>
        <v>1</v>
      </c>
    </row>
    <row r="119" spans="1:120" x14ac:dyDescent="0.3">
      <c r="A119" s="2" t="s">
        <v>104</v>
      </c>
      <c r="B119" s="2" t="s">
        <v>197</v>
      </c>
      <c r="D119" s="2" t="s">
        <v>239</v>
      </c>
      <c r="E119" s="2" t="s">
        <v>868</v>
      </c>
      <c r="F119" s="105"/>
      <c r="G119" s="105"/>
      <c r="H119" s="105"/>
      <c r="I119" s="105"/>
      <c r="J119" s="105"/>
      <c r="K119" s="105"/>
      <c r="L119" s="105"/>
      <c r="M119" s="105"/>
      <c r="N119" s="105"/>
      <c r="V119" s="174"/>
      <c r="X119" s="175"/>
      <c r="Y119" s="23"/>
      <c r="AO119" s="23"/>
      <c r="AP119" s="23"/>
      <c r="AQ119" s="23"/>
      <c r="AR119" s="23"/>
      <c r="AS119" s="23"/>
      <c r="AT119" s="23"/>
      <c r="AU119" s="23"/>
      <c r="BO119" s="23"/>
      <c r="BP119" s="23"/>
      <c r="BQ119" s="175" t="str">
        <f t="shared" si="40"/>
        <v/>
      </c>
      <c r="BR119" s="23" t="str">
        <f>IFERROR(VLOOKUP(BQ119,'LTP '!$R$4:$S$86,2,0),"")</f>
        <v/>
      </c>
      <c r="CA119" s="23">
        <f t="shared" si="37"/>
        <v>0</v>
      </c>
      <c r="CB119" s="115" t="str">
        <f t="shared" si="38"/>
        <v/>
      </c>
      <c r="CE119" s="2">
        <f t="shared" si="35"/>
        <v>1</v>
      </c>
    </row>
    <row r="120" spans="1:120" x14ac:dyDescent="0.3">
      <c r="A120" s="2" t="s">
        <v>104</v>
      </c>
      <c r="B120" s="2" t="s">
        <v>104</v>
      </c>
      <c r="D120" s="2" t="s">
        <v>530</v>
      </c>
      <c r="E120" s="2" t="s">
        <v>531</v>
      </c>
      <c r="F120" s="105"/>
      <c r="G120" s="105"/>
      <c r="H120" s="105"/>
      <c r="I120" s="105">
        <v>1</v>
      </c>
      <c r="J120" s="105"/>
      <c r="K120" s="105"/>
      <c r="L120" s="105"/>
      <c r="M120" s="105">
        <f t="shared" si="46"/>
        <v>1</v>
      </c>
      <c r="N120" s="105"/>
      <c r="Q120" s="2">
        <v>2023</v>
      </c>
      <c r="R120" s="2">
        <v>2029</v>
      </c>
      <c r="S120" s="2" t="s">
        <v>881</v>
      </c>
      <c r="T120" s="2">
        <v>2029</v>
      </c>
      <c r="U120" s="2" cm="1">
        <f t="array" ref="U120">INDEX($Z$11:$BN$11,MATCH(TRUE,INDEX(Z120:BN120&lt;&gt;0,),0))</f>
        <v>2031</v>
      </c>
      <c r="V120" s="174">
        <f t="shared" si="42"/>
        <v>2000</v>
      </c>
      <c r="X120" s="175">
        <f t="shared" si="33"/>
        <v>1.7672719196087494</v>
      </c>
      <c r="Y120" s="23">
        <f>$V120*'Cost inputs'!$B$60/1000000</f>
        <v>1.3857975522380801</v>
      </c>
      <c r="AF120" s="23">
        <f>0.1*$Y120*'Cost inputs'!L$10</f>
        <v>0.17193033559769919</v>
      </c>
      <c r="AG120" s="23">
        <f>0.9*$Y120*'Cost inputs'!M$10</f>
        <v>1.5953415840110503</v>
      </c>
      <c r="BO120" s="23"/>
      <c r="BP120" s="23" t="s">
        <v>449</v>
      </c>
      <c r="BQ120" s="175" t="str">
        <f t="shared" si="40"/>
        <v/>
      </c>
      <c r="BR120" s="23" t="str">
        <f>IFERROR(VLOOKUP(BQ120,'LTP '!$R$4:$S$86,2,0),"")</f>
        <v/>
      </c>
      <c r="CA120" s="23">
        <f t="shared" si="37"/>
        <v>1.7672719196087494</v>
      </c>
      <c r="CB120" s="115">
        <f t="shared" si="38"/>
        <v>883.63595980437469</v>
      </c>
      <c r="CE120" s="2">
        <f t="shared" si="35"/>
        <v>1</v>
      </c>
    </row>
    <row r="121" spans="1:120" x14ac:dyDescent="0.3">
      <c r="A121" s="2" t="s">
        <v>532</v>
      </c>
      <c r="B121" s="2" t="s">
        <v>102</v>
      </c>
      <c r="D121" s="2" t="s">
        <v>533</v>
      </c>
      <c r="F121" s="105"/>
      <c r="G121" s="105"/>
      <c r="H121" s="105"/>
      <c r="I121" s="105"/>
      <c r="J121" s="105"/>
      <c r="K121" s="105"/>
      <c r="L121" s="105"/>
      <c r="M121" s="105"/>
      <c r="N121" s="105"/>
      <c r="V121" s="175"/>
      <c r="X121" s="175">
        <f t="shared" si="33"/>
        <v>0</v>
      </c>
      <c r="Y121" s="175"/>
      <c r="BO121" s="23"/>
      <c r="BP121" s="23" t="s">
        <v>455</v>
      </c>
      <c r="BQ121" s="175" t="str">
        <f t="shared" si="40"/>
        <v/>
      </c>
      <c r="BR121" s="23" t="str">
        <f>IFERROR(VLOOKUP(BQ121,'LTP '!$R$4:$S$86,2,0),"")</f>
        <v/>
      </c>
      <c r="CA121" s="23">
        <f t="shared" si="37"/>
        <v>0</v>
      </c>
      <c r="CB121" s="115" t="str">
        <f t="shared" si="38"/>
        <v/>
      </c>
      <c r="CE121" s="2">
        <f t="shared" si="35"/>
        <v>1</v>
      </c>
    </row>
    <row r="122" spans="1:120" x14ac:dyDescent="0.3">
      <c r="A122" s="2" t="s">
        <v>532</v>
      </c>
      <c r="B122" s="2" t="s">
        <v>104</v>
      </c>
      <c r="D122" s="2" t="s">
        <v>534</v>
      </c>
      <c r="F122" s="105"/>
      <c r="G122" s="105"/>
      <c r="H122" s="105"/>
      <c r="I122" s="105"/>
      <c r="J122" s="105"/>
      <c r="K122" s="105"/>
      <c r="L122" s="105"/>
      <c r="M122" s="105"/>
      <c r="N122" s="105"/>
      <c r="V122" s="175"/>
      <c r="X122" s="175">
        <f t="shared" si="33"/>
        <v>0</v>
      </c>
      <c r="Y122" s="175"/>
      <c r="BO122" s="23"/>
      <c r="BP122" s="23" t="s">
        <v>455</v>
      </c>
      <c r="BQ122" s="175" t="str">
        <f t="shared" si="40"/>
        <v/>
      </c>
      <c r="BR122" s="23" t="str">
        <f>IFERROR(VLOOKUP(BQ122,'LTP '!$R$4:$S$86,2,0),"")</f>
        <v/>
      </c>
      <c r="CA122" s="23">
        <f t="shared" si="37"/>
        <v>0</v>
      </c>
      <c r="CB122" s="115" t="str">
        <f t="shared" si="38"/>
        <v/>
      </c>
      <c r="CE122" s="2">
        <f t="shared" si="35"/>
        <v>1</v>
      </c>
    </row>
    <row r="123" spans="1:120" x14ac:dyDescent="0.3">
      <c r="A123" s="2" t="s">
        <v>288</v>
      </c>
      <c r="B123" s="2" t="s">
        <v>198</v>
      </c>
      <c r="D123" s="2" t="s">
        <v>450</v>
      </c>
      <c r="E123" s="2" t="s">
        <v>290</v>
      </c>
      <c r="F123" s="105"/>
      <c r="G123" s="105"/>
      <c r="H123" s="105"/>
      <c r="I123" s="105"/>
      <c r="J123" s="105"/>
      <c r="K123" s="105"/>
      <c r="L123" s="105"/>
      <c r="M123" s="105"/>
      <c r="N123" s="105" t="s">
        <v>755</v>
      </c>
      <c r="V123" s="175"/>
      <c r="X123" s="175">
        <f t="shared" si="33"/>
        <v>0</v>
      </c>
      <c r="Y123" s="175"/>
      <c r="Z123" s="217" t="s">
        <v>750</v>
      </c>
      <c r="AA123" s="181">
        <v>0</v>
      </c>
      <c r="AB123" s="181">
        <v>0</v>
      </c>
      <c r="AC123" s="181">
        <v>0</v>
      </c>
      <c r="AD123" s="181">
        <v>0</v>
      </c>
      <c r="AE123" s="181">
        <v>0</v>
      </c>
      <c r="AF123" s="181">
        <v>0</v>
      </c>
      <c r="AG123" s="181">
        <v>0</v>
      </c>
      <c r="AH123" s="181">
        <v>0</v>
      </c>
      <c r="AI123" s="181">
        <v>0</v>
      </c>
      <c r="BO123" s="23"/>
      <c r="BP123" s="23" t="s">
        <v>455</v>
      </c>
      <c r="BQ123" s="175" t="str">
        <f t="shared" si="40"/>
        <v/>
      </c>
      <c r="BR123" s="23" t="str">
        <f>IFERROR(VLOOKUP(BQ123,'LTP '!$R$4:$S$86,2,0),"")</f>
        <v/>
      </c>
      <c r="CA123" s="23">
        <f t="shared" si="37"/>
        <v>0</v>
      </c>
      <c r="CB123" s="115" t="str">
        <f t="shared" si="38"/>
        <v/>
      </c>
      <c r="CE123" s="2">
        <f t="shared" si="35"/>
        <v>1</v>
      </c>
    </row>
    <row r="124" spans="1:120" x14ac:dyDescent="0.3">
      <c r="A124" s="2" t="s">
        <v>288</v>
      </c>
      <c r="B124" s="2" t="s">
        <v>198</v>
      </c>
      <c r="D124" s="2" t="s">
        <v>450</v>
      </c>
      <c r="E124" s="2" t="s">
        <v>292</v>
      </c>
      <c r="F124" s="105"/>
      <c r="G124" s="105"/>
      <c r="H124" s="105"/>
      <c r="I124" s="105"/>
      <c r="J124" s="105"/>
      <c r="K124" s="105"/>
      <c r="L124" s="105"/>
      <c r="M124" s="105"/>
      <c r="N124" s="105" t="s">
        <v>754</v>
      </c>
      <c r="V124" s="175"/>
      <c r="X124" s="175">
        <f t="shared" si="33"/>
        <v>0</v>
      </c>
      <c r="Y124" s="175"/>
      <c r="Z124" s="217" t="s">
        <v>751</v>
      </c>
      <c r="AA124" s="217" t="s">
        <v>752</v>
      </c>
      <c r="AB124" s="217" t="s">
        <v>753</v>
      </c>
      <c r="AC124" s="181">
        <f>VLOOKUP($E124,'LTP '!$D$4:$N$86,2+AC$11-$Z$11,0)/1000000</f>
        <v>0</v>
      </c>
      <c r="AD124" s="181">
        <f>VLOOKUP($E124,'LTP '!$D$4:$N$86,2+AD$11-$Z$11,0)/1000000</f>
        <v>0</v>
      </c>
      <c r="AE124" s="181">
        <f>VLOOKUP($E124,'LTP '!$D$4:$N$86,2+AE$11-$Z$11,0)/1000000</f>
        <v>0</v>
      </c>
      <c r="AF124" s="181">
        <f>VLOOKUP($E124,'LTP '!$D$4:$N$86,2+AF$11-$Z$11,0)/1000000</f>
        <v>0</v>
      </c>
      <c r="AG124" s="181">
        <f>VLOOKUP($E124,'LTP '!$D$4:$N$86,2+AG$11-$Z$11,0)/1000000</f>
        <v>0</v>
      </c>
      <c r="AH124" s="181">
        <f>VLOOKUP($E124,'LTP '!$D$4:$N$86,2+AH$11-$Z$11,0)/1000000</f>
        <v>0</v>
      </c>
      <c r="AI124" s="181">
        <f>VLOOKUP($E124,'LTP '!$D$4:$N$86,2+AI$11-$Z$11,0)/1000000</f>
        <v>0</v>
      </c>
      <c r="BO124" s="23"/>
      <c r="BP124" s="23" t="s">
        <v>455</v>
      </c>
      <c r="BQ124" s="175" t="str">
        <f t="shared" si="40"/>
        <v/>
      </c>
      <c r="BR124" s="23" t="str">
        <f>IFERROR(VLOOKUP(BQ124,'LTP '!$R$4:$S$86,2,0),"")</f>
        <v/>
      </c>
      <c r="CA124" s="23">
        <f t="shared" si="37"/>
        <v>0</v>
      </c>
      <c r="CB124" s="115" t="str">
        <f t="shared" si="38"/>
        <v/>
      </c>
      <c r="CE124" s="2">
        <f t="shared" si="35"/>
        <v>1</v>
      </c>
    </row>
    <row r="125" spans="1:120" x14ac:dyDescent="0.3">
      <c r="B125" s="2" t="s">
        <v>198</v>
      </c>
      <c r="D125" s="2" t="s">
        <v>805</v>
      </c>
      <c r="F125" s="105"/>
      <c r="G125" s="105"/>
      <c r="H125" s="105"/>
      <c r="I125" s="105"/>
      <c r="J125" s="105"/>
      <c r="K125" s="105"/>
      <c r="L125" s="105"/>
      <c r="M125" s="105"/>
      <c r="N125" s="105"/>
      <c r="V125" s="175"/>
      <c r="X125" s="175">
        <f t="shared" si="33"/>
        <v>0.4</v>
      </c>
      <c r="Y125" s="175"/>
      <c r="Z125" s="217"/>
      <c r="AA125" s="217">
        <v>0.05</v>
      </c>
      <c r="AB125" s="217">
        <v>0.15</v>
      </c>
      <c r="AC125" s="181">
        <v>0.2</v>
      </c>
      <c r="AD125" s="181"/>
      <c r="AE125" s="181"/>
      <c r="AF125" s="181"/>
      <c r="AG125" s="181"/>
      <c r="AH125" s="181"/>
      <c r="AI125" s="181"/>
      <c r="BO125" s="23"/>
      <c r="BP125" s="23" t="s">
        <v>451</v>
      </c>
      <c r="BQ125" s="175"/>
      <c r="BR125" s="23"/>
      <c r="CA125" s="23"/>
      <c r="CB125" s="115"/>
    </row>
    <row r="126" spans="1:120" x14ac:dyDescent="0.3">
      <c r="A126" s="2" t="s">
        <v>303</v>
      </c>
      <c r="B126" s="2" t="s">
        <v>198</v>
      </c>
      <c r="D126" s="2" t="s">
        <v>450</v>
      </c>
      <c r="E126" s="2" t="s">
        <v>304</v>
      </c>
      <c r="F126" s="105"/>
      <c r="G126" s="105"/>
      <c r="H126" s="105"/>
      <c r="I126" s="105"/>
      <c r="J126" s="105">
        <v>1</v>
      </c>
      <c r="K126" s="105"/>
      <c r="L126" s="105"/>
      <c r="M126" s="105"/>
      <c r="N126" s="105"/>
      <c r="V126" s="175"/>
      <c r="X126" s="175">
        <f t="shared" si="33"/>
        <v>5.1999219999999999</v>
      </c>
      <c r="Y126" s="175"/>
      <c r="Z126" s="181">
        <f>VLOOKUP($E126,'LTP '!$D$4:$N$86,2+Z$11-$Z$11,0)/1000000</f>
        <v>0</v>
      </c>
      <c r="AA126" s="181">
        <f>VLOOKUP($E126,'LTP '!$D$4:$N$86,2+AA$11-$Z$11,0)/1000000</f>
        <v>0</v>
      </c>
      <c r="AB126" s="181">
        <f>VLOOKUP($E126,'LTP '!$D$4:$N$86,2+AB$11-$Z$11,0)/1000000</f>
        <v>0</v>
      </c>
      <c r="AC126" s="181">
        <f>VLOOKUP($E126,'LTP '!$D$4:$N$86,2+AC$11-$Z$11,0)/1000000</f>
        <v>0</v>
      </c>
      <c r="AD126" s="181">
        <f>VLOOKUP($E126,'LTP '!$D$4:$N$86,2+AD$11-$Z$11,0)/1000000</f>
        <v>1.6878820000000001</v>
      </c>
      <c r="AE126" s="181">
        <f>VLOOKUP($E126,'LTP '!$D$4:$N$86,2+AE$11-$Z$11,0)/1000000</f>
        <v>0.51204000000000005</v>
      </c>
      <c r="AF126" s="181">
        <f>VLOOKUP($E126,'LTP '!$D$4:$N$86,2+AF$11-$Z$11,0)/1000000</f>
        <v>3</v>
      </c>
      <c r="AG126" s="181">
        <f>VLOOKUP($E126,'LTP '!$D$4:$N$86,2+AG$11-$Z$11,0)/1000000</f>
        <v>0</v>
      </c>
      <c r="AH126" s="181">
        <f>VLOOKUP($E126,'LTP '!$D$4:$N$86,2+AH$11-$Z$11,0)/1000000</f>
        <v>0</v>
      </c>
      <c r="AI126" s="181">
        <f>VLOOKUP($E126,'LTP '!$D$4:$N$86,2+AI$11-$Z$11,0)/1000000</f>
        <v>0</v>
      </c>
      <c r="BO126" s="23"/>
      <c r="BP126" s="23" t="s">
        <v>451</v>
      </c>
      <c r="BQ126" s="175" t="str">
        <f t="shared" ref="BQ126:BQ157" si="47">IF(BP126="LTP",E126,"")</f>
        <v>N.002934.03.02 - Crown Lynn Park Development</v>
      </c>
      <c r="BR126" s="23" t="str">
        <f>IFERROR(VLOOKUP(BQ126,'LTP '!$R$4:$S$86,2,0),"")</f>
        <v>PC3200916 - Play space, walkway and landscaping (Crown Lynn)</v>
      </c>
      <c r="CA126" s="23">
        <f t="shared" si="37"/>
        <v>5.1999219999999999</v>
      </c>
      <c r="CB126" s="115" t="str">
        <f t="shared" si="38"/>
        <v/>
      </c>
      <c r="CE126" s="2">
        <f t="shared" ref="CE126:CE157" si="48">COUNTIF($B$291:$B$319,B126)</f>
        <v>1</v>
      </c>
    </row>
    <row r="127" spans="1:120" x14ac:dyDescent="0.3">
      <c r="A127" s="2" t="s">
        <v>322</v>
      </c>
      <c r="B127" s="2" t="s">
        <v>198</v>
      </c>
      <c r="D127" s="2" t="s">
        <v>450</v>
      </c>
      <c r="E127" s="2" t="s">
        <v>355</v>
      </c>
      <c r="F127" s="105"/>
      <c r="G127" s="105"/>
      <c r="H127" s="105"/>
      <c r="I127" s="105"/>
      <c r="J127" s="105">
        <v>1</v>
      </c>
      <c r="K127" s="105"/>
      <c r="L127" s="105"/>
      <c r="M127" s="105"/>
      <c r="N127" s="105"/>
      <c r="V127" s="175"/>
      <c r="X127" s="175">
        <f t="shared" si="33"/>
        <v>0.28659800000000002</v>
      </c>
      <c r="Y127" s="175"/>
      <c r="Z127" s="181">
        <v>0.28659800000000002</v>
      </c>
      <c r="AA127" s="181">
        <f>VLOOKUP($E127,'LTP '!$D$4:$N$86,2+AA$11-$Z$11,0)/1000000</f>
        <v>0</v>
      </c>
      <c r="AB127" s="181">
        <f>VLOOKUP($E127,'LTP '!$D$4:$N$86,2+AB$11-$Z$11,0)/1000000</f>
        <v>0</v>
      </c>
      <c r="AC127" s="181">
        <f>VLOOKUP($E127,'LTP '!$D$4:$N$86,2+AC$11-$Z$11,0)/1000000</f>
        <v>0</v>
      </c>
      <c r="AD127" s="181">
        <f>VLOOKUP($E127,'LTP '!$D$4:$N$86,2+AD$11-$Z$11,0)/1000000</f>
        <v>0</v>
      </c>
      <c r="AE127" s="181">
        <f>VLOOKUP($E127,'LTP '!$D$4:$N$86,2+AE$11-$Z$11,0)/1000000</f>
        <v>0</v>
      </c>
      <c r="AF127" s="181">
        <f>VLOOKUP($E127,'LTP '!$D$4:$N$86,2+AF$11-$Z$11,0)/1000000</f>
        <v>0</v>
      </c>
      <c r="AG127" s="181">
        <f>VLOOKUP($E127,'LTP '!$D$4:$N$86,2+AG$11-$Z$11,0)/1000000</f>
        <v>0</v>
      </c>
      <c r="AH127" s="181">
        <f>VLOOKUP($E127,'LTP '!$D$4:$N$86,2+AH$11-$Z$11,0)/1000000</f>
        <v>0</v>
      </c>
      <c r="AI127" s="181">
        <f>VLOOKUP($E127,'LTP '!$D$4:$N$86,2+AI$11-$Z$11,0)/1000000</f>
        <v>0</v>
      </c>
      <c r="BO127" s="23"/>
      <c r="BP127" s="23" t="s">
        <v>451</v>
      </c>
      <c r="BQ127" s="175" t="str">
        <f t="shared" si="47"/>
        <v>N.009960.19.02 - Koroi /Clayburn Res-dev neighbourhood pk</v>
      </c>
      <c r="BR127" s="23" t="str">
        <f>IFERROR(VLOOKUP(BQ127,'LTP '!$R$4:$S$86,2,0),"")</f>
        <v>PC3201501 - General park development</v>
      </c>
      <c r="CA127" s="23">
        <f t="shared" si="37"/>
        <v>0.28659800000000002</v>
      </c>
      <c r="CB127" s="115" t="str">
        <f t="shared" si="38"/>
        <v/>
      </c>
      <c r="CE127" s="2">
        <f t="shared" si="48"/>
        <v>1</v>
      </c>
    </row>
    <row r="128" spans="1:120" x14ac:dyDescent="0.3">
      <c r="A128" s="2" t="s">
        <v>322</v>
      </c>
      <c r="B128" s="2" t="s">
        <v>199</v>
      </c>
      <c r="D128" s="2" t="s">
        <v>535</v>
      </c>
      <c r="E128" s="2" t="s">
        <v>346</v>
      </c>
      <c r="F128" s="105"/>
      <c r="G128" s="105"/>
      <c r="H128" s="105"/>
      <c r="I128" s="105"/>
      <c r="J128" s="105">
        <v>1</v>
      </c>
      <c r="K128" s="105"/>
      <c r="L128" s="105"/>
      <c r="M128" s="105"/>
      <c r="N128" s="105"/>
      <c r="V128" s="175"/>
      <c r="X128" s="175">
        <f t="shared" ref="X128:X184" si="49">SUM(Z128:AI128)</f>
        <v>0.89999999999999991</v>
      </c>
      <c r="Y128" s="175"/>
      <c r="Z128" s="181">
        <v>0.1</v>
      </c>
      <c r="AA128" s="181">
        <v>0.35</v>
      </c>
      <c r="AB128" s="181">
        <v>0.45</v>
      </c>
      <c r="AC128" s="181">
        <f>VLOOKUP($E128,'LTP '!$D$4:$N$86,2+AC$11-$Z$11,0)/1000000</f>
        <v>0</v>
      </c>
      <c r="AD128" s="181">
        <f>VLOOKUP($E128,'LTP '!$D$4:$N$86,2+AD$11-$Z$11,0)/1000000</f>
        <v>0</v>
      </c>
      <c r="AE128" s="181">
        <f>VLOOKUP($E128,'LTP '!$D$4:$N$86,2+AE$11-$Z$11,0)/1000000</f>
        <v>0</v>
      </c>
      <c r="AF128" s="181">
        <f>VLOOKUP($E128,'LTP '!$D$4:$N$86,2+AF$11-$Z$11,0)/1000000</f>
        <v>0</v>
      </c>
      <c r="AG128" s="181">
        <f>VLOOKUP($E128,'LTP '!$D$4:$N$86,2+AG$11-$Z$11,0)/1000000</f>
        <v>0</v>
      </c>
      <c r="AH128" s="181">
        <f>VLOOKUP($E128,'LTP '!$D$4:$N$86,2+AH$11-$Z$11,0)/1000000</f>
        <v>0</v>
      </c>
      <c r="AI128" s="181">
        <f>VLOOKUP($E128,'LTP '!$D$4:$N$86,2+AI$11-$Z$11,0)/1000000</f>
        <v>0</v>
      </c>
      <c r="BO128" s="23"/>
      <c r="BP128" s="23" t="s">
        <v>451</v>
      </c>
      <c r="BQ128" s="175" t="str">
        <f t="shared" si="47"/>
        <v>N.009960.15.02 - Turner Res - develop toilet facilities</v>
      </c>
      <c r="BR128" s="23" t="str">
        <f>IFERROR(VLOOKUP(BQ128,'LTP '!$R$4:$S$86,2,0),"")</f>
        <v>PC3201501 - General park development</v>
      </c>
      <c r="CA128" s="23">
        <f t="shared" si="37"/>
        <v>0.89999999999999991</v>
      </c>
      <c r="CB128" s="115" t="str">
        <f t="shared" si="38"/>
        <v/>
      </c>
      <c r="CE128" s="2">
        <f t="shared" si="48"/>
        <v>1</v>
      </c>
    </row>
    <row r="129" spans="1:83" x14ac:dyDescent="0.3">
      <c r="A129" s="2" t="s">
        <v>497</v>
      </c>
      <c r="B129" s="2" t="s">
        <v>199</v>
      </c>
      <c r="D129" s="2" t="s">
        <v>536</v>
      </c>
      <c r="E129" s="189" t="s">
        <v>798</v>
      </c>
      <c r="F129" s="105"/>
      <c r="G129" s="105"/>
      <c r="H129" s="105"/>
      <c r="I129" s="105"/>
      <c r="J129" s="105">
        <v>1</v>
      </c>
      <c r="K129" s="105"/>
      <c r="L129" s="105"/>
      <c r="M129" s="105"/>
      <c r="N129" s="105" t="s">
        <v>756</v>
      </c>
      <c r="V129" s="190">
        <v>3377</v>
      </c>
      <c r="X129" s="175">
        <f t="shared" si="49"/>
        <v>1.8</v>
      </c>
      <c r="Y129" s="23"/>
      <c r="Z129" s="2">
        <v>0.05</v>
      </c>
      <c r="AA129" s="2">
        <v>0.8</v>
      </c>
      <c r="AB129" s="2">
        <v>0.95</v>
      </c>
      <c r="AC129" s="23"/>
      <c r="AD129" s="23"/>
      <c r="AE129" s="23"/>
      <c r="AF129" s="23"/>
      <c r="BO129" s="23"/>
      <c r="BP129" s="23" t="s">
        <v>451</v>
      </c>
      <c r="BQ129" s="175" t="str">
        <f t="shared" si="47"/>
        <v>GF, RWP</v>
      </c>
      <c r="BR129" s="23" t="str">
        <f>IFERROR(VLOOKUP(BQ129,'LTP '!$R$4:$S$86,2,0),"")</f>
        <v/>
      </c>
      <c r="CA129" s="23">
        <f t="shared" si="37"/>
        <v>1.8</v>
      </c>
      <c r="CB129" s="115" t="str">
        <f t="shared" si="38"/>
        <v/>
      </c>
      <c r="CE129" s="2">
        <f t="shared" si="48"/>
        <v>1</v>
      </c>
    </row>
    <row r="130" spans="1:83" x14ac:dyDescent="0.3">
      <c r="A130" s="2" t="s">
        <v>497</v>
      </c>
      <c r="B130" s="2" t="s">
        <v>199</v>
      </c>
      <c r="D130" s="2" t="s">
        <v>537</v>
      </c>
      <c r="E130" s="191" t="s">
        <v>499</v>
      </c>
      <c r="F130" s="105"/>
      <c r="G130" s="105"/>
      <c r="H130" s="105"/>
      <c r="I130" s="105"/>
      <c r="J130" s="105">
        <v>1</v>
      </c>
      <c r="K130" s="105"/>
      <c r="L130" s="105"/>
      <c r="M130" s="105"/>
      <c r="N130" s="105" t="s">
        <v>756</v>
      </c>
      <c r="V130" s="175"/>
      <c r="X130" s="175">
        <f t="shared" si="49"/>
        <v>0.54697990930725682</v>
      </c>
      <c r="Y130" s="25">
        <v>0.45454545454545453</v>
      </c>
      <c r="AE130" s="23">
        <f>$Y130*'Cost inputs'!K$10</f>
        <v>0.54697990930725682</v>
      </c>
      <c r="BO130" s="23"/>
      <c r="BP130" s="23" t="s">
        <v>449</v>
      </c>
      <c r="BQ130" s="175" t="str">
        <f t="shared" si="47"/>
        <v/>
      </c>
      <c r="BR130" s="23" t="str">
        <f>IFERROR(VLOOKUP(BQ130,'LTP '!$R$4:$S$86,2,0),"")</f>
        <v/>
      </c>
      <c r="CA130" s="23">
        <f t="shared" si="37"/>
        <v>0.54697990930725682</v>
      </c>
      <c r="CB130" s="115" t="e">
        <f t="shared" si="38"/>
        <v>#DIV/0!</v>
      </c>
      <c r="CE130" s="2">
        <f t="shared" si="48"/>
        <v>1</v>
      </c>
    </row>
    <row r="131" spans="1:83" x14ac:dyDescent="0.3">
      <c r="A131" s="2" t="s">
        <v>538</v>
      </c>
      <c r="B131" s="2" t="s">
        <v>199</v>
      </c>
      <c r="C131" s="86" t="s">
        <v>539</v>
      </c>
      <c r="D131" s="192" t="s">
        <v>540</v>
      </c>
      <c r="E131" s="192"/>
      <c r="F131" s="105"/>
      <c r="G131" s="105"/>
      <c r="H131" s="105"/>
      <c r="I131" s="105"/>
      <c r="J131" s="105"/>
      <c r="K131" s="105"/>
      <c r="L131" s="105"/>
      <c r="M131" s="105"/>
      <c r="N131" s="105"/>
      <c r="V131" s="175"/>
      <c r="X131" s="175">
        <f t="shared" si="49"/>
        <v>0</v>
      </c>
      <c r="Y131" s="175"/>
      <c r="BO131" s="23"/>
      <c r="BP131" s="23" t="s">
        <v>455</v>
      </c>
      <c r="BQ131" s="175" t="str">
        <f t="shared" si="47"/>
        <v/>
      </c>
      <c r="BR131" s="23" t="str">
        <f>IFERROR(VLOOKUP(BQ131,'LTP '!$R$4:$S$86,2,0),"")</f>
        <v/>
      </c>
      <c r="CA131" s="23">
        <f t="shared" si="37"/>
        <v>0</v>
      </c>
      <c r="CB131" s="115" t="str">
        <f t="shared" si="38"/>
        <v/>
      </c>
      <c r="CE131" s="2">
        <f t="shared" si="48"/>
        <v>1</v>
      </c>
    </row>
    <row r="132" spans="1:83" x14ac:dyDescent="0.3">
      <c r="A132" s="2" t="s">
        <v>497</v>
      </c>
      <c r="B132" s="2" t="s">
        <v>199</v>
      </c>
      <c r="D132" s="2" t="s">
        <v>541</v>
      </c>
      <c r="E132" s="189">
        <v>46934</v>
      </c>
      <c r="F132" s="105"/>
      <c r="G132" s="105"/>
      <c r="H132" s="105"/>
      <c r="I132" s="105"/>
      <c r="J132" s="105">
        <v>1</v>
      </c>
      <c r="K132" s="105"/>
      <c r="L132" s="105"/>
      <c r="M132" s="105"/>
      <c r="N132" s="105" t="s">
        <v>756</v>
      </c>
      <c r="V132" s="175"/>
      <c r="X132" s="175">
        <f t="shared" si="49"/>
        <v>0.24108885384411852</v>
      </c>
      <c r="Y132" s="25">
        <v>0.20034710743801651</v>
      </c>
      <c r="AE132" s="23">
        <f>$Y132*'Cost inputs'!K$10</f>
        <v>0.24108885384411852</v>
      </c>
      <c r="BO132" s="23"/>
      <c r="BP132" s="23" t="s">
        <v>449</v>
      </c>
      <c r="BQ132" s="175" t="str">
        <f t="shared" si="47"/>
        <v/>
      </c>
      <c r="BR132" s="23" t="str">
        <f>IFERROR(VLOOKUP(BQ132,'LTP '!$R$4:$S$86,2,0),"")</f>
        <v/>
      </c>
      <c r="CA132" s="23">
        <f t="shared" si="37"/>
        <v>0.24108885384411852</v>
      </c>
      <c r="CB132" s="115" t="e">
        <f t="shared" si="38"/>
        <v>#DIV/0!</v>
      </c>
      <c r="CE132" s="2">
        <f t="shared" si="48"/>
        <v>1</v>
      </c>
    </row>
    <row r="133" spans="1:83" x14ac:dyDescent="0.3">
      <c r="A133" s="2" t="s">
        <v>542</v>
      </c>
      <c r="B133" s="2" t="s">
        <v>199</v>
      </c>
      <c r="C133" s="86" t="s">
        <v>543</v>
      </c>
      <c r="D133" s="192" t="s">
        <v>544</v>
      </c>
      <c r="E133" s="192"/>
      <c r="F133" s="105"/>
      <c r="G133" s="105"/>
      <c r="H133" s="105"/>
      <c r="I133" s="105"/>
      <c r="J133" s="105"/>
      <c r="K133" s="105"/>
      <c r="L133" s="105"/>
      <c r="M133" s="105"/>
      <c r="N133" s="105"/>
      <c r="V133" s="175"/>
      <c r="X133" s="175">
        <f t="shared" si="49"/>
        <v>0</v>
      </c>
      <c r="Y133" s="175"/>
      <c r="BO133" s="23"/>
      <c r="BP133" s="23" t="s">
        <v>455</v>
      </c>
      <c r="BQ133" s="175" t="str">
        <f t="shared" si="47"/>
        <v/>
      </c>
      <c r="BR133" s="23" t="str">
        <f>IFERROR(VLOOKUP(BQ133,'LTP '!$R$4:$S$86,2,0),"")</f>
        <v/>
      </c>
      <c r="CA133" s="23">
        <f t="shared" si="37"/>
        <v>0</v>
      </c>
      <c r="CB133" s="115" t="str">
        <f t="shared" si="38"/>
        <v/>
      </c>
      <c r="CE133" s="2">
        <f t="shared" si="48"/>
        <v>1</v>
      </c>
    </row>
    <row r="134" spans="1:83" x14ac:dyDescent="0.3">
      <c r="A134" s="2" t="s">
        <v>497</v>
      </c>
      <c r="B134" s="2" t="s">
        <v>199</v>
      </c>
      <c r="D134" s="2" t="s">
        <v>545</v>
      </c>
      <c r="E134" s="189">
        <v>49125</v>
      </c>
      <c r="F134" s="105"/>
      <c r="G134" s="105"/>
      <c r="H134" s="105"/>
      <c r="I134" s="105"/>
      <c r="J134" s="105">
        <v>1</v>
      </c>
      <c r="K134" s="105"/>
      <c r="L134" s="105"/>
      <c r="M134" s="105"/>
      <c r="N134" s="105" t="s">
        <v>756</v>
      </c>
      <c r="V134" s="175"/>
      <c r="X134" s="175">
        <f t="shared" si="49"/>
        <v>0.74588169450989561</v>
      </c>
      <c r="Y134" s="25">
        <v>0.61983471074380159</v>
      </c>
      <c r="AE134" s="23">
        <f>$Y134*'Cost inputs'!K$10</f>
        <v>0.74588169450989561</v>
      </c>
      <c r="BO134" s="23"/>
      <c r="BP134" s="23" t="s">
        <v>449</v>
      </c>
      <c r="BQ134" s="175" t="str">
        <f t="shared" si="47"/>
        <v/>
      </c>
      <c r="BR134" s="23" t="str">
        <f>IFERROR(VLOOKUP(BQ134,'LTP '!$R$4:$S$86,2,0),"")</f>
        <v/>
      </c>
      <c r="CA134" s="23">
        <f t="shared" si="37"/>
        <v>0.74588169450989561</v>
      </c>
      <c r="CB134" s="115" t="e">
        <f t="shared" si="38"/>
        <v>#DIV/0!</v>
      </c>
      <c r="CE134" s="2">
        <f t="shared" si="48"/>
        <v>1</v>
      </c>
    </row>
    <row r="135" spans="1:83" x14ac:dyDescent="0.3">
      <c r="A135" s="2" t="s">
        <v>497</v>
      </c>
      <c r="B135" s="2" t="s">
        <v>199</v>
      </c>
      <c r="D135" s="2" t="s">
        <v>546</v>
      </c>
      <c r="E135" s="189">
        <v>45838</v>
      </c>
      <c r="F135" s="105"/>
      <c r="G135" s="105"/>
      <c r="H135" s="105"/>
      <c r="I135" s="105"/>
      <c r="J135" s="105">
        <v>1</v>
      </c>
      <c r="K135" s="105"/>
      <c r="L135" s="105"/>
      <c r="M135" s="105"/>
      <c r="N135" s="105" t="s">
        <v>756</v>
      </c>
      <c r="V135" s="175"/>
      <c r="X135" s="175">
        <f t="shared" si="49"/>
        <v>0.72968512214084469</v>
      </c>
      <c r="Y135" s="25">
        <v>0.60637520661157018</v>
      </c>
      <c r="AE135" s="23">
        <f>$Y135*'Cost inputs'!K$10</f>
        <v>0.72968512214084469</v>
      </c>
      <c r="BO135" s="23"/>
      <c r="BP135" s="23" t="s">
        <v>449</v>
      </c>
      <c r="BQ135" s="175" t="str">
        <f t="shared" si="47"/>
        <v/>
      </c>
      <c r="BR135" s="23" t="str">
        <f>IFERROR(VLOOKUP(BQ135,'LTP '!$R$4:$S$86,2,0),"")</f>
        <v/>
      </c>
      <c r="CA135" s="23">
        <f t="shared" si="37"/>
        <v>0.72968512214084469</v>
      </c>
      <c r="CB135" s="115" t="e">
        <f t="shared" si="38"/>
        <v>#DIV/0!</v>
      </c>
      <c r="CE135" s="2">
        <f t="shared" si="48"/>
        <v>1</v>
      </c>
    </row>
    <row r="136" spans="1:83" x14ac:dyDescent="0.3">
      <c r="A136" s="2" t="s">
        <v>547</v>
      </c>
      <c r="B136" s="2" t="s">
        <v>199</v>
      </c>
      <c r="C136" s="86" t="s">
        <v>539</v>
      </c>
      <c r="D136" s="192" t="s">
        <v>548</v>
      </c>
      <c r="E136" s="192"/>
      <c r="F136" s="105"/>
      <c r="G136" s="105"/>
      <c r="H136" s="105"/>
      <c r="I136" s="105"/>
      <c r="J136" s="105"/>
      <c r="K136" s="105"/>
      <c r="L136" s="105"/>
      <c r="M136" s="105"/>
      <c r="N136" s="105"/>
      <c r="V136" s="175"/>
      <c r="X136" s="175">
        <f t="shared" si="49"/>
        <v>0</v>
      </c>
      <c r="Y136" s="175"/>
      <c r="BO136" s="23"/>
      <c r="BP136" s="23" t="s">
        <v>455</v>
      </c>
      <c r="BQ136" s="175" t="str">
        <f t="shared" si="47"/>
        <v/>
      </c>
      <c r="BR136" s="23" t="str">
        <f>IFERROR(VLOOKUP(BQ136,'LTP '!$R$4:$S$86,2,0),"")</f>
        <v/>
      </c>
      <c r="CA136" s="23">
        <f t="shared" si="37"/>
        <v>0</v>
      </c>
      <c r="CB136" s="115" t="str">
        <f t="shared" si="38"/>
        <v/>
      </c>
      <c r="CE136" s="2">
        <f t="shared" si="48"/>
        <v>1</v>
      </c>
    </row>
    <row r="137" spans="1:83" x14ac:dyDescent="0.3">
      <c r="A137" s="2" t="s">
        <v>854</v>
      </c>
      <c r="B137" s="2" t="s">
        <v>199</v>
      </c>
      <c r="D137" s="2" t="s">
        <v>549</v>
      </c>
      <c r="E137" s="189">
        <v>47299</v>
      </c>
      <c r="F137" s="105"/>
      <c r="G137" s="105"/>
      <c r="H137" s="105"/>
      <c r="I137" s="105"/>
      <c r="J137" s="105"/>
      <c r="K137" s="105"/>
      <c r="L137" s="105"/>
      <c r="M137" s="105"/>
      <c r="N137" s="105" t="s">
        <v>905</v>
      </c>
      <c r="V137" s="175"/>
      <c r="X137" s="175">
        <f t="shared" si="49"/>
        <v>0</v>
      </c>
      <c r="Y137" s="25"/>
      <c r="AD137" s="23"/>
      <c r="AE137" s="218"/>
      <c r="AF137" s="218"/>
      <c r="BO137" s="23"/>
      <c r="BP137" s="23" t="s">
        <v>449</v>
      </c>
      <c r="BQ137" s="175" t="str">
        <f t="shared" si="47"/>
        <v/>
      </c>
      <c r="BR137" s="23" t="str">
        <f>IFERROR(VLOOKUP(BQ137,'LTP '!$R$4:$S$86,2,0),"")</f>
        <v/>
      </c>
      <c r="CA137" s="23">
        <f t="shared" si="37"/>
        <v>0</v>
      </c>
      <c r="CB137" s="115" t="str">
        <f t="shared" si="38"/>
        <v/>
      </c>
      <c r="CE137" s="2">
        <f t="shared" si="48"/>
        <v>1</v>
      </c>
    </row>
    <row r="138" spans="1:83" x14ac:dyDescent="0.3">
      <c r="A138" s="2" t="s">
        <v>550</v>
      </c>
      <c r="B138" s="2" t="s">
        <v>199</v>
      </c>
      <c r="C138" s="86" t="s">
        <v>551</v>
      </c>
      <c r="D138" s="192" t="s">
        <v>552</v>
      </c>
      <c r="E138" s="192"/>
      <c r="F138" s="105"/>
      <c r="G138" s="105"/>
      <c r="H138" s="105"/>
      <c r="I138" s="105"/>
      <c r="J138" s="105"/>
      <c r="K138" s="105"/>
      <c r="L138" s="105"/>
      <c r="M138" s="105"/>
      <c r="N138" s="105"/>
      <c r="V138" s="175"/>
      <c r="X138" s="175">
        <f t="shared" si="49"/>
        <v>0</v>
      </c>
      <c r="Y138" s="175"/>
      <c r="BO138" s="23"/>
      <c r="BP138" s="23" t="s">
        <v>455</v>
      </c>
      <c r="BQ138" s="175" t="str">
        <f t="shared" si="47"/>
        <v/>
      </c>
      <c r="BR138" s="23" t="str">
        <f>IFERROR(VLOOKUP(BQ138,'LTP '!$R$4:$S$86,2,0),"")</f>
        <v/>
      </c>
      <c r="CA138" s="23">
        <f t="shared" si="37"/>
        <v>0</v>
      </c>
      <c r="CB138" s="115" t="str">
        <f t="shared" si="38"/>
        <v/>
      </c>
      <c r="CE138" s="2">
        <f t="shared" si="48"/>
        <v>1</v>
      </c>
    </row>
    <row r="139" spans="1:83" x14ac:dyDescent="0.3">
      <c r="A139" s="2" t="s">
        <v>497</v>
      </c>
      <c r="B139" s="2" t="s">
        <v>199</v>
      </c>
      <c r="D139" s="2" t="s">
        <v>553</v>
      </c>
      <c r="E139" s="189">
        <v>46568</v>
      </c>
      <c r="F139" s="105"/>
      <c r="G139" s="105"/>
      <c r="H139" s="105"/>
      <c r="I139" s="105"/>
      <c r="J139" s="105">
        <v>1</v>
      </c>
      <c r="K139" s="105"/>
      <c r="L139" s="105"/>
      <c r="M139" s="105"/>
      <c r="N139" s="105" t="s">
        <v>756</v>
      </c>
      <c r="V139" s="175"/>
      <c r="X139" s="175">
        <f t="shared" si="49"/>
        <v>1.5380080540794048</v>
      </c>
      <c r="Y139" s="25">
        <v>1.2396694214876032</v>
      </c>
      <c r="AE139" s="23"/>
      <c r="AF139" s="23">
        <f>$Y139*'Cost inputs'!L$10</f>
        <v>1.5380080540794048</v>
      </c>
      <c r="BO139" s="23"/>
      <c r="BP139" s="23" t="s">
        <v>449</v>
      </c>
      <c r="BQ139" s="175" t="str">
        <f t="shared" si="47"/>
        <v/>
      </c>
      <c r="BR139" s="23" t="str">
        <f>IFERROR(VLOOKUP(BQ139,'LTP '!$R$4:$S$86,2,0),"")</f>
        <v/>
      </c>
      <c r="CA139" s="23">
        <f t="shared" si="37"/>
        <v>1.5380080540794048</v>
      </c>
      <c r="CB139" s="115" t="e">
        <f t="shared" si="38"/>
        <v>#DIV/0!</v>
      </c>
      <c r="CE139" s="2">
        <f t="shared" si="48"/>
        <v>1</v>
      </c>
    </row>
    <row r="140" spans="1:83" x14ac:dyDescent="0.3">
      <c r="A140" s="2" t="s">
        <v>554</v>
      </c>
      <c r="B140" s="2" t="s">
        <v>199</v>
      </c>
      <c r="D140" s="177" t="s">
        <v>555</v>
      </c>
      <c r="E140" s="177" t="s">
        <v>556</v>
      </c>
      <c r="F140" s="178">
        <v>1.3</v>
      </c>
      <c r="G140" s="178"/>
      <c r="H140" s="178"/>
      <c r="I140" s="178"/>
      <c r="J140" s="178">
        <v>1.3</v>
      </c>
      <c r="K140" s="178"/>
      <c r="L140" s="178"/>
      <c r="M140" s="178"/>
      <c r="N140" s="178" t="s">
        <v>756</v>
      </c>
      <c r="O140" s="177"/>
      <c r="P140" s="177"/>
      <c r="Q140" s="177">
        <v>1999</v>
      </c>
      <c r="R140" s="177">
        <v>2028</v>
      </c>
      <c r="S140" s="177" t="s">
        <v>881</v>
      </c>
      <c r="T140" s="177">
        <v>2028</v>
      </c>
      <c r="U140" s="177" cm="1">
        <f t="array" ref="U140">INDEX($Z$11:$BN$11,MATCH(TRUE,INDEX(Z140:BN140&lt;&gt;0,),0))</f>
        <v>2030</v>
      </c>
      <c r="V140" s="179">
        <f>SUMPRODUCT(J140:M140,$J$8:$M$8)</f>
        <v>5200</v>
      </c>
      <c r="W140" s="177"/>
      <c r="X140" s="187">
        <f t="shared" si="49"/>
        <v>4.4567478089066439</v>
      </c>
      <c r="Y140" s="180">
        <f>$V140*'Cost inputs'!$B$60/1000000</f>
        <v>3.6030736358190087</v>
      </c>
      <c r="Z140" s="177"/>
      <c r="AA140" s="177"/>
      <c r="AB140" s="177"/>
      <c r="AC140" s="177"/>
      <c r="AD140" s="177"/>
      <c r="AE140" s="180">
        <f>0.1*$Y140*'Cost inputs'!K$10</f>
        <v>0.43357795592048293</v>
      </c>
      <c r="AF140" s="180">
        <f>0.9*$Y140*'Cost inputs'!L$10</f>
        <v>4.023169852986161</v>
      </c>
      <c r="AG140" s="177"/>
      <c r="AH140" s="177"/>
      <c r="AI140" s="177"/>
      <c r="AJ140" s="177"/>
      <c r="AK140" s="177"/>
      <c r="AL140" s="177"/>
      <c r="AM140" s="177"/>
      <c r="AN140" s="177"/>
      <c r="AO140" s="177"/>
      <c r="AP140" s="177"/>
      <c r="AQ140" s="177"/>
      <c r="AR140" s="177"/>
      <c r="AS140" s="177"/>
      <c r="AT140" s="177"/>
      <c r="AU140" s="177"/>
      <c r="AV140" s="177"/>
      <c r="AW140" s="177"/>
      <c r="AX140" s="177"/>
      <c r="AY140" s="177"/>
      <c r="AZ140" s="177"/>
      <c r="BA140" s="177"/>
      <c r="BB140" s="177"/>
      <c r="BC140" s="177"/>
      <c r="BD140" s="177"/>
      <c r="BE140" s="177"/>
      <c r="BF140" s="177"/>
      <c r="BG140" s="177"/>
      <c r="BH140" s="177"/>
      <c r="BI140" s="177"/>
      <c r="BJ140" s="177"/>
      <c r="BO140" s="23"/>
      <c r="BP140" s="23" t="s">
        <v>449</v>
      </c>
      <c r="BQ140" s="175" t="str">
        <f t="shared" si="47"/>
        <v/>
      </c>
      <c r="BR140" s="23" t="str">
        <f>IFERROR(VLOOKUP(BQ140,'LTP '!$R$4:$S$86,2,0),"")</f>
        <v/>
      </c>
      <c r="CA140" s="23">
        <f t="shared" si="37"/>
        <v>4.4567478089066439</v>
      </c>
      <c r="CB140" s="115">
        <f t="shared" si="38"/>
        <v>857.06688632820078</v>
      </c>
      <c r="CE140" s="2">
        <f t="shared" si="48"/>
        <v>1</v>
      </c>
    </row>
    <row r="141" spans="1:83" x14ac:dyDescent="0.3">
      <c r="A141" s="2" t="s">
        <v>557</v>
      </c>
      <c r="C141" s="86" t="s">
        <v>543</v>
      </c>
      <c r="D141" s="192" t="s">
        <v>558</v>
      </c>
      <c r="E141" s="192"/>
      <c r="F141" s="105"/>
      <c r="G141" s="105"/>
      <c r="H141" s="105"/>
      <c r="I141" s="105"/>
      <c r="J141" s="105"/>
      <c r="K141" s="105"/>
      <c r="L141" s="105"/>
      <c r="M141" s="105"/>
      <c r="N141" s="105"/>
      <c r="V141" s="175"/>
      <c r="X141" s="175">
        <f t="shared" si="49"/>
        <v>0</v>
      </c>
      <c r="Y141" s="175"/>
      <c r="BO141" s="23"/>
      <c r="BP141" s="23" t="s">
        <v>455</v>
      </c>
      <c r="BQ141" s="175" t="str">
        <f t="shared" si="47"/>
        <v/>
      </c>
      <c r="BR141" s="23" t="str">
        <f>IFERROR(VLOOKUP(BQ141,'LTP '!$R$4:$S$86,2,0),"")</f>
        <v/>
      </c>
      <c r="CA141" s="23">
        <f t="shared" si="37"/>
        <v>0</v>
      </c>
      <c r="CB141" s="115" t="str">
        <f t="shared" si="38"/>
        <v/>
      </c>
      <c r="CE141" s="2">
        <f t="shared" si="48"/>
        <v>0</v>
      </c>
    </row>
    <row r="142" spans="1:83" x14ac:dyDescent="0.3">
      <c r="A142" s="2" t="s">
        <v>559</v>
      </c>
      <c r="C142" s="86" t="s">
        <v>543</v>
      </c>
      <c r="D142" s="192" t="s">
        <v>560</v>
      </c>
      <c r="E142" s="192"/>
      <c r="F142" s="105"/>
      <c r="G142" s="105"/>
      <c r="H142" s="105"/>
      <c r="I142" s="105"/>
      <c r="J142" s="105"/>
      <c r="K142" s="105"/>
      <c r="L142" s="105"/>
      <c r="M142" s="105"/>
      <c r="N142" s="105"/>
      <c r="V142" s="175"/>
      <c r="X142" s="175">
        <f t="shared" si="49"/>
        <v>0</v>
      </c>
      <c r="Y142" s="175"/>
      <c r="BO142" s="23"/>
      <c r="BP142" s="23" t="s">
        <v>455</v>
      </c>
      <c r="BQ142" s="175" t="str">
        <f t="shared" si="47"/>
        <v/>
      </c>
      <c r="BR142" s="23" t="str">
        <f>IFERROR(VLOOKUP(BQ142,'LTP '!$R$4:$S$86,2,0),"")</f>
        <v/>
      </c>
      <c r="CA142" s="23">
        <f t="shared" si="37"/>
        <v>0</v>
      </c>
      <c r="CB142" s="115" t="str">
        <f t="shared" si="38"/>
        <v/>
      </c>
      <c r="CE142" s="2">
        <f t="shared" si="48"/>
        <v>0</v>
      </c>
    </row>
    <row r="143" spans="1:83" x14ac:dyDescent="0.3">
      <c r="A143" s="2" t="s">
        <v>497</v>
      </c>
      <c r="B143" s="2" t="s">
        <v>116</v>
      </c>
      <c r="D143" s="192" t="s">
        <v>561</v>
      </c>
      <c r="E143" s="192" t="s">
        <v>339</v>
      </c>
      <c r="F143" s="192"/>
      <c r="G143" s="105"/>
      <c r="H143" s="105"/>
      <c r="I143" s="105"/>
      <c r="J143" s="105">
        <v>1</v>
      </c>
      <c r="K143" s="105"/>
      <c r="L143" s="105"/>
      <c r="M143" s="105"/>
      <c r="N143" s="105"/>
      <c r="V143" s="175"/>
      <c r="X143" s="175">
        <f t="shared" si="49"/>
        <v>7.2</v>
      </c>
      <c r="Y143" s="25"/>
      <c r="Z143" s="181">
        <f>VLOOKUP($E143,'LTP '!$D$4:$N$86,2+Z$11-$Z$11,0)/1000000</f>
        <v>0</v>
      </c>
      <c r="AA143" s="181">
        <f>VLOOKUP($E143,'LTP '!$D$4:$N$86,2+AA$11-$Z$11,0)/1000000</f>
        <v>0.2</v>
      </c>
      <c r="AB143" s="181">
        <f>VLOOKUP($E143,'LTP '!$D$4:$N$86,2+AB$11-$Z$11,0)/1000000</f>
        <v>0.8</v>
      </c>
      <c r="AC143" s="181">
        <f>VLOOKUP($E143,'LTP '!$D$4:$N$86,2+AC$11-$Z$11,0)/1000000</f>
        <v>1</v>
      </c>
      <c r="AD143" s="181">
        <f>VLOOKUP($E143,'LTP '!$D$4:$N$86,2+AD$11-$Z$11,0)/1000000</f>
        <v>2.5</v>
      </c>
      <c r="AE143" s="181">
        <f>VLOOKUP($E143,'LTP '!$D$4:$N$86,2+AE$11-$Z$11,0)/1000000</f>
        <v>2.7</v>
      </c>
      <c r="AF143" s="181">
        <f>VLOOKUP($E143,'LTP '!$D$4:$N$86,2+AF$11-$Z$11,0)/1000000</f>
        <v>0</v>
      </c>
      <c r="AG143" s="181">
        <f>VLOOKUP($E143,'LTP '!$D$4:$N$86,2+AG$11-$Z$11,0)/1000000</f>
        <v>0</v>
      </c>
      <c r="BO143" s="23"/>
      <c r="BP143" s="23" t="s">
        <v>451</v>
      </c>
      <c r="BQ143" s="175" t="str">
        <f t="shared" si="47"/>
        <v>N.009960.11.10 - Maybury Res West-develop destination prk</v>
      </c>
      <c r="BR143" s="23" t="str">
        <f>IFERROR(VLOOKUP(BQ143,'LTP '!$R$4:$S$86,2,0),"")</f>
        <v>PC3201501 - General park development</v>
      </c>
      <c r="CA143" s="23">
        <f t="shared" si="37"/>
        <v>7.2</v>
      </c>
      <c r="CB143" s="115" t="str">
        <f t="shared" si="38"/>
        <v/>
      </c>
      <c r="CE143" s="2">
        <f t="shared" si="48"/>
        <v>1</v>
      </c>
    </row>
    <row r="144" spans="1:83" x14ac:dyDescent="0.3">
      <c r="A144" s="2" t="s">
        <v>497</v>
      </c>
      <c r="B144" s="2" t="s">
        <v>116</v>
      </c>
      <c r="D144" s="192" t="s">
        <v>562</v>
      </c>
      <c r="E144" s="192" t="s">
        <v>333</v>
      </c>
      <c r="G144" s="105"/>
      <c r="H144" s="105"/>
      <c r="I144" s="105"/>
      <c r="J144" s="105">
        <v>1</v>
      </c>
      <c r="K144" s="105"/>
      <c r="L144" s="105"/>
      <c r="M144" s="105"/>
      <c r="N144" s="105"/>
      <c r="V144" s="175"/>
      <c r="X144" s="175">
        <f t="shared" si="49"/>
        <v>3.65</v>
      </c>
      <c r="Y144" s="175"/>
      <c r="Z144" s="181">
        <v>0.75</v>
      </c>
      <c r="AA144" s="181">
        <v>2.9</v>
      </c>
      <c r="AB144" s="181">
        <f>VLOOKUP($E144,'LTP '!$D$4:$N$86,2+AB$11-$Z$11,0)/1000000</f>
        <v>0</v>
      </c>
      <c r="AC144" s="181">
        <f>VLOOKUP($E144,'LTP '!$D$4:$N$86,2+AC$11-$Z$11,0)/1000000</f>
        <v>0</v>
      </c>
      <c r="AD144" s="181">
        <f>VLOOKUP($E144,'LTP '!$D$4:$N$86,2+AD$11-$Z$11,0)/1000000</f>
        <v>0</v>
      </c>
      <c r="AE144" s="181">
        <f>VLOOKUP($E144,'LTP '!$D$4:$N$86,2+AE$11-$Z$11,0)/1000000</f>
        <v>0</v>
      </c>
      <c r="AF144" s="181">
        <f>VLOOKUP($E144,'LTP '!$D$4:$N$86,2+AF$11-$Z$11,0)/1000000</f>
        <v>0</v>
      </c>
      <c r="AG144" s="181">
        <f>VLOOKUP($E144,'LTP '!$D$4:$N$86,2+AG$11-$Z$11,0)/1000000</f>
        <v>0</v>
      </c>
      <c r="AH144" s="181">
        <f>VLOOKUP($E144,'LTP '!$D$4:$N$86,2+AH$11-$Z$11,0)/1000000</f>
        <v>0</v>
      </c>
      <c r="AI144" s="181">
        <f>VLOOKUP($E144,'LTP '!$D$4:$N$86,2+AI$11-$Z$11,0)/1000000</f>
        <v>0</v>
      </c>
      <c r="BO144" s="23"/>
      <c r="BP144" s="23" t="s">
        <v>451</v>
      </c>
      <c r="BQ144" s="175" t="str">
        <f t="shared" si="47"/>
        <v>N.009960.11.04 - East View Reserve - develop general park</v>
      </c>
      <c r="BR144" s="23" t="str">
        <f>IFERROR(VLOOKUP(BQ144,'LTP '!$R$4:$S$86,2,0),"")</f>
        <v>PC3201501 - General park development</v>
      </c>
      <c r="CA144" s="23">
        <f t="shared" si="37"/>
        <v>3.65</v>
      </c>
      <c r="CB144" s="115" t="str">
        <f t="shared" si="38"/>
        <v/>
      </c>
      <c r="CE144" s="2">
        <f t="shared" si="48"/>
        <v>1</v>
      </c>
    </row>
    <row r="145" spans="1:83" x14ac:dyDescent="0.3">
      <c r="A145" s="2" t="s">
        <v>497</v>
      </c>
      <c r="B145" s="2" t="s">
        <v>116</v>
      </c>
      <c r="D145" s="192" t="s">
        <v>563</v>
      </c>
      <c r="E145" s="191" t="s">
        <v>564</v>
      </c>
      <c r="F145" s="192"/>
      <c r="G145" s="105"/>
      <c r="H145" s="105"/>
      <c r="I145" s="105"/>
      <c r="J145" s="105">
        <v>1</v>
      </c>
      <c r="K145" s="105"/>
      <c r="L145" s="105"/>
      <c r="M145" s="105"/>
      <c r="N145" s="105" t="s">
        <v>756</v>
      </c>
      <c r="V145" s="175"/>
      <c r="X145" s="175">
        <f t="shared" si="49"/>
        <v>1.9830372939844079</v>
      </c>
      <c r="Y145" s="25">
        <v>1.6528925619834709</v>
      </c>
      <c r="AD145" s="23">
        <f>0.1*$Y145*'Cost inputs'!J$10</f>
        <v>0.19292122716065846</v>
      </c>
      <c r="AE145" s="23">
        <f>0.9*$Y145*'Cost inputs'!K$10</f>
        <v>1.7901160668237495</v>
      </c>
      <c r="BO145" s="23"/>
      <c r="BP145" s="23" t="s">
        <v>449</v>
      </c>
      <c r="BQ145" s="175" t="str">
        <f t="shared" si="47"/>
        <v/>
      </c>
      <c r="BR145" s="23" t="str">
        <f>IFERROR(VLOOKUP(BQ145,'LTP '!$R$4:$S$86,2,0),"")</f>
        <v/>
      </c>
      <c r="CA145" s="23">
        <f t="shared" si="37"/>
        <v>1.9830372939844079</v>
      </c>
      <c r="CB145" s="115" t="e">
        <f t="shared" si="38"/>
        <v>#DIV/0!</v>
      </c>
      <c r="CE145" s="2">
        <f t="shared" si="48"/>
        <v>1</v>
      </c>
    </row>
    <row r="146" spans="1:83" x14ac:dyDescent="0.3">
      <c r="A146" s="2" t="s">
        <v>497</v>
      </c>
      <c r="B146" s="2" t="s">
        <v>116</v>
      </c>
      <c r="D146" s="192" t="s">
        <v>565</v>
      </c>
      <c r="E146" s="191" t="s">
        <v>566</v>
      </c>
      <c r="F146" s="192"/>
      <c r="G146" s="105"/>
      <c r="H146" s="105"/>
      <c r="I146" s="105"/>
      <c r="J146" s="105">
        <v>1</v>
      </c>
      <c r="K146" s="105"/>
      <c r="L146" s="105"/>
      <c r="M146" s="105"/>
      <c r="N146" s="105" t="s">
        <v>587</v>
      </c>
      <c r="V146" s="175"/>
      <c r="X146" s="175">
        <f t="shared" si="49"/>
        <v>0.25049107918805824</v>
      </c>
      <c r="Y146" s="25">
        <v>0.2081604452224198</v>
      </c>
      <c r="AE146" s="23">
        <f>$Y146*'Cost inputs'!K$10</f>
        <v>0.25049107918805824</v>
      </c>
      <c r="BO146" s="23"/>
      <c r="BP146" s="23" t="s">
        <v>449</v>
      </c>
      <c r="BQ146" s="175" t="str">
        <f t="shared" si="47"/>
        <v/>
      </c>
      <c r="BR146" s="23" t="str">
        <f>IFERROR(VLOOKUP(BQ146,'LTP '!$R$4:$S$86,2,0),"")</f>
        <v/>
      </c>
      <c r="CA146" s="23">
        <f t="shared" si="37"/>
        <v>0.25049107918805824</v>
      </c>
      <c r="CB146" s="115" t="e">
        <f t="shared" si="38"/>
        <v>#DIV/0!</v>
      </c>
      <c r="CE146" s="2">
        <f t="shared" si="48"/>
        <v>1</v>
      </c>
    </row>
    <row r="147" spans="1:83" x14ac:dyDescent="0.3">
      <c r="A147" s="2" t="s">
        <v>362</v>
      </c>
      <c r="B147" s="2" t="s">
        <v>116</v>
      </c>
      <c r="D147" s="192" t="s">
        <v>567</v>
      </c>
      <c r="E147" s="192" t="s">
        <v>365</v>
      </c>
      <c r="G147" s="105"/>
      <c r="H147" s="105"/>
      <c r="I147" s="105"/>
      <c r="J147" s="105">
        <v>1</v>
      </c>
      <c r="K147" s="105"/>
      <c r="L147" s="105"/>
      <c r="M147" s="105"/>
      <c r="N147" s="105"/>
      <c r="V147" s="175"/>
      <c r="X147" s="175">
        <f t="shared" si="49"/>
        <v>0.45</v>
      </c>
      <c r="Y147" s="175"/>
      <c r="Z147" s="181">
        <f>VLOOKUP($E147,'LTP '!$D$4:$N$86,2+Z$11-$Z$11,0)/1000000</f>
        <v>0</v>
      </c>
      <c r="AA147" s="181">
        <f>VLOOKUP($E147,'LTP '!$D$4:$N$86,2+AA$11-$Z$11,0)/1000000</f>
        <v>0.45</v>
      </c>
      <c r="AB147" s="181">
        <f>VLOOKUP($E147,'LTP '!$D$4:$N$86,2+AB$11-$Z$11,0)/1000000</f>
        <v>0</v>
      </c>
      <c r="AC147" s="181">
        <f>VLOOKUP($E147,'LTP '!$D$4:$N$86,2+AC$11-$Z$11,0)/1000000</f>
        <v>0</v>
      </c>
      <c r="AD147" s="181">
        <f>VLOOKUP($E147,'LTP '!$D$4:$N$86,2+AD$11-$Z$11,0)/1000000</f>
        <v>0</v>
      </c>
      <c r="AE147" s="181">
        <f>VLOOKUP($E147,'LTP '!$D$4:$N$86,2+AE$11-$Z$11,0)/1000000</f>
        <v>0</v>
      </c>
      <c r="AF147" s="181">
        <f>VLOOKUP($E147,'LTP '!$D$4:$N$86,2+AF$11-$Z$11,0)/1000000</f>
        <v>0</v>
      </c>
      <c r="AG147" s="181">
        <f>VLOOKUP($E147,'LTP '!$D$4:$N$86,2+AG$11-$Z$11,0)/1000000</f>
        <v>0</v>
      </c>
      <c r="AH147" s="181">
        <f>VLOOKUP($E147,'LTP '!$D$4:$N$86,2+AH$11-$Z$11,0)/1000000</f>
        <v>0</v>
      </c>
      <c r="AI147" s="181">
        <f>VLOOKUP($E147,'LTP '!$D$4:$N$86,2+AI$11-$Z$11,0)/1000000</f>
        <v>0</v>
      </c>
      <c r="BO147" s="23"/>
      <c r="BP147" s="23" t="s">
        <v>451</v>
      </c>
      <c r="BQ147" s="175" t="str">
        <f t="shared" si="47"/>
        <v>N.009962.11.02 - Ruapotaka Res-dvp greenway connection</v>
      </c>
      <c r="BR147" s="23" t="str">
        <f>IFERROR(VLOOKUP(BQ147,'LTP '!$R$4:$S$86,2,0),"")</f>
        <v>PC3201503 - Greenway and walkway development</v>
      </c>
      <c r="CA147" s="23">
        <f t="shared" si="37"/>
        <v>0.45</v>
      </c>
      <c r="CB147" s="115" t="str">
        <f t="shared" si="38"/>
        <v/>
      </c>
      <c r="CE147" s="2">
        <f t="shared" si="48"/>
        <v>1</v>
      </c>
    </row>
    <row r="148" spans="1:83" x14ac:dyDescent="0.3">
      <c r="A148" s="2" t="s">
        <v>322</v>
      </c>
      <c r="B148" s="2" t="s">
        <v>116</v>
      </c>
      <c r="D148" s="192" t="s">
        <v>568</v>
      </c>
      <c r="E148" s="192" t="s">
        <v>338</v>
      </c>
      <c r="G148" s="105"/>
      <c r="H148" s="105"/>
      <c r="I148" s="105"/>
      <c r="J148" s="105">
        <v>1</v>
      </c>
      <c r="K148" s="105"/>
      <c r="L148" s="105"/>
      <c r="M148" s="105"/>
      <c r="N148" s="105"/>
      <c r="V148" s="175"/>
      <c r="X148" s="175">
        <f t="shared" si="49"/>
        <v>0.60000000000000009</v>
      </c>
      <c r="Y148" s="175"/>
      <c r="Z148" s="181">
        <f>VLOOKUP($E148,'LTP '!$D$4:$N$86,2+Z$11-$Z$11,0)/1000000</f>
        <v>0.05</v>
      </c>
      <c r="AA148" s="181">
        <f>VLOOKUP($E148,'LTP '!$D$4:$N$86,2+AA$11-$Z$11,0)/1000000</f>
        <v>0.55000000000000004</v>
      </c>
      <c r="AB148" s="181">
        <f>VLOOKUP($E148,'LTP '!$D$4:$N$86,2+AB$11-$Z$11,0)/1000000</f>
        <v>0</v>
      </c>
      <c r="AC148" s="181">
        <f>VLOOKUP($E148,'LTP '!$D$4:$N$86,2+AC$11-$Z$11,0)/1000000</f>
        <v>0</v>
      </c>
      <c r="AD148" s="181">
        <f>VLOOKUP($E148,'LTP '!$D$4:$N$86,2+AD$11-$Z$11,0)/1000000</f>
        <v>0</v>
      </c>
      <c r="AE148" s="181">
        <f>VLOOKUP($E148,'LTP '!$D$4:$N$86,2+AE$11-$Z$11,0)/1000000</f>
        <v>0</v>
      </c>
      <c r="AF148" s="181">
        <f>VLOOKUP($E148,'LTP '!$D$4:$N$86,2+AF$11-$Z$11,0)/1000000</f>
        <v>0</v>
      </c>
      <c r="AG148" s="181">
        <f>VLOOKUP($E148,'LTP '!$D$4:$N$86,2+AG$11-$Z$11,0)/1000000</f>
        <v>0</v>
      </c>
      <c r="AH148" s="181">
        <f>VLOOKUP($E148,'LTP '!$D$4:$N$86,2+AH$11-$Z$11,0)/1000000</f>
        <v>0</v>
      </c>
      <c r="AI148" s="181">
        <f>VLOOKUP($E148,'LTP '!$D$4:$N$86,2+AI$11-$Z$11,0)/1000000</f>
        <v>0</v>
      </c>
      <c r="BO148" s="23"/>
      <c r="BP148" s="23" t="s">
        <v>451</v>
      </c>
      <c r="BQ148" s="175" t="str">
        <f t="shared" si="47"/>
        <v>N.009960.11.09 - Elstree North Res - develop general park</v>
      </c>
      <c r="BR148" s="23" t="str">
        <f>IFERROR(VLOOKUP(BQ148,'LTP '!$R$4:$S$86,2,0),"")</f>
        <v>PC3201501 - General park development</v>
      </c>
      <c r="CA148" s="23">
        <f t="shared" si="37"/>
        <v>0.60000000000000009</v>
      </c>
      <c r="CB148" s="115" t="str">
        <f t="shared" si="38"/>
        <v/>
      </c>
      <c r="CE148" s="2">
        <f t="shared" si="48"/>
        <v>1</v>
      </c>
    </row>
    <row r="149" spans="1:83" x14ac:dyDescent="0.3">
      <c r="A149" s="2" t="s">
        <v>322</v>
      </c>
      <c r="B149" s="2" t="s">
        <v>116</v>
      </c>
      <c r="D149" s="192" t="s">
        <v>569</v>
      </c>
      <c r="E149" s="192" t="s">
        <v>334</v>
      </c>
      <c r="G149" s="105"/>
      <c r="H149" s="105"/>
      <c r="I149" s="105"/>
      <c r="J149" s="105">
        <v>1</v>
      </c>
      <c r="K149" s="105"/>
      <c r="L149" s="105"/>
      <c r="M149" s="105"/>
      <c r="N149" s="105"/>
      <c r="V149" s="175"/>
      <c r="X149" s="175">
        <f t="shared" si="49"/>
        <v>2.0529999999999999</v>
      </c>
      <c r="Y149" s="175"/>
      <c r="Z149" s="181">
        <v>0.20300000000000001</v>
      </c>
      <c r="AA149" s="181">
        <v>1.6</v>
      </c>
      <c r="AB149" s="181">
        <v>0.25</v>
      </c>
      <c r="AC149" s="181">
        <f>VLOOKUP($E149,'LTP '!$D$4:$N$86,2+AC$11-$Z$11,0)/1000000</f>
        <v>0</v>
      </c>
      <c r="AD149" s="181">
        <f>VLOOKUP($E149,'LTP '!$D$4:$N$86,2+AD$11-$Z$11,0)/1000000</f>
        <v>0</v>
      </c>
      <c r="AE149" s="181">
        <f>VLOOKUP($E149,'LTP '!$D$4:$N$86,2+AE$11-$Z$11,0)/1000000</f>
        <v>0</v>
      </c>
      <c r="AF149" s="181">
        <f>VLOOKUP($E149,'LTP '!$D$4:$N$86,2+AF$11-$Z$11,0)/1000000</f>
        <v>0</v>
      </c>
      <c r="AG149" s="181">
        <f>VLOOKUP($E149,'LTP '!$D$4:$N$86,2+AG$11-$Z$11,0)/1000000</f>
        <v>0</v>
      </c>
      <c r="AH149" s="181">
        <f>VLOOKUP($E149,'LTP '!$D$4:$N$86,2+AH$11-$Z$11,0)/1000000</f>
        <v>0</v>
      </c>
      <c r="AI149" s="181">
        <f>VLOOKUP($E149,'LTP '!$D$4:$N$86,2+AI$11-$Z$11,0)/1000000</f>
        <v>0</v>
      </c>
      <c r="BO149" s="23"/>
      <c r="BP149" s="23" t="s">
        <v>451</v>
      </c>
      <c r="BQ149" s="175" t="str">
        <f t="shared" si="47"/>
        <v>N.009960.11.05 - Johnson Reserve - develop general park</v>
      </c>
      <c r="BR149" s="23" t="str">
        <f>IFERROR(VLOOKUP(BQ149,'LTP '!$R$4:$S$86,2,0),"")</f>
        <v>PC3201501 - General park development</v>
      </c>
      <c r="CA149" s="23">
        <f t="shared" si="37"/>
        <v>2.0529999999999999</v>
      </c>
      <c r="CB149" s="115" t="str">
        <f t="shared" si="38"/>
        <v/>
      </c>
      <c r="CE149" s="2">
        <f t="shared" si="48"/>
        <v>1</v>
      </c>
    </row>
    <row r="150" spans="1:83" x14ac:dyDescent="0.3">
      <c r="A150" s="2" t="s">
        <v>497</v>
      </c>
      <c r="B150" s="2" t="s">
        <v>116</v>
      </c>
      <c r="D150" s="192" t="s">
        <v>570</v>
      </c>
      <c r="E150" s="193">
        <v>46174</v>
      </c>
      <c r="F150" s="192"/>
      <c r="G150" s="105"/>
      <c r="H150" s="105"/>
      <c r="I150" s="105"/>
      <c r="J150" s="105">
        <v>1</v>
      </c>
      <c r="K150" s="105"/>
      <c r="L150" s="105"/>
      <c r="M150" s="105"/>
      <c r="N150" s="105" t="s">
        <v>756</v>
      </c>
      <c r="V150" s="175"/>
      <c r="X150" s="175">
        <f t="shared" si="49"/>
        <v>0.82027096217568263</v>
      </c>
      <c r="Y150" s="25">
        <v>0.66115702479338845</v>
      </c>
      <c r="AF150" s="23">
        <f>$Y150*'Cost inputs'!L$10</f>
        <v>0.82027096217568263</v>
      </c>
      <c r="BO150" s="23"/>
      <c r="BP150" s="23" t="s">
        <v>449</v>
      </c>
      <c r="BQ150" s="175" t="str">
        <f t="shared" si="47"/>
        <v/>
      </c>
      <c r="BR150" s="23" t="str">
        <f>IFERROR(VLOOKUP(BQ150,'LTP '!$R$4:$S$86,2,0),"")</f>
        <v/>
      </c>
      <c r="CA150" s="23">
        <f t="shared" si="37"/>
        <v>0.82027096217568263</v>
      </c>
      <c r="CB150" s="115" t="e">
        <f t="shared" si="38"/>
        <v>#DIV/0!</v>
      </c>
      <c r="CE150" s="2">
        <f t="shared" si="48"/>
        <v>1</v>
      </c>
    </row>
    <row r="151" spans="1:83" x14ac:dyDescent="0.3">
      <c r="A151" s="2" t="s">
        <v>322</v>
      </c>
      <c r="B151" s="2" t="s">
        <v>116</v>
      </c>
      <c r="D151" s="192" t="s">
        <v>571</v>
      </c>
      <c r="E151" s="192" t="s">
        <v>335</v>
      </c>
      <c r="G151" s="105"/>
      <c r="H151" s="105"/>
      <c r="I151" s="105"/>
      <c r="J151" s="105">
        <v>1</v>
      </c>
      <c r="K151" s="105"/>
      <c r="L151" s="105"/>
      <c r="M151" s="105"/>
      <c r="N151" s="105"/>
      <c r="V151" s="175"/>
      <c r="X151" s="175">
        <f t="shared" si="49"/>
        <v>0.48000000000000004</v>
      </c>
      <c r="Y151" s="175"/>
      <c r="Z151" s="181">
        <v>0.08</v>
      </c>
      <c r="AA151" s="181">
        <v>0.4</v>
      </c>
      <c r="AB151" s="181">
        <f>VLOOKUP($E151,'LTP '!$D$4:$N$86,2+AB$11-$Z$11,0)/1000000</f>
        <v>0</v>
      </c>
      <c r="AC151" s="181">
        <f>VLOOKUP($E151,'LTP '!$D$4:$N$86,2+AC$11-$Z$11,0)/1000000</f>
        <v>0</v>
      </c>
      <c r="AD151" s="181">
        <f>VLOOKUP($E151,'LTP '!$D$4:$N$86,2+AD$11-$Z$11,0)/1000000</f>
        <v>0</v>
      </c>
      <c r="AE151" s="181">
        <f>VLOOKUP($E151,'LTP '!$D$4:$N$86,2+AE$11-$Z$11,0)/1000000</f>
        <v>0</v>
      </c>
      <c r="AF151" s="181">
        <f>VLOOKUP($E151,'LTP '!$D$4:$N$86,2+AF$11-$Z$11,0)/1000000</f>
        <v>0</v>
      </c>
      <c r="AG151" s="181">
        <f>VLOOKUP($E151,'LTP '!$D$4:$N$86,2+AG$11-$Z$11,0)/1000000</f>
        <v>0</v>
      </c>
      <c r="AH151" s="181">
        <f>VLOOKUP($E151,'LTP '!$D$4:$N$86,2+AH$11-$Z$11,0)/1000000</f>
        <v>0</v>
      </c>
      <c r="AI151" s="181">
        <f>VLOOKUP($E151,'LTP '!$D$4:$N$86,2+AI$11-$Z$11,0)/1000000</f>
        <v>0</v>
      </c>
      <c r="BO151" s="23"/>
      <c r="BP151" s="23" t="s">
        <v>451</v>
      </c>
      <c r="BQ151" s="175" t="str">
        <f t="shared" si="47"/>
        <v>N.009960.11.06 - Taurima Reserve - develop general park</v>
      </c>
      <c r="BR151" s="23" t="str">
        <f>IFERROR(VLOOKUP(BQ151,'LTP '!$R$4:$S$86,2,0),"")</f>
        <v>PC3201501 - General park development</v>
      </c>
      <c r="CA151" s="23">
        <f t="shared" ref="CA151:CA217" si="50">SUM(Z151:BN151)</f>
        <v>0.48000000000000004</v>
      </c>
      <c r="CB151" s="115" t="str">
        <f t="shared" ref="CB151:CB217" si="51">IF(Y151&gt;0,CA151/V151*1000000,"")</f>
        <v/>
      </c>
      <c r="CE151" s="2">
        <f t="shared" si="48"/>
        <v>1</v>
      </c>
    </row>
    <row r="152" spans="1:83" x14ac:dyDescent="0.3">
      <c r="A152" s="2" t="s">
        <v>497</v>
      </c>
      <c r="B152" s="2" t="s">
        <v>116</v>
      </c>
      <c r="D152" s="192" t="s">
        <v>572</v>
      </c>
      <c r="E152" s="191" t="s">
        <v>566</v>
      </c>
      <c r="F152" s="192"/>
      <c r="G152" s="105"/>
      <c r="H152" s="105"/>
      <c r="I152" s="105"/>
      <c r="J152" s="105">
        <v>1</v>
      </c>
      <c r="K152" s="105"/>
      <c r="L152" s="105"/>
      <c r="M152" s="105"/>
      <c r="N152" s="105" t="s">
        <v>756</v>
      </c>
      <c r="V152" s="175"/>
      <c r="X152" s="175">
        <f t="shared" si="49"/>
        <v>1.025338702719603</v>
      </c>
      <c r="Y152" s="25">
        <v>0.82644628099173545</v>
      </c>
      <c r="AF152" s="23">
        <f>$Y152*'Cost inputs'!L$10</f>
        <v>1.025338702719603</v>
      </c>
      <c r="BO152" s="23"/>
      <c r="BP152" s="23" t="s">
        <v>449</v>
      </c>
      <c r="BQ152" s="175" t="str">
        <f t="shared" si="47"/>
        <v/>
      </c>
      <c r="BR152" s="23" t="str">
        <f>IFERROR(VLOOKUP(BQ152,'LTP '!$R$4:$S$86,2,0),"")</f>
        <v/>
      </c>
      <c r="CA152" s="23">
        <f t="shared" si="50"/>
        <v>1.025338702719603</v>
      </c>
      <c r="CB152" s="115" t="e">
        <f t="shared" si="51"/>
        <v>#DIV/0!</v>
      </c>
      <c r="CE152" s="2">
        <f t="shared" si="48"/>
        <v>1</v>
      </c>
    </row>
    <row r="153" spans="1:83" x14ac:dyDescent="0.3">
      <c r="A153" s="2" t="s">
        <v>497</v>
      </c>
      <c r="B153" s="2" t="s">
        <v>116</v>
      </c>
      <c r="D153" s="192" t="s">
        <v>573</v>
      </c>
      <c r="E153" s="191" t="s">
        <v>566</v>
      </c>
      <c r="F153" s="192"/>
      <c r="G153" s="105"/>
      <c r="H153" s="105"/>
      <c r="I153" s="105"/>
      <c r="J153" s="105">
        <v>1</v>
      </c>
      <c r="K153" s="105"/>
      <c r="L153" s="105"/>
      <c r="M153" s="105"/>
      <c r="N153" s="105" t="s">
        <v>756</v>
      </c>
      <c r="V153" s="175"/>
      <c r="X153" s="175">
        <f t="shared" si="49"/>
        <v>0.90639326117191266</v>
      </c>
      <c r="Y153" s="25">
        <v>0.71074380165289242</v>
      </c>
      <c r="AF153" s="23">
        <f>0.1*$Y153*'Cost inputs'!L$10</f>
        <v>8.8179128433885867E-2</v>
      </c>
      <c r="AG153" s="23">
        <f>0.9*$Y153*'Cost inputs'!M$10</f>
        <v>0.81821413273802679</v>
      </c>
      <c r="BO153" s="23"/>
      <c r="BP153" s="23" t="s">
        <v>449</v>
      </c>
      <c r="BQ153" s="175" t="str">
        <f t="shared" si="47"/>
        <v/>
      </c>
      <c r="BR153" s="23" t="str">
        <f>IFERROR(VLOOKUP(BQ153,'LTP '!$R$4:$S$86,2,0),"")</f>
        <v/>
      </c>
      <c r="CA153" s="23">
        <f t="shared" si="50"/>
        <v>0.90639326117191266</v>
      </c>
      <c r="CB153" s="115" t="e">
        <f t="shared" si="51"/>
        <v>#DIV/0!</v>
      </c>
      <c r="CE153" s="2">
        <f t="shared" si="48"/>
        <v>1</v>
      </c>
    </row>
    <row r="154" spans="1:83" x14ac:dyDescent="0.3">
      <c r="A154" s="2" t="s">
        <v>497</v>
      </c>
      <c r="B154" s="2" t="s">
        <v>116</v>
      </c>
      <c r="D154" s="192" t="s">
        <v>574</v>
      </c>
      <c r="E154" s="191" t="s">
        <v>566</v>
      </c>
      <c r="F154" s="192"/>
      <c r="G154" s="105"/>
      <c r="H154" s="105"/>
      <c r="I154" s="105"/>
      <c r="J154" s="105">
        <v>1</v>
      </c>
      <c r="K154" s="105"/>
      <c r="L154" s="105"/>
      <c r="M154" s="105"/>
      <c r="N154" s="105" t="s">
        <v>756</v>
      </c>
      <c r="V154" s="175"/>
      <c r="X154" s="175">
        <f t="shared" si="49"/>
        <v>2.1816675007277433</v>
      </c>
      <c r="Y154" s="25">
        <v>1.7107438016528922</v>
      </c>
      <c r="AF154" s="23">
        <f>0.1*$Y154*'Cost inputs'!L$10</f>
        <v>0.21224511146295783</v>
      </c>
      <c r="AG154" s="23">
        <f>0.9*$Y154*'Cost inputs'!M$10</f>
        <v>1.9694223892647855</v>
      </c>
      <c r="BO154" s="23"/>
      <c r="BP154" s="23" t="s">
        <v>449</v>
      </c>
      <c r="BQ154" s="175" t="str">
        <f t="shared" si="47"/>
        <v/>
      </c>
      <c r="BR154" s="23" t="str">
        <f>IFERROR(VLOOKUP(BQ154,'LTP '!$R$4:$S$86,2,0),"")</f>
        <v/>
      </c>
      <c r="CA154" s="23">
        <f t="shared" si="50"/>
        <v>2.1816675007277433</v>
      </c>
      <c r="CB154" s="115" t="e">
        <f t="shared" si="51"/>
        <v>#DIV/0!</v>
      </c>
      <c r="CE154" s="2">
        <f t="shared" si="48"/>
        <v>1</v>
      </c>
    </row>
    <row r="155" spans="1:83" x14ac:dyDescent="0.3">
      <c r="A155" s="2" t="s">
        <v>322</v>
      </c>
      <c r="B155" s="2" t="s">
        <v>116</v>
      </c>
      <c r="D155" s="192" t="s">
        <v>575</v>
      </c>
      <c r="E155" s="192" t="s">
        <v>336</v>
      </c>
      <c r="G155" s="105"/>
      <c r="H155" s="105"/>
      <c r="I155" s="105"/>
      <c r="J155" s="105">
        <v>1</v>
      </c>
      <c r="K155" s="105"/>
      <c r="L155" s="105"/>
      <c r="M155" s="105"/>
      <c r="N155" s="105"/>
      <c r="V155" s="175"/>
      <c r="X155" s="175">
        <f t="shared" si="49"/>
        <v>6.0779999999999994</v>
      </c>
      <c r="Y155" s="175"/>
      <c r="Z155" s="181">
        <v>7.8E-2</v>
      </c>
      <c r="AA155" s="181">
        <v>3</v>
      </c>
      <c r="AB155" s="181">
        <v>3</v>
      </c>
      <c r="AC155" s="181"/>
      <c r="AD155" s="181">
        <f>VLOOKUP($E155,'LTP '!$D$4:$N$86,2+AD$11-$Z$11,0)/1000000</f>
        <v>0</v>
      </c>
      <c r="AE155" s="181">
        <f>VLOOKUP($E155,'LTP '!$D$4:$N$86,2+AE$11-$Z$11,0)/1000000</f>
        <v>0</v>
      </c>
      <c r="AF155" s="181">
        <f>VLOOKUP($E155,'LTP '!$D$4:$N$86,2+AF$11-$Z$11,0)/1000000</f>
        <v>0</v>
      </c>
      <c r="AG155" s="181">
        <f>VLOOKUP($E155,'LTP '!$D$4:$N$86,2+AG$11-$Z$11,0)/1000000</f>
        <v>0</v>
      </c>
      <c r="AH155" s="181">
        <f>VLOOKUP($E155,'LTP '!$D$4:$N$86,2+AH$11-$Z$11,0)/1000000</f>
        <v>0</v>
      </c>
      <c r="AI155" s="181">
        <f>VLOOKUP($E155,'LTP '!$D$4:$N$86,2+AI$11-$Z$11,0)/1000000</f>
        <v>0</v>
      </c>
      <c r="BO155" s="23"/>
      <c r="BP155" s="23" t="s">
        <v>451</v>
      </c>
      <c r="BQ155" s="175" t="str">
        <f t="shared" si="47"/>
        <v>N.009960.11.07 - Boundary Res West – develop suburb park</v>
      </c>
      <c r="BR155" s="23" t="str">
        <f>IFERROR(VLOOKUP(BQ155,'LTP '!$R$4:$S$86,2,0),"")</f>
        <v>PC3201501 - General park development</v>
      </c>
      <c r="CA155" s="23">
        <f t="shared" si="50"/>
        <v>6.0779999999999994</v>
      </c>
      <c r="CB155" s="115" t="str">
        <f t="shared" si="51"/>
        <v/>
      </c>
      <c r="CE155" s="2">
        <f t="shared" si="48"/>
        <v>1</v>
      </c>
    </row>
    <row r="156" spans="1:83" x14ac:dyDescent="0.3">
      <c r="A156" s="2" t="s">
        <v>322</v>
      </c>
      <c r="B156" s="2" t="s">
        <v>116</v>
      </c>
      <c r="D156" s="192" t="s">
        <v>576</v>
      </c>
      <c r="E156" s="192" t="s">
        <v>337</v>
      </c>
      <c r="G156" s="105"/>
      <c r="H156" s="105"/>
      <c r="I156" s="105"/>
      <c r="J156" s="105">
        <v>1</v>
      </c>
      <c r="K156" s="105"/>
      <c r="L156" s="105"/>
      <c r="M156" s="105"/>
      <c r="N156" s="105"/>
      <c r="V156" s="175"/>
      <c r="X156" s="175">
        <f t="shared" si="49"/>
        <v>0.84236500000000003</v>
      </c>
      <c r="Y156" s="175"/>
      <c r="Z156" s="181">
        <v>0.2</v>
      </c>
      <c r="AA156" s="181">
        <v>0.64236499999999996</v>
      </c>
      <c r="AB156" s="181"/>
      <c r="AC156" s="181">
        <f>VLOOKUP($E156,'LTP '!$D$4:$N$86,2+AC$11-$Z$11,0)/1000000</f>
        <v>0</v>
      </c>
      <c r="AD156" s="181">
        <f>VLOOKUP($E156,'LTP '!$D$4:$N$86,2+AD$11-$Z$11,0)/1000000</f>
        <v>0</v>
      </c>
      <c r="AE156" s="181">
        <f>VLOOKUP($E156,'LTP '!$D$4:$N$86,2+AE$11-$Z$11,0)/1000000</f>
        <v>0</v>
      </c>
      <c r="AF156" s="181">
        <f>VLOOKUP($E156,'LTP '!$D$4:$N$86,2+AF$11-$Z$11,0)/1000000</f>
        <v>0</v>
      </c>
      <c r="AG156" s="181">
        <f>VLOOKUP($E156,'LTP '!$D$4:$N$86,2+AG$11-$Z$11,0)/1000000</f>
        <v>0</v>
      </c>
      <c r="AH156" s="181">
        <f>VLOOKUP($E156,'LTP '!$D$4:$N$86,2+AH$11-$Z$11,0)/1000000</f>
        <v>0</v>
      </c>
      <c r="AI156" s="181">
        <f>VLOOKUP($E156,'LTP '!$D$4:$N$86,2+AI$11-$Z$11,0)/1000000</f>
        <v>0</v>
      </c>
      <c r="BO156" s="23"/>
      <c r="BP156" s="23" t="s">
        <v>451</v>
      </c>
      <c r="BQ156" s="175" t="str">
        <f t="shared" si="47"/>
        <v>N.009960.11.08 - Dunkirk Res - develop neighbourhood park</v>
      </c>
      <c r="BR156" s="23" t="str">
        <f>IFERROR(VLOOKUP(BQ156,'LTP '!$R$4:$S$86,2,0),"")</f>
        <v>PC3201501 - General park development</v>
      </c>
      <c r="CA156" s="23">
        <f t="shared" si="50"/>
        <v>0.84236500000000003</v>
      </c>
      <c r="CB156" s="115" t="str">
        <f t="shared" si="51"/>
        <v/>
      </c>
      <c r="CE156" s="2">
        <f t="shared" si="48"/>
        <v>1</v>
      </c>
    </row>
    <row r="157" spans="1:83" x14ac:dyDescent="0.3">
      <c r="A157" s="2" t="s">
        <v>497</v>
      </c>
      <c r="B157" s="2" t="s">
        <v>116</v>
      </c>
      <c r="D157" s="192" t="s">
        <v>577</v>
      </c>
      <c r="E157" s="191" t="s">
        <v>566</v>
      </c>
      <c r="F157" s="192"/>
      <c r="G157" s="105"/>
      <c r="H157" s="105"/>
      <c r="I157" s="105"/>
      <c r="J157" s="105">
        <v>1</v>
      </c>
      <c r="K157" s="105"/>
      <c r="L157" s="105"/>
      <c r="M157" s="105"/>
      <c r="N157" s="105" t="s">
        <v>756</v>
      </c>
      <c r="V157" s="175"/>
      <c r="X157" s="175">
        <f t="shared" si="49"/>
        <v>1.5684243746557911</v>
      </c>
      <c r="Y157" s="25">
        <v>1.1570247933884295</v>
      </c>
      <c r="AH157" s="23">
        <f>0.1*$Y157*'Cost inputs'!N$10</f>
        <v>0.15258530738941445</v>
      </c>
      <c r="AI157" s="23">
        <f>0.9*$Y157*'Cost inputs'!O$10</f>
        <v>1.4158390672663768</v>
      </c>
      <c r="BO157" s="23"/>
      <c r="BP157" s="23" t="s">
        <v>449</v>
      </c>
      <c r="BQ157" s="175" t="str">
        <f t="shared" si="47"/>
        <v/>
      </c>
      <c r="BR157" s="23" t="str">
        <f>IFERROR(VLOOKUP(BQ157,'LTP '!$R$4:$S$86,2,0),"")</f>
        <v/>
      </c>
      <c r="CA157" s="23">
        <f t="shared" si="50"/>
        <v>1.5684243746557911</v>
      </c>
      <c r="CB157" s="115" t="e">
        <f t="shared" si="51"/>
        <v>#DIV/0!</v>
      </c>
      <c r="CE157" s="2">
        <f t="shared" si="48"/>
        <v>1</v>
      </c>
    </row>
    <row r="158" spans="1:83" x14ac:dyDescent="0.3">
      <c r="A158" s="2" t="s">
        <v>497</v>
      </c>
      <c r="B158" s="2" t="s">
        <v>116</v>
      </c>
      <c r="D158" s="192" t="s">
        <v>578</v>
      </c>
      <c r="E158" s="191" t="s">
        <v>566</v>
      </c>
      <c r="F158" s="192"/>
      <c r="G158" s="105"/>
      <c r="H158" s="105"/>
      <c r="I158" s="105"/>
      <c r="J158" s="105">
        <v>1</v>
      </c>
      <c r="K158" s="105"/>
      <c r="L158" s="105"/>
      <c r="M158" s="105"/>
      <c r="N158" s="105" t="s">
        <v>756</v>
      </c>
      <c r="V158" s="175"/>
      <c r="X158" s="175">
        <f t="shared" si="49"/>
        <v>0.58141831137715094</v>
      </c>
      <c r="Y158" s="25">
        <v>0.45454545454545453</v>
      </c>
      <c r="AG158" s="23">
        <f>$Y158*'Cost inputs'!M$10</f>
        <v>0.58141831137715094</v>
      </c>
      <c r="BO158" s="23"/>
      <c r="BP158" s="23" t="s">
        <v>449</v>
      </c>
      <c r="BQ158" s="175" t="str">
        <f t="shared" ref="BQ158:BQ224" si="52">IF(BP158="LTP",E158,"")</f>
        <v/>
      </c>
      <c r="BR158" s="23" t="str">
        <f>IFERROR(VLOOKUP(BQ158,'LTP '!$R$4:$S$86,2,0),"")</f>
        <v/>
      </c>
      <c r="CA158" s="23">
        <f t="shared" si="50"/>
        <v>0.58141831137715094</v>
      </c>
      <c r="CB158" s="115" t="e">
        <f t="shared" si="51"/>
        <v>#DIV/0!</v>
      </c>
      <c r="CE158" s="2">
        <f t="shared" ref="CE158:CE189" si="53">COUNTIF($B$291:$B$319,B158)</f>
        <v>1</v>
      </c>
    </row>
    <row r="159" spans="1:83" x14ac:dyDescent="0.3">
      <c r="A159" s="175" t="s">
        <v>293</v>
      </c>
      <c r="B159" s="2" t="s">
        <v>116</v>
      </c>
      <c r="D159" s="192" t="s">
        <v>579</v>
      </c>
      <c r="E159" s="192" t="s">
        <v>295</v>
      </c>
      <c r="G159" s="105"/>
      <c r="H159" s="105"/>
      <c r="I159" s="105"/>
      <c r="J159" s="105">
        <v>1</v>
      </c>
      <c r="K159" s="105"/>
      <c r="L159" s="105"/>
      <c r="M159" s="105"/>
      <c r="N159" s="105"/>
      <c r="V159" s="175"/>
      <c r="X159" s="175">
        <f t="shared" si="49"/>
        <v>2.5874999999999999</v>
      </c>
      <c r="Y159" s="175"/>
      <c r="Z159" s="181">
        <f>VLOOKUP($E159,'LTP '!$D$4:$N$86,2+Z$11-$Z$11,0)/1000000</f>
        <v>2.5874999999999999</v>
      </c>
      <c r="AA159" s="181">
        <f>VLOOKUP($E159,'LTP '!$D$4:$N$86,2+AA$11-$Z$11,0)/1000000</f>
        <v>0</v>
      </c>
      <c r="AB159" s="181">
        <f>VLOOKUP($E159,'LTP '!$D$4:$N$86,2+AB$11-$Z$11,0)/1000000</f>
        <v>0</v>
      </c>
      <c r="AC159" s="181">
        <f>VLOOKUP($E159,'LTP '!$D$4:$N$86,2+AC$11-$Z$11,0)/1000000</f>
        <v>0</v>
      </c>
      <c r="AD159" s="181">
        <f>VLOOKUP($E159,'LTP '!$D$4:$N$86,2+AD$11-$Z$11,0)/1000000</f>
        <v>0</v>
      </c>
      <c r="AE159" s="181">
        <f>VLOOKUP($E159,'LTP '!$D$4:$N$86,2+AE$11-$Z$11,0)/1000000</f>
        <v>0</v>
      </c>
      <c r="AF159" s="181">
        <f>VLOOKUP($E159,'LTP '!$D$4:$N$86,2+AF$11-$Z$11,0)/1000000</f>
        <v>0</v>
      </c>
      <c r="AG159" s="181">
        <f>VLOOKUP($E159,'LTP '!$D$4:$N$86,2+AG$11-$Z$11,0)/1000000</f>
        <v>0</v>
      </c>
      <c r="AH159" s="181">
        <f>VLOOKUP($E159,'LTP '!$D$4:$N$86,2+AH$11-$Z$11,0)/1000000</f>
        <v>0</v>
      </c>
      <c r="AI159" s="181">
        <f>VLOOKUP($E159,'LTP '!$D$4:$N$86,2+AI$11-$Z$11,0)/1000000</f>
        <v>0</v>
      </c>
      <c r="BO159" s="23"/>
      <c r="BP159" s="23" t="s">
        <v>451</v>
      </c>
      <c r="BQ159" s="175" t="str">
        <f t="shared" si="52"/>
        <v>N.011182.01 - Tamaki Path - Stage 2</v>
      </c>
      <c r="BR159" s="23" t="str">
        <f>IFERROR(VLOOKUP(BQ159,'LTP '!$R$4:$S$86,2,0),"")</f>
        <v>PC2312667 - Tamaki Path - Stage 2</v>
      </c>
      <c r="CA159" s="23">
        <f t="shared" si="50"/>
        <v>2.5874999999999999</v>
      </c>
      <c r="CB159" s="115" t="str">
        <f t="shared" si="51"/>
        <v/>
      </c>
      <c r="CE159" s="2">
        <f t="shared" si="53"/>
        <v>1</v>
      </c>
    </row>
    <row r="160" spans="1:83" x14ac:dyDescent="0.3">
      <c r="A160" s="2" t="s">
        <v>497</v>
      </c>
      <c r="B160" s="2" t="s">
        <v>116</v>
      </c>
      <c r="D160" s="192" t="s">
        <v>580</v>
      </c>
      <c r="E160" s="189">
        <v>49125</v>
      </c>
      <c r="F160" s="192"/>
      <c r="G160" s="105"/>
      <c r="H160" s="105"/>
      <c r="I160" s="105"/>
      <c r="J160" s="105">
        <v>1</v>
      </c>
      <c r="K160" s="105"/>
      <c r="L160" s="105"/>
      <c r="M160" s="105"/>
      <c r="N160" s="105" t="s">
        <v>587</v>
      </c>
      <c r="V160" s="175"/>
      <c r="X160" s="175">
        <f t="shared" si="49"/>
        <v>0.29343369828316068</v>
      </c>
      <c r="Y160" s="25">
        <v>0.22940274008424474</v>
      </c>
      <c r="AG160" s="23">
        <f>$Y160*'Cost inputs'!M$10</f>
        <v>0.29343369828316068</v>
      </c>
      <c r="BO160" s="23"/>
      <c r="BP160" s="23" t="s">
        <v>449</v>
      </c>
      <c r="BQ160" s="175" t="str">
        <f t="shared" si="52"/>
        <v/>
      </c>
      <c r="BR160" s="23" t="str">
        <f>IFERROR(VLOOKUP(BQ160,'LTP '!$R$4:$S$86,2,0),"")</f>
        <v/>
      </c>
      <c r="CA160" s="23">
        <f t="shared" si="50"/>
        <v>0.29343369828316068</v>
      </c>
      <c r="CB160" s="115" t="e">
        <f t="shared" si="51"/>
        <v>#DIV/0!</v>
      </c>
      <c r="CE160" s="2">
        <f t="shared" si="53"/>
        <v>1</v>
      </c>
    </row>
    <row r="161" spans="1:83" x14ac:dyDescent="0.3">
      <c r="A161" s="2" t="s">
        <v>497</v>
      </c>
      <c r="B161" s="2" t="s">
        <v>116</v>
      </c>
      <c r="D161" s="192" t="s">
        <v>581</v>
      </c>
      <c r="E161" s="189">
        <v>48395</v>
      </c>
      <c r="F161" s="192"/>
      <c r="G161" s="105"/>
      <c r="H161" s="105"/>
      <c r="I161" s="105"/>
      <c r="J161" s="105">
        <v>1</v>
      </c>
      <c r="K161" s="105"/>
      <c r="L161" s="105"/>
      <c r="M161" s="105"/>
      <c r="N161" s="105" t="s">
        <v>756</v>
      </c>
      <c r="V161" s="175"/>
      <c r="X161" s="175">
        <f t="shared" si="49"/>
        <v>0.262536851981582</v>
      </c>
      <c r="Y161" s="25">
        <v>0.22493388429752065</v>
      </c>
      <c r="AD161" s="23">
        <f>$Y161*'Cost inputs'!J$10</f>
        <v>0.262536851981582</v>
      </c>
      <c r="BO161" s="23"/>
      <c r="BP161" s="23" t="s">
        <v>449</v>
      </c>
      <c r="BQ161" s="175" t="str">
        <f t="shared" si="52"/>
        <v/>
      </c>
      <c r="BR161" s="23" t="str">
        <f>IFERROR(VLOOKUP(BQ161,'LTP '!$R$4:$S$86,2,0),"")</f>
        <v/>
      </c>
      <c r="CA161" s="23">
        <f t="shared" si="50"/>
        <v>0.262536851981582</v>
      </c>
      <c r="CB161" s="115" t="e">
        <f t="shared" si="51"/>
        <v>#DIV/0!</v>
      </c>
      <c r="CE161" s="2">
        <f t="shared" si="53"/>
        <v>1</v>
      </c>
    </row>
    <row r="162" spans="1:83" x14ac:dyDescent="0.3">
      <c r="A162" s="2" t="s">
        <v>497</v>
      </c>
      <c r="B162" s="2" t="s">
        <v>116</v>
      </c>
      <c r="D162" s="192" t="s">
        <v>582</v>
      </c>
      <c r="E162" s="189">
        <v>49125</v>
      </c>
      <c r="F162" s="192"/>
      <c r="G162" s="105"/>
      <c r="H162" s="105"/>
      <c r="I162" s="105"/>
      <c r="J162" s="105">
        <v>1</v>
      </c>
      <c r="K162" s="105"/>
      <c r="L162" s="105"/>
      <c r="M162" s="105"/>
      <c r="N162" s="105" t="s">
        <v>756</v>
      </c>
      <c r="V162" s="175"/>
      <c r="X162" s="175">
        <f t="shared" si="49"/>
        <v>1.6804546871312047</v>
      </c>
      <c r="Y162" s="25">
        <v>1.2396694214876032</v>
      </c>
      <c r="AH162" s="23">
        <f>0.1*$Y162*'Cost inputs'!N$10</f>
        <v>0.16348425791722979</v>
      </c>
      <c r="AI162" s="23">
        <f>0.9*$Y162*'Cost inputs'!O$10</f>
        <v>1.516970429213975</v>
      </c>
      <c r="BO162" s="23"/>
      <c r="BP162" s="23" t="s">
        <v>449</v>
      </c>
      <c r="BQ162" s="175" t="str">
        <f t="shared" si="52"/>
        <v/>
      </c>
      <c r="BR162" s="23" t="str">
        <f>IFERROR(VLOOKUP(BQ162,'LTP '!$R$4:$S$86,2,0),"")</f>
        <v/>
      </c>
      <c r="CA162" s="23">
        <f t="shared" si="50"/>
        <v>1.6804546871312047</v>
      </c>
      <c r="CB162" s="115" t="e">
        <f t="shared" si="51"/>
        <v>#DIV/0!</v>
      </c>
      <c r="CE162" s="2">
        <f t="shared" si="53"/>
        <v>1</v>
      </c>
    </row>
    <row r="163" spans="1:83" x14ac:dyDescent="0.3">
      <c r="A163" s="2" t="s">
        <v>497</v>
      </c>
      <c r="B163" s="2" t="s">
        <v>116</v>
      </c>
      <c r="D163" s="192" t="s">
        <v>583</v>
      </c>
      <c r="E163" s="189">
        <v>48029</v>
      </c>
      <c r="F163" s="192"/>
      <c r="G163" s="105"/>
      <c r="H163" s="105"/>
      <c r="I163" s="105"/>
      <c r="J163" s="105">
        <v>1</v>
      </c>
      <c r="K163" s="105"/>
      <c r="L163" s="105"/>
      <c r="M163" s="105"/>
      <c r="N163" s="105" t="s">
        <v>756</v>
      </c>
      <c r="V163" s="175"/>
      <c r="X163" s="175">
        <f t="shared" si="49"/>
        <v>0.65248694591930423</v>
      </c>
      <c r="Y163" s="25">
        <v>0.48133884297520652</v>
      </c>
      <c r="AH163" s="23">
        <f>0.1*$Y163*'Cost inputs'!N$10</f>
        <v>6.3477667664101983E-2</v>
      </c>
      <c r="AI163" s="23">
        <f>0.9*$Y163*'Cost inputs'!O$10</f>
        <v>0.58900927825520222</v>
      </c>
      <c r="BO163" s="23"/>
      <c r="BP163" s="23" t="s">
        <v>449</v>
      </c>
      <c r="BQ163" s="175" t="str">
        <f t="shared" si="52"/>
        <v/>
      </c>
      <c r="BR163" s="23" t="str">
        <f>IFERROR(VLOOKUP(BQ163,'LTP '!$R$4:$S$86,2,0),"")</f>
        <v/>
      </c>
      <c r="CA163" s="23">
        <f t="shared" si="50"/>
        <v>0.65248694591930423</v>
      </c>
      <c r="CB163" s="115" t="e">
        <f t="shared" si="51"/>
        <v>#DIV/0!</v>
      </c>
      <c r="CE163" s="2">
        <f t="shared" si="53"/>
        <v>1</v>
      </c>
    </row>
    <row r="164" spans="1:83" x14ac:dyDescent="0.3">
      <c r="A164" s="2" t="s">
        <v>308</v>
      </c>
      <c r="B164" s="2" t="s">
        <v>116</v>
      </c>
      <c r="D164" s="192" t="s">
        <v>584</v>
      </c>
      <c r="E164" s="192" t="s">
        <v>310</v>
      </c>
      <c r="G164" s="105"/>
      <c r="H164" s="105"/>
      <c r="I164" s="105"/>
      <c r="J164" s="105">
        <v>1</v>
      </c>
      <c r="K164" s="105"/>
      <c r="L164" s="105"/>
      <c r="M164" s="105"/>
      <c r="N164" s="105"/>
      <c r="V164" s="175"/>
      <c r="X164" s="175">
        <f t="shared" si="49"/>
        <v>1.3644800000000001</v>
      </c>
      <c r="Y164" s="175"/>
      <c r="Z164" s="181">
        <f>VLOOKUP($E164,'LTP '!$D$4:$N$86,2+Z$11-$Z$11,0)/1000000</f>
        <v>0.1</v>
      </c>
      <c r="AA164" s="181">
        <f>VLOOKUP($E164,'LTP '!$D$4:$N$86,2+AA$11-$Z$11,0)/1000000</f>
        <v>1.26448</v>
      </c>
      <c r="AB164" s="181">
        <f>VLOOKUP($E164,'LTP '!$D$4:$N$86,2+AB$11-$Z$11,0)/1000000</f>
        <v>0</v>
      </c>
      <c r="AC164" s="181">
        <f>VLOOKUP($E164,'LTP '!$D$4:$N$86,2+AC$11-$Z$11,0)/1000000</f>
        <v>0</v>
      </c>
      <c r="AD164" s="181">
        <f>VLOOKUP($E164,'LTP '!$D$4:$N$86,2+AD$11-$Z$11,0)/1000000</f>
        <v>0</v>
      </c>
      <c r="AE164" s="181">
        <f>VLOOKUP($E164,'LTP '!$D$4:$N$86,2+AE$11-$Z$11,0)/1000000</f>
        <v>0</v>
      </c>
      <c r="AF164" s="181">
        <f>VLOOKUP($E164,'LTP '!$D$4:$N$86,2+AF$11-$Z$11,0)/1000000</f>
        <v>0</v>
      </c>
      <c r="AG164" s="181">
        <f>VLOOKUP($E164,'LTP '!$D$4:$N$86,2+AG$11-$Z$11,0)/1000000</f>
        <v>0</v>
      </c>
      <c r="AH164" s="181">
        <f>VLOOKUP($E164,'LTP '!$D$4:$N$86,2+AH$11-$Z$11,0)/1000000</f>
        <v>0</v>
      </c>
      <c r="AI164" s="181">
        <f>VLOOKUP($E164,'LTP '!$D$4:$N$86,2+AI$11-$Z$11,0)/1000000</f>
        <v>0</v>
      </c>
      <c r="BO164" s="23"/>
      <c r="BP164" s="23" t="s">
        <v>451</v>
      </c>
      <c r="BQ164" s="175" t="str">
        <f t="shared" si="52"/>
        <v>N.010032.22.01 - Purchas Hill/TT Res-dvlp of green O S</v>
      </c>
      <c r="BR164" s="23" t="str">
        <f>IFERROR(VLOOKUP(BQ164,'LTP '!$R$4:$S$86,2,0),"")</f>
        <v>PC3201336 - Development (Purchase Hill)</v>
      </c>
      <c r="CA164" s="23">
        <f t="shared" si="50"/>
        <v>1.3644800000000001</v>
      </c>
      <c r="CB164" s="115" t="str">
        <f t="shared" si="51"/>
        <v/>
      </c>
      <c r="CE164" s="2">
        <f t="shared" si="53"/>
        <v>1</v>
      </c>
    </row>
    <row r="165" spans="1:83" x14ac:dyDescent="0.3">
      <c r="A165" s="2" t="s">
        <v>378</v>
      </c>
      <c r="B165" s="2" t="s">
        <v>116</v>
      </c>
      <c r="D165" s="192" t="s">
        <v>585</v>
      </c>
      <c r="E165" s="192" t="s">
        <v>379</v>
      </c>
      <c r="G165" s="105"/>
      <c r="H165" s="105"/>
      <c r="I165" s="105"/>
      <c r="J165" s="105">
        <v>1</v>
      </c>
      <c r="K165" s="105"/>
      <c r="L165" s="105"/>
      <c r="M165" s="105"/>
      <c r="N165" s="105"/>
      <c r="V165" s="175"/>
      <c r="X165" s="175">
        <f t="shared" si="49"/>
        <v>0.62975999999999999</v>
      </c>
      <c r="Y165" s="175"/>
      <c r="Z165" s="181">
        <f>VLOOKUP($E165,'LTP '!$D$4:$N$86,2+Z$11-$Z$11,0)/1000000</f>
        <v>0</v>
      </c>
      <c r="AA165" s="181">
        <f>VLOOKUP($E165,'LTP '!$D$4:$N$86,2+AA$11-$Z$11,0)/1000000</f>
        <v>0.62975999999999999</v>
      </c>
      <c r="AB165" s="181">
        <f>VLOOKUP($E165,'LTP '!$D$4:$N$86,2+AB$11-$Z$11,0)/1000000</f>
        <v>0</v>
      </c>
      <c r="AC165" s="181">
        <f>VLOOKUP($E165,'LTP '!$D$4:$N$86,2+AC$11-$Z$11,0)/1000000</f>
        <v>0</v>
      </c>
      <c r="AD165" s="181">
        <f>VLOOKUP($E165,'LTP '!$D$4:$N$86,2+AD$11-$Z$11,0)/1000000</f>
        <v>0</v>
      </c>
      <c r="AE165" s="181">
        <f>VLOOKUP($E165,'LTP '!$D$4:$N$86,2+AE$11-$Z$11,0)/1000000</f>
        <v>0</v>
      </c>
      <c r="AF165" s="181">
        <f>VLOOKUP($E165,'LTP '!$D$4:$N$86,2+AF$11-$Z$11,0)/1000000</f>
        <v>0</v>
      </c>
      <c r="AG165" s="181">
        <f>VLOOKUP($E165,'LTP '!$D$4:$N$86,2+AG$11-$Z$11,0)/1000000</f>
        <v>0</v>
      </c>
      <c r="AH165" s="181">
        <f>VLOOKUP($E165,'LTP '!$D$4:$N$86,2+AH$11-$Z$11,0)/1000000</f>
        <v>0</v>
      </c>
      <c r="AI165" s="181">
        <f>VLOOKUP($E165,'LTP '!$D$4:$N$86,2+AI$11-$Z$11,0)/1000000</f>
        <v>0</v>
      </c>
      <c r="BO165" s="23"/>
      <c r="BP165" s="23" t="s">
        <v>451</v>
      </c>
      <c r="BQ165" s="175" t="str">
        <f t="shared" si="52"/>
        <v>N.010039.22 - BMX track Colin Maiden Park</v>
      </c>
      <c r="BR165" s="23" t="str">
        <f>IFERROR(VLOOKUP(BQ165,'LTP '!$R$4:$S$86,2,0),"")</f>
        <v>PC3201514 - BMX track (Colin Maiden Park)</v>
      </c>
      <c r="CA165" s="23">
        <f t="shared" si="50"/>
        <v>0.62975999999999999</v>
      </c>
      <c r="CB165" s="115" t="str">
        <f t="shared" si="51"/>
        <v/>
      </c>
      <c r="CE165" s="2">
        <f t="shared" si="53"/>
        <v>1</v>
      </c>
    </row>
    <row r="166" spans="1:83" x14ac:dyDescent="0.3">
      <c r="A166" s="2" t="s">
        <v>497</v>
      </c>
      <c r="B166" s="2" t="s">
        <v>116</v>
      </c>
      <c r="D166" s="192" t="s">
        <v>585</v>
      </c>
      <c r="E166" s="2" t="s">
        <v>586</v>
      </c>
      <c r="F166" s="184"/>
      <c r="G166" s="105"/>
      <c r="H166" s="105"/>
      <c r="I166" s="105"/>
      <c r="J166" s="105"/>
      <c r="K166" s="105"/>
      <c r="L166" s="105"/>
      <c r="M166" s="105"/>
      <c r="N166" s="105" t="s">
        <v>587</v>
      </c>
      <c r="V166" s="175"/>
      <c r="X166" s="175">
        <f t="shared" si="49"/>
        <v>7.9992501875652362</v>
      </c>
      <c r="Y166" s="25">
        <v>6.0447009294514036</v>
      </c>
      <c r="AF166" s="23">
        <f>0.1*$Y166*'Cost inputs'!L$10</f>
        <v>0.74994176292913362</v>
      </c>
      <c r="AG166" s="23">
        <f>0.1*$Y166*'Cost inputs'!M$10</f>
        <v>0.77318995757993669</v>
      </c>
      <c r="AH166" s="23">
        <f>0.4*$Y166*'Cost inputs'!N$10</f>
        <v>3.1886353850596585</v>
      </c>
      <c r="AI166" s="23">
        <f>0.4*$Y166*'Cost inputs'!O$10</f>
        <v>3.2874830819965077</v>
      </c>
      <c r="BO166" s="23"/>
      <c r="BP166" s="23" t="s">
        <v>449</v>
      </c>
      <c r="BQ166" s="175" t="str">
        <f t="shared" si="52"/>
        <v/>
      </c>
      <c r="BR166" s="23" t="str">
        <f>IFERROR(VLOOKUP(BQ166,'LTP '!$R$4:$S$86,2,0),"")</f>
        <v/>
      </c>
      <c r="CA166" s="23">
        <f t="shared" si="50"/>
        <v>7.9992501875652362</v>
      </c>
      <c r="CB166" s="115" t="e">
        <f t="shared" si="51"/>
        <v>#DIV/0!</v>
      </c>
      <c r="CE166" s="2">
        <f t="shared" si="53"/>
        <v>1</v>
      </c>
    </row>
    <row r="167" spans="1:83" x14ac:dyDescent="0.3">
      <c r="A167" s="2" t="s">
        <v>497</v>
      </c>
      <c r="B167" s="2" t="s">
        <v>203</v>
      </c>
      <c r="C167" s="86" t="s">
        <v>758</v>
      </c>
      <c r="D167" s="192" t="s">
        <v>588</v>
      </c>
      <c r="E167" s="191" t="s">
        <v>589</v>
      </c>
      <c r="F167" s="192"/>
      <c r="G167" s="105"/>
      <c r="H167" s="105"/>
      <c r="I167" s="105"/>
      <c r="J167" s="105">
        <v>1</v>
      </c>
      <c r="K167" s="105"/>
      <c r="L167" s="105"/>
      <c r="M167" s="105"/>
      <c r="N167" s="105" t="s">
        <v>756</v>
      </c>
      <c r="V167" s="175"/>
      <c r="X167" s="175">
        <f t="shared" si="49"/>
        <v>0.58141831137715094</v>
      </c>
      <c r="Y167" s="25">
        <v>0.45454545454545453</v>
      </c>
      <c r="AG167" s="23">
        <f>$Y167*'Cost inputs'!M$10</f>
        <v>0.58141831137715094</v>
      </c>
      <c r="BO167" s="23"/>
      <c r="BP167" s="23" t="s">
        <v>449</v>
      </c>
      <c r="BQ167" s="175" t="str">
        <f t="shared" si="52"/>
        <v/>
      </c>
      <c r="BR167" s="23" t="str">
        <f>IFERROR(VLOOKUP(BQ167,'LTP '!$R$4:$S$86,2,0),"")</f>
        <v/>
      </c>
      <c r="CA167" s="23">
        <f t="shared" si="50"/>
        <v>0.58141831137715094</v>
      </c>
      <c r="CB167" s="115" t="e">
        <f t="shared" si="51"/>
        <v>#DIV/0!</v>
      </c>
      <c r="CE167" s="2">
        <f t="shared" si="53"/>
        <v>1</v>
      </c>
    </row>
    <row r="168" spans="1:83" x14ac:dyDescent="0.3">
      <c r="A168" s="2" t="s">
        <v>497</v>
      </c>
      <c r="B168" s="2" t="s">
        <v>203</v>
      </c>
      <c r="C168" s="86"/>
      <c r="D168" s="192" t="s">
        <v>588</v>
      </c>
      <c r="E168" s="191" t="s">
        <v>499</v>
      </c>
      <c r="F168" s="192"/>
      <c r="G168" s="105"/>
      <c r="H168" s="105"/>
      <c r="I168" s="105"/>
      <c r="J168" s="105"/>
      <c r="K168" s="105"/>
      <c r="L168" s="105"/>
      <c r="M168" s="105"/>
      <c r="N168" s="105" t="s">
        <v>756</v>
      </c>
      <c r="V168" s="175"/>
      <c r="X168" s="175">
        <f t="shared" si="49"/>
        <v>0.38962870703344915</v>
      </c>
      <c r="Y168" s="25">
        <v>0.31404958677685946</v>
      </c>
      <c r="AF168" s="23">
        <f>$Y168*'Cost inputs'!L$10</f>
        <v>0.38962870703344915</v>
      </c>
      <c r="BO168" s="23"/>
      <c r="BP168" s="23" t="s">
        <v>449</v>
      </c>
      <c r="BQ168" s="175" t="str">
        <f t="shared" si="52"/>
        <v/>
      </c>
      <c r="BR168" s="23" t="str">
        <f>IFERROR(VLOOKUP(BQ168,'LTP '!$R$4:$S$86,2,0),"")</f>
        <v/>
      </c>
      <c r="CA168" s="23">
        <f t="shared" si="50"/>
        <v>0.38962870703344915</v>
      </c>
      <c r="CB168" s="115" t="e">
        <f t="shared" si="51"/>
        <v>#DIV/0!</v>
      </c>
      <c r="CE168" s="2">
        <f t="shared" si="53"/>
        <v>1</v>
      </c>
    </row>
    <row r="169" spans="1:83" x14ac:dyDescent="0.3">
      <c r="A169" s="2" t="s">
        <v>497</v>
      </c>
      <c r="B169" s="2" t="s">
        <v>203</v>
      </c>
      <c r="C169" s="86"/>
      <c r="D169" s="192" t="s">
        <v>590</v>
      </c>
      <c r="E169" s="191" t="s">
        <v>499</v>
      </c>
      <c r="F169" s="192"/>
      <c r="G169" s="105"/>
      <c r="H169" s="105"/>
      <c r="I169" s="105"/>
      <c r="J169" s="105">
        <v>1</v>
      </c>
      <c r="K169" s="105"/>
      <c r="L169" s="105"/>
      <c r="M169" s="105"/>
      <c r="N169" s="105" t="s">
        <v>756</v>
      </c>
      <c r="V169" s="175"/>
      <c r="X169" s="175">
        <f t="shared" si="49"/>
        <v>0.3729408472549478</v>
      </c>
      <c r="Y169" s="25">
        <v>0.30991735537190079</v>
      </c>
      <c r="AE169" s="23">
        <f>$Y169*'Cost inputs'!K$10</f>
        <v>0.3729408472549478</v>
      </c>
      <c r="BO169" s="23"/>
      <c r="BP169" s="23" t="s">
        <v>449</v>
      </c>
      <c r="BQ169" s="175" t="str">
        <f t="shared" si="52"/>
        <v/>
      </c>
      <c r="BR169" s="23" t="str">
        <f>IFERROR(VLOOKUP(BQ169,'LTP '!$R$4:$S$86,2,0),"")</f>
        <v/>
      </c>
      <c r="CA169" s="23">
        <f t="shared" si="50"/>
        <v>0.3729408472549478</v>
      </c>
      <c r="CB169" s="115" t="e">
        <f t="shared" si="51"/>
        <v>#DIV/0!</v>
      </c>
      <c r="CE169" s="2">
        <f t="shared" si="53"/>
        <v>1</v>
      </c>
    </row>
    <row r="170" spans="1:83" x14ac:dyDescent="0.3">
      <c r="A170" s="2" t="s">
        <v>382</v>
      </c>
      <c r="B170" s="2" t="s">
        <v>203</v>
      </c>
      <c r="C170" s="86"/>
      <c r="D170" s="192" t="s">
        <v>591</v>
      </c>
      <c r="E170" s="192" t="s">
        <v>392</v>
      </c>
      <c r="G170" s="105"/>
      <c r="H170" s="105"/>
      <c r="I170" s="105"/>
      <c r="J170" s="105">
        <v>1</v>
      </c>
      <c r="K170" s="105"/>
      <c r="L170" s="105"/>
      <c r="M170" s="105"/>
      <c r="N170" s="105"/>
      <c r="V170" s="175"/>
      <c r="X170" s="175">
        <f t="shared" si="49"/>
        <v>2.5000000000000001E-2</v>
      </c>
      <c r="Y170" s="175"/>
      <c r="Z170" s="181">
        <f>VLOOKUP($E170,'LTP '!$D$4:$N$86,2+Z$11-$Z$11,0)/1000000</f>
        <v>2.5000000000000001E-2</v>
      </c>
      <c r="AA170" s="181">
        <f>VLOOKUP($E170,'LTP '!$D$4:$N$86,2+AA$11-$Z$11,0)/1000000</f>
        <v>0</v>
      </c>
      <c r="AB170" s="181">
        <f>VLOOKUP($E170,'LTP '!$D$4:$N$86,2+AB$11-$Z$11,0)/1000000</f>
        <v>0</v>
      </c>
      <c r="AC170" s="181">
        <f>VLOOKUP($E170,'LTP '!$D$4:$N$86,2+AC$11-$Z$11,0)/1000000</f>
        <v>0</v>
      </c>
      <c r="AD170" s="181">
        <f>VLOOKUP($E170,'LTP '!$D$4:$N$86,2+AD$11-$Z$11,0)/1000000</f>
        <v>0</v>
      </c>
      <c r="AE170" s="181">
        <f>VLOOKUP($E170,'LTP '!$D$4:$N$86,2+AE$11-$Z$11,0)/1000000</f>
        <v>0</v>
      </c>
      <c r="AF170" s="181">
        <f>VLOOKUP($E170,'LTP '!$D$4:$N$86,2+AF$11-$Z$11,0)/1000000</f>
        <v>0</v>
      </c>
      <c r="AG170" s="181">
        <f>VLOOKUP($E170,'LTP '!$D$4:$N$86,2+AG$11-$Z$11,0)/1000000</f>
        <v>0</v>
      </c>
      <c r="AH170" s="181">
        <f>VLOOKUP($E170,'LTP '!$D$4:$N$86,2+AH$11-$Z$11,0)/1000000</f>
        <v>0</v>
      </c>
      <c r="AI170" s="181">
        <f>VLOOKUP($E170,'LTP '!$D$4:$N$86,2+AI$11-$Z$11,0)/1000000</f>
        <v>0</v>
      </c>
      <c r="BO170" s="23"/>
      <c r="BP170" s="23" t="s">
        <v>451</v>
      </c>
      <c r="BQ170" s="175" t="str">
        <f t="shared" si="52"/>
        <v>N.009964.09.12 - NHM/M Ctr Park-dvlp new pathway</v>
      </c>
      <c r="BR170" s="23" t="str">
        <f>IFERROR(VLOOKUP(BQ170,'LTP '!$R$4:$S$86,2,0),"")</f>
        <v>PC3201527 - Locally driven initiatives (LDI Capex)</v>
      </c>
      <c r="CA170" s="23">
        <f t="shared" si="50"/>
        <v>2.5000000000000001E-2</v>
      </c>
      <c r="CB170" s="115" t="str">
        <f t="shared" si="51"/>
        <v/>
      </c>
      <c r="CE170" s="2">
        <f t="shared" si="53"/>
        <v>1</v>
      </c>
    </row>
    <row r="171" spans="1:83" x14ac:dyDescent="0.3">
      <c r="A171" s="2" t="s">
        <v>497</v>
      </c>
      <c r="B171" s="2" t="s">
        <v>203</v>
      </c>
      <c r="C171" s="86"/>
      <c r="D171" s="192" t="s">
        <v>592</v>
      </c>
      <c r="E171" s="193">
        <v>46539</v>
      </c>
      <c r="F171" s="192"/>
      <c r="G171" s="105"/>
      <c r="H171" s="105"/>
      <c r="I171" s="105"/>
      <c r="J171" s="105"/>
      <c r="K171" s="105"/>
      <c r="L171" s="105"/>
      <c r="M171" s="105"/>
      <c r="N171" s="105" t="s">
        <v>756</v>
      </c>
      <c r="V171" s="175"/>
      <c r="X171" s="175">
        <f t="shared" si="49"/>
        <v>0.12816733783995038</v>
      </c>
      <c r="Y171" s="25">
        <v>0.10330578512396693</v>
      </c>
      <c r="AF171" s="23">
        <f>$Y171*'Cost inputs'!L$10</f>
        <v>0.12816733783995038</v>
      </c>
      <c r="BO171" s="23"/>
      <c r="BP171" s="23" t="s">
        <v>449</v>
      </c>
      <c r="BQ171" s="175" t="str">
        <f t="shared" si="52"/>
        <v/>
      </c>
      <c r="BR171" s="23" t="str">
        <f>IFERROR(VLOOKUP(BQ171,'LTP '!$R$4:$S$86,2,0),"")</f>
        <v/>
      </c>
      <c r="CA171" s="23">
        <f t="shared" si="50"/>
        <v>0.12816733783995038</v>
      </c>
      <c r="CB171" s="115" t="e">
        <f t="shared" si="51"/>
        <v>#DIV/0!</v>
      </c>
      <c r="CE171" s="2">
        <f t="shared" si="53"/>
        <v>1</v>
      </c>
    </row>
    <row r="172" spans="1:83" x14ac:dyDescent="0.3">
      <c r="A172" s="2" t="s">
        <v>557</v>
      </c>
      <c r="B172" s="2" t="s">
        <v>203</v>
      </c>
      <c r="C172" s="86" t="s">
        <v>543</v>
      </c>
      <c r="D172" s="192" t="s">
        <v>593</v>
      </c>
      <c r="E172" s="192"/>
      <c r="F172" s="192"/>
      <c r="G172" s="105"/>
      <c r="H172" s="105"/>
      <c r="I172" s="105"/>
      <c r="J172" s="105"/>
      <c r="K172" s="105"/>
      <c r="L172" s="105"/>
      <c r="M172" s="105"/>
      <c r="N172" s="105"/>
      <c r="V172" s="175"/>
      <c r="X172" s="175">
        <f t="shared" si="49"/>
        <v>0</v>
      </c>
      <c r="Y172" s="175"/>
      <c r="BO172" s="23"/>
      <c r="BP172" s="23" t="s">
        <v>455</v>
      </c>
      <c r="BQ172" s="175" t="str">
        <f t="shared" si="52"/>
        <v/>
      </c>
      <c r="BR172" s="23" t="str">
        <f>IFERROR(VLOOKUP(BQ172,'LTP '!$R$4:$S$86,2,0),"")</f>
        <v/>
      </c>
      <c r="CA172" s="23">
        <f t="shared" si="50"/>
        <v>0</v>
      </c>
      <c r="CB172" s="115" t="str">
        <f t="shared" si="51"/>
        <v/>
      </c>
      <c r="CE172" s="2">
        <f t="shared" si="53"/>
        <v>1</v>
      </c>
    </row>
    <row r="173" spans="1:83" x14ac:dyDescent="0.3">
      <c r="A173" s="2" t="s">
        <v>497</v>
      </c>
      <c r="B173" s="2" t="s">
        <v>203</v>
      </c>
      <c r="C173" s="86" t="s">
        <v>594</v>
      </c>
      <c r="D173" s="192" t="s">
        <v>595</v>
      </c>
      <c r="E173" s="189">
        <v>414367</v>
      </c>
      <c r="F173" s="192"/>
      <c r="G173" s="105"/>
      <c r="H173" s="105"/>
      <c r="I173" s="105"/>
      <c r="J173" s="105">
        <v>1</v>
      </c>
      <c r="K173" s="105"/>
      <c r="L173" s="105"/>
      <c r="M173" s="105"/>
      <c r="N173" s="105" t="s">
        <v>756</v>
      </c>
      <c r="V173" s="175"/>
      <c r="X173" s="175">
        <f t="shared" si="49"/>
        <v>8.5250265346837786</v>
      </c>
      <c r="Y173" s="25">
        <v>6.4420082644628085</v>
      </c>
      <c r="AF173" s="23">
        <f>0.1*$Y173*'Cost inputs'!L$10</f>
        <v>0.79923408801198426</v>
      </c>
      <c r="AG173" s="23">
        <f>0.1*$Y173*'Cost inputs'!M$10</f>
        <v>0.82401034474035573</v>
      </c>
      <c r="AH173" s="23">
        <f>0.4*$Y173*'Cost inputs'!N$10</f>
        <v>3.3982186617092269</v>
      </c>
      <c r="AI173" s="23">
        <f>0.4*$Y173*'Cost inputs'!O$10</f>
        <v>3.5035634402222127</v>
      </c>
      <c r="BO173" s="23"/>
      <c r="BP173" s="23" t="s">
        <v>449</v>
      </c>
      <c r="BQ173" s="175" t="str">
        <f t="shared" si="52"/>
        <v/>
      </c>
      <c r="BR173" s="23" t="str">
        <f>IFERROR(VLOOKUP(BQ173,'LTP '!$R$4:$S$86,2,0),"")</f>
        <v/>
      </c>
      <c r="CA173" s="23">
        <f t="shared" si="50"/>
        <v>8.5250265346837786</v>
      </c>
      <c r="CB173" s="115" t="e">
        <f t="shared" si="51"/>
        <v>#DIV/0!</v>
      </c>
      <c r="CE173" s="2">
        <f t="shared" si="53"/>
        <v>1</v>
      </c>
    </row>
    <row r="174" spans="1:83" x14ac:dyDescent="0.3">
      <c r="A174" s="2" t="s">
        <v>497</v>
      </c>
      <c r="B174" s="2" t="s">
        <v>203</v>
      </c>
      <c r="C174" s="86"/>
      <c r="D174" s="192" t="s">
        <v>596</v>
      </c>
      <c r="E174" s="189">
        <v>46568</v>
      </c>
      <c r="F174" s="192"/>
      <c r="G174" s="105"/>
      <c r="H174" s="105"/>
      <c r="I174" s="105"/>
      <c r="J174" s="105">
        <v>1</v>
      </c>
      <c r="K174" s="105"/>
      <c r="L174" s="105"/>
      <c r="M174" s="105"/>
      <c r="N174" s="105" t="s">
        <v>756</v>
      </c>
      <c r="V174" s="175"/>
      <c r="X174" s="175">
        <f t="shared" si="49"/>
        <v>0.59717776723795124</v>
      </c>
      <c r="Y174" s="25">
        <v>0.48133884297520652</v>
      </c>
      <c r="AF174" s="23">
        <f>$Y174*'Cost inputs'!L$10</f>
        <v>0.59717776723795124</v>
      </c>
      <c r="BO174" s="23"/>
      <c r="BP174" s="23" t="s">
        <v>449</v>
      </c>
      <c r="BQ174" s="175" t="str">
        <f t="shared" si="52"/>
        <v/>
      </c>
      <c r="BR174" s="23" t="str">
        <f>IFERROR(VLOOKUP(BQ174,'LTP '!$R$4:$S$86,2,0),"")</f>
        <v/>
      </c>
      <c r="CA174" s="23">
        <f t="shared" si="50"/>
        <v>0.59717776723795124</v>
      </c>
      <c r="CB174" s="115" t="e">
        <f t="shared" si="51"/>
        <v>#DIV/0!</v>
      </c>
      <c r="CE174" s="2">
        <f t="shared" si="53"/>
        <v>1</v>
      </c>
    </row>
    <row r="175" spans="1:83" x14ac:dyDescent="0.3">
      <c r="A175" s="2" t="s">
        <v>554</v>
      </c>
      <c r="B175" s="2" t="s">
        <v>203</v>
      </c>
      <c r="C175" s="86"/>
      <c r="D175" s="194" t="s">
        <v>597</v>
      </c>
      <c r="E175" s="195" t="s">
        <v>598</v>
      </c>
      <c r="F175" s="194">
        <f>3/4</f>
        <v>0.75</v>
      </c>
      <c r="G175" s="178"/>
      <c r="H175" s="178"/>
      <c r="I175" s="178"/>
      <c r="J175" s="178">
        <f>F175</f>
        <v>0.75</v>
      </c>
      <c r="K175" s="178"/>
      <c r="L175" s="178"/>
      <c r="M175" s="178"/>
      <c r="N175" s="178"/>
      <c r="O175" s="177"/>
      <c r="P175" s="177"/>
      <c r="Q175" s="177"/>
      <c r="R175" s="177">
        <v>2028</v>
      </c>
      <c r="S175" s="177" t="s">
        <v>881</v>
      </c>
      <c r="T175" s="177">
        <v>2028</v>
      </c>
      <c r="U175" s="177" cm="1">
        <f t="array" ref="U175">INDEX($Z$11:$BN$11,MATCH(TRUE,INDEX(Z175:BN175&lt;&gt;0,),0))</f>
        <v>2030</v>
      </c>
      <c r="V175" s="179">
        <f>SUMPRODUCT(J175:M175,$J$8:$M$8)</f>
        <v>3000</v>
      </c>
      <c r="W175" s="177"/>
      <c r="X175" s="187">
        <f t="shared" si="49"/>
        <v>2.5712006589846021</v>
      </c>
      <c r="Y175" s="180">
        <f>$V175*'Cost inputs'!$B$60/1000000</f>
        <v>2.0786963283571205</v>
      </c>
      <c r="Z175" s="177"/>
      <c r="AA175" s="177"/>
      <c r="AB175" s="177"/>
      <c r="AC175" s="177"/>
      <c r="AD175" s="177"/>
      <c r="AE175" s="180">
        <f>0.1*$Y175*'Cost inputs'!K$10</f>
        <v>0.25014112841566322</v>
      </c>
      <c r="AF175" s="180">
        <f>0.9*$Y175*'Cost inputs'!L$10</f>
        <v>2.321059530568939</v>
      </c>
      <c r="AG175" s="177"/>
      <c r="AH175" s="177"/>
      <c r="AI175" s="177"/>
      <c r="AJ175" s="177"/>
      <c r="AK175" s="177"/>
      <c r="AL175" s="177"/>
      <c r="AM175" s="177"/>
      <c r="AN175" s="177"/>
      <c r="AO175" s="177"/>
      <c r="AP175" s="177"/>
      <c r="AQ175" s="177"/>
      <c r="AR175" s="177"/>
      <c r="AS175" s="177"/>
      <c r="AT175" s="177"/>
      <c r="AU175" s="177"/>
      <c r="AV175" s="177"/>
      <c r="AW175" s="177"/>
      <c r="AX175" s="177"/>
      <c r="AY175" s="177"/>
      <c r="AZ175" s="177"/>
      <c r="BA175" s="177"/>
      <c r="BB175" s="177"/>
      <c r="BC175" s="177"/>
      <c r="BD175" s="177"/>
      <c r="BE175" s="177"/>
      <c r="BF175" s="177"/>
      <c r="BG175" s="177"/>
      <c r="BH175" s="177"/>
      <c r="BI175" s="177"/>
      <c r="BJ175" s="177"/>
      <c r="BO175" s="23"/>
      <c r="BP175" s="23" t="s">
        <v>449</v>
      </c>
      <c r="BQ175" s="175" t="str">
        <f t="shared" si="52"/>
        <v/>
      </c>
      <c r="BR175" s="23" t="str">
        <f>IFERROR(VLOOKUP(BQ175,'LTP '!$R$4:$S$86,2,0),"")</f>
        <v/>
      </c>
      <c r="CA175" s="23">
        <f t="shared" si="50"/>
        <v>2.5712006589846021</v>
      </c>
      <c r="CB175" s="115">
        <f t="shared" si="51"/>
        <v>857.06688632820067</v>
      </c>
      <c r="CE175" s="2">
        <f t="shared" si="53"/>
        <v>1</v>
      </c>
    </row>
    <row r="176" spans="1:83" x14ac:dyDescent="0.3">
      <c r="A176" s="2" t="s">
        <v>599</v>
      </c>
      <c r="B176" s="2" t="s">
        <v>203</v>
      </c>
      <c r="C176" s="86" t="s">
        <v>543</v>
      </c>
      <c r="D176" s="192" t="s">
        <v>600</v>
      </c>
      <c r="E176" s="192"/>
      <c r="F176" s="192"/>
      <c r="G176" s="105"/>
      <c r="H176" s="105"/>
      <c r="I176" s="105"/>
      <c r="J176" s="105"/>
      <c r="K176" s="105"/>
      <c r="L176" s="105"/>
      <c r="M176" s="105"/>
      <c r="N176" s="105"/>
      <c r="V176" s="175"/>
      <c r="X176" s="175">
        <f t="shared" si="49"/>
        <v>0</v>
      </c>
      <c r="Y176" s="175"/>
      <c r="BO176" s="23"/>
      <c r="BP176" s="23" t="s">
        <v>455</v>
      </c>
      <c r="BQ176" s="175" t="str">
        <f t="shared" si="52"/>
        <v/>
      </c>
      <c r="BR176" s="23" t="str">
        <f>IFERROR(VLOOKUP(BQ176,'LTP '!$R$4:$S$86,2,0),"")</f>
        <v/>
      </c>
      <c r="CA176" s="23">
        <f t="shared" si="50"/>
        <v>0</v>
      </c>
      <c r="CB176" s="115" t="str">
        <f t="shared" si="51"/>
        <v/>
      </c>
      <c r="CE176" s="2">
        <f t="shared" si="53"/>
        <v>1</v>
      </c>
    </row>
    <row r="177" spans="1:83" x14ac:dyDescent="0.3">
      <c r="A177" s="2" t="s">
        <v>497</v>
      </c>
      <c r="B177" s="2" t="s">
        <v>203</v>
      </c>
      <c r="C177" s="86"/>
      <c r="D177" s="192" t="s">
        <v>601</v>
      </c>
      <c r="E177" s="189">
        <v>47483</v>
      </c>
      <c r="F177" s="192"/>
      <c r="G177" s="105"/>
      <c r="H177" s="105"/>
      <c r="I177" s="105"/>
      <c r="J177" s="105">
        <v>1</v>
      </c>
      <c r="K177" s="105"/>
      <c r="L177" s="105"/>
      <c r="M177" s="105"/>
      <c r="N177" s="105" t="s">
        <v>756</v>
      </c>
      <c r="V177" s="175"/>
      <c r="X177" s="175">
        <f t="shared" si="49"/>
        <v>0.51322937274406488</v>
      </c>
      <c r="Y177" s="25">
        <v>0.21650413223140497</v>
      </c>
      <c r="AD177" s="23">
        <f>$Y177*'Cost inputs'!J$10</f>
        <v>0.25269786939638844</v>
      </c>
      <c r="AE177" s="23">
        <f>$Y177*'Cost inputs'!K$10</f>
        <v>0.2605315033476765</v>
      </c>
      <c r="BO177" s="23"/>
      <c r="BP177" s="23" t="s">
        <v>449</v>
      </c>
      <c r="BQ177" s="175" t="str">
        <f t="shared" si="52"/>
        <v/>
      </c>
      <c r="BR177" s="23" t="str">
        <f>IFERROR(VLOOKUP(BQ177,'LTP '!$R$4:$S$86,2,0),"")</f>
        <v/>
      </c>
      <c r="CA177" s="23">
        <f t="shared" si="50"/>
        <v>0.51322937274406488</v>
      </c>
      <c r="CB177" s="115" t="e">
        <f t="shared" si="51"/>
        <v>#DIV/0!</v>
      </c>
      <c r="CE177" s="2">
        <f t="shared" si="53"/>
        <v>1</v>
      </c>
    </row>
    <row r="178" spans="1:83" x14ac:dyDescent="0.3">
      <c r="A178" s="2" t="s">
        <v>497</v>
      </c>
      <c r="B178" s="2" t="s">
        <v>203</v>
      </c>
      <c r="C178" s="86"/>
      <c r="D178" s="192" t="s">
        <v>602</v>
      </c>
      <c r="E178" s="189">
        <v>46568</v>
      </c>
      <c r="F178" s="192"/>
      <c r="G178" s="105"/>
      <c r="H178" s="105"/>
      <c r="I178" s="105"/>
      <c r="J178" s="105">
        <v>1</v>
      </c>
      <c r="K178" s="105"/>
      <c r="L178" s="105"/>
      <c r="M178" s="105"/>
      <c r="N178" s="105" t="s">
        <v>756</v>
      </c>
      <c r="V178" s="175"/>
      <c r="X178" s="175">
        <f t="shared" si="49"/>
        <v>5.1266935135980161</v>
      </c>
      <c r="Y178" s="25">
        <v>4.1322314049586772</v>
      </c>
      <c r="AD178" s="23"/>
      <c r="AF178" s="23">
        <f>$Y178*'Cost inputs'!L$10</f>
        <v>5.1266935135980161</v>
      </c>
      <c r="BO178" s="23"/>
      <c r="BP178" s="23" t="s">
        <v>449</v>
      </c>
      <c r="BQ178" s="175" t="str">
        <f t="shared" si="52"/>
        <v/>
      </c>
      <c r="BR178" s="23" t="str">
        <f>IFERROR(VLOOKUP(BQ178,'LTP '!$R$4:$S$86,2,0),"")</f>
        <v/>
      </c>
      <c r="CA178" s="23">
        <f t="shared" si="50"/>
        <v>5.1266935135980161</v>
      </c>
      <c r="CB178" s="115" t="e">
        <f t="shared" si="51"/>
        <v>#DIV/0!</v>
      </c>
      <c r="CE178" s="2">
        <f t="shared" si="53"/>
        <v>1</v>
      </c>
    </row>
    <row r="179" spans="1:83" x14ac:dyDescent="0.3">
      <c r="A179" s="2" t="s">
        <v>603</v>
      </c>
      <c r="B179" s="2" t="s">
        <v>203</v>
      </c>
      <c r="C179" s="86" t="s">
        <v>543</v>
      </c>
      <c r="D179" s="192" t="s">
        <v>604</v>
      </c>
      <c r="E179" s="192"/>
      <c r="F179" s="192"/>
      <c r="G179" s="105"/>
      <c r="H179" s="105"/>
      <c r="I179" s="105"/>
      <c r="J179" s="105"/>
      <c r="K179" s="105"/>
      <c r="L179" s="105"/>
      <c r="M179" s="105"/>
      <c r="N179" s="105"/>
      <c r="V179" s="175"/>
      <c r="X179" s="175">
        <f t="shared" si="49"/>
        <v>0</v>
      </c>
      <c r="Y179" s="175"/>
      <c r="BO179" s="23"/>
      <c r="BP179" s="23" t="s">
        <v>455</v>
      </c>
      <c r="BQ179" s="175" t="str">
        <f t="shared" si="52"/>
        <v/>
      </c>
      <c r="BR179" s="23" t="str">
        <f>IFERROR(VLOOKUP(BQ179,'LTP '!$R$4:$S$86,2,0),"")</f>
        <v/>
      </c>
      <c r="CA179" s="23">
        <f t="shared" si="50"/>
        <v>0</v>
      </c>
      <c r="CB179" s="115" t="str">
        <f t="shared" si="51"/>
        <v/>
      </c>
      <c r="CE179" s="2">
        <f t="shared" si="53"/>
        <v>1</v>
      </c>
    </row>
    <row r="180" spans="1:83" x14ac:dyDescent="0.3">
      <c r="A180" s="2" t="s">
        <v>497</v>
      </c>
      <c r="B180" s="2" t="s">
        <v>203</v>
      </c>
      <c r="C180" s="86"/>
      <c r="D180" s="192" t="s">
        <v>605</v>
      </c>
      <c r="E180" s="189">
        <v>48029</v>
      </c>
      <c r="F180" s="192"/>
      <c r="G180" s="105"/>
      <c r="H180" s="105"/>
      <c r="I180" s="105"/>
      <c r="J180" s="105">
        <v>1</v>
      </c>
      <c r="K180" s="105"/>
      <c r="L180" s="105"/>
      <c r="M180" s="105"/>
      <c r="N180" s="105" t="s">
        <v>756</v>
      </c>
      <c r="V180" s="175"/>
      <c r="X180" s="175">
        <f t="shared" si="49"/>
        <v>2.0506774054392061</v>
      </c>
      <c r="Y180" s="25">
        <v>1.6528925619834709</v>
      </c>
      <c r="AD180" s="23"/>
      <c r="AF180" s="23">
        <f>$Y180*'Cost inputs'!L$10</f>
        <v>2.0506774054392061</v>
      </c>
      <c r="BO180" s="23"/>
      <c r="BP180" s="23" t="s">
        <v>449</v>
      </c>
      <c r="BQ180" s="175" t="str">
        <f t="shared" si="52"/>
        <v/>
      </c>
      <c r="BR180" s="23" t="str">
        <f>IFERROR(VLOOKUP(BQ180,'LTP '!$R$4:$S$86,2,0),"")</f>
        <v/>
      </c>
      <c r="CA180" s="23">
        <f t="shared" si="50"/>
        <v>2.0506774054392061</v>
      </c>
      <c r="CB180" s="115" t="e">
        <f t="shared" si="51"/>
        <v>#DIV/0!</v>
      </c>
      <c r="CE180" s="2">
        <f t="shared" si="53"/>
        <v>1</v>
      </c>
    </row>
    <row r="181" spans="1:83" x14ac:dyDescent="0.3">
      <c r="A181" s="2" t="s">
        <v>557</v>
      </c>
      <c r="B181" s="2" t="s">
        <v>203</v>
      </c>
      <c r="C181" s="86" t="s">
        <v>543</v>
      </c>
      <c r="D181" s="192" t="s">
        <v>606</v>
      </c>
      <c r="E181" s="192"/>
      <c r="F181" s="192" t="s">
        <v>810</v>
      </c>
      <c r="G181" s="105"/>
      <c r="H181" s="105"/>
      <c r="I181" s="105"/>
      <c r="J181" s="105"/>
      <c r="K181" s="105"/>
      <c r="L181" s="105"/>
      <c r="M181" s="105"/>
      <c r="N181" s="105"/>
      <c r="V181" s="175"/>
      <c r="X181" s="175">
        <f t="shared" si="49"/>
        <v>0</v>
      </c>
      <c r="Y181" s="175"/>
      <c r="BO181" s="23"/>
      <c r="BP181" s="23" t="s">
        <v>455</v>
      </c>
      <c r="BQ181" s="175" t="str">
        <f t="shared" si="52"/>
        <v/>
      </c>
      <c r="BR181" s="23" t="str">
        <f>IFERROR(VLOOKUP(BQ181,'LTP '!$R$4:$S$86,2,0),"")</f>
        <v/>
      </c>
      <c r="CA181" s="23">
        <f t="shared" si="50"/>
        <v>0</v>
      </c>
      <c r="CB181" s="115" t="str">
        <f t="shared" si="51"/>
        <v/>
      </c>
      <c r="CE181" s="2">
        <f t="shared" si="53"/>
        <v>1</v>
      </c>
    </row>
    <row r="182" spans="1:83" x14ac:dyDescent="0.3">
      <c r="A182" s="2" t="s">
        <v>497</v>
      </c>
      <c r="B182" s="2" t="s">
        <v>203</v>
      </c>
      <c r="C182" s="86"/>
      <c r="D182" s="192" t="s">
        <v>607</v>
      </c>
      <c r="E182" s="191" t="s">
        <v>499</v>
      </c>
      <c r="F182" s="192"/>
      <c r="G182" s="105"/>
      <c r="H182" s="105"/>
      <c r="I182" s="105"/>
      <c r="J182" s="105"/>
      <c r="K182" s="105"/>
      <c r="L182" s="105"/>
      <c r="M182" s="105"/>
      <c r="N182" s="105" t="s">
        <v>756</v>
      </c>
      <c r="V182" s="175"/>
      <c r="X182" s="175">
        <f t="shared" si="49"/>
        <v>0.40513457703738265</v>
      </c>
      <c r="Y182" s="25">
        <v>0.34710743801652888</v>
      </c>
      <c r="AD182" s="23">
        <f>$Y182*'Cost inputs'!J$10</f>
        <v>0.40513457703738265</v>
      </c>
      <c r="BO182" s="23"/>
      <c r="BP182" s="23" t="s">
        <v>449</v>
      </c>
      <c r="BQ182" s="175" t="str">
        <f t="shared" si="52"/>
        <v/>
      </c>
      <c r="BR182" s="23" t="str">
        <f>IFERROR(VLOOKUP(BQ182,'LTP '!$R$4:$S$86,2,0),"")</f>
        <v/>
      </c>
      <c r="CA182" s="23">
        <f t="shared" si="50"/>
        <v>0.40513457703738265</v>
      </c>
      <c r="CB182" s="115" t="e">
        <f t="shared" si="51"/>
        <v>#DIV/0!</v>
      </c>
      <c r="CE182" s="2">
        <f t="shared" si="53"/>
        <v>1</v>
      </c>
    </row>
    <row r="183" spans="1:83" x14ac:dyDescent="0.3">
      <c r="A183" s="2" t="s">
        <v>497</v>
      </c>
      <c r="B183" s="2" t="s">
        <v>203</v>
      </c>
      <c r="C183" s="86"/>
      <c r="D183" s="192" t="s">
        <v>608</v>
      </c>
      <c r="E183" s="189">
        <v>46568</v>
      </c>
      <c r="F183" s="192"/>
      <c r="G183" s="105"/>
      <c r="H183" s="105"/>
      <c r="I183" s="105"/>
      <c r="J183" s="105">
        <v>1</v>
      </c>
      <c r="K183" s="105"/>
      <c r="L183" s="105"/>
      <c r="M183" s="105"/>
      <c r="N183" s="105" t="s">
        <v>756</v>
      </c>
      <c r="V183" s="175"/>
      <c r="X183" s="175">
        <f t="shared" si="49"/>
        <v>0.70627496657381239</v>
      </c>
      <c r="Y183" s="25">
        <v>0.60511570247933877</v>
      </c>
      <c r="AD183" s="23">
        <f>$Y183*'Cost inputs'!J$10</f>
        <v>0.70627496657381239</v>
      </c>
      <c r="BO183" s="23"/>
      <c r="BP183" s="23" t="s">
        <v>449</v>
      </c>
      <c r="BQ183" s="175" t="str">
        <f t="shared" si="52"/>
        <v/>
      </c>
      <c r="BR183" s="23" t="str">
        <f>IFERROR(VLOOKUP(BQ183,'LTP '!$R$4:$S$86,2,0),"")</f>
        <v/>
      </c>
      <c r="CA183" s="23">
        <f t="shared" si="50"/>
        <v>0.70627496657381239</v>
      </c>
      <c r="CB183" s="115" t="e">
        <f t="shared" si="51"/>
        <v>#DIV/0!</v>
      </c>
      <c r="CE183" s="2">
        <f t="shared" si="53"/>
        <v>1</v>
      </c>
    </row>
    <row r="184" spans="1:83" x14ac:dyDescent="0.3">
      <c r="A184" s="2" t="s">
        <v>603</v>
      </c>
      <c r="B184" s="2" t="s">
        <v>203</v>
      </c>
      <c r="C184" s="86" t="s">
        <v>543</v>
      </c>
      <c r="D184" s="192" t="s">
        <v>609</v>
      </c>
      <c r="E184" s="192"/>
      <c r="F184" s="192"/>
      <c r="G184" s="105"/>
      <c r="H184" s="105"/>
      <c r="I184" s="105"/>
      <c r="J184" s="105"/>
      <c r="K184" s="105"/>
      <c r="L184" s="105"/>
      <c r="M184" s="105"/>
      <c r="N184" s="105"/>
      <c r="V184" s="175"/>
      <c r="X184" s="175">
        <f t="shared" si="49"/>
        <v>0</v>
      </c>
      <c r="Y184" s="175"/>
      <c r="BO184" s="23"/>
      <c r="BP184" s="23" t="s">
        <v>455</v>
      </c>
      <c r="BQ184" s="175" t="str">
        <f t="shared" si="52"/>
        <v/>
      </c>
      <c r="BR184" s="23" t="str">
        <f>IFERROR(VLOOKUP(BQ184,'LTP '!$R$4:$S$86,2,0),"")</f>
        <v/>
      </c>
      <c r="CA184" s="23">
        <f t="shared" si="50"/>
        <v>0</v>
      </c>
      <c r="CB184" s="115" t="str">
        <f t="shared" si="51"/>
        <v/>
      </c>
      <c r="CE184" s="2">
        <f t="shared" si="53"/>
        <v>1</v>
      </c>
    </row>
    <row r="185" spans="1:83" x14ac:dyDescent="0.3">
      <c r="A185" s="2" t="s">
        <v>497</v>
      </c>
      <c r="B185" s="2" t="s">
        <v>203</v>
      </c>
      <c r="C185" s="86"/>
      <c r="D185" s="192" t="s">
        <v>610</v>
      </c>
      <c r="E185" s="189">
        <v>46934</v>
      </c>
      <c r="F185" s="192"/>
      <c r="G185" s="105"/>
      <c r="H185" s="105"/>
      <c r="I185" s="105"/>
      <c r="J185" s="105">
        <v>1</v>
      </c>
      <c r="K185" s="105"/>
      <c r="L185" s="105"/>
      <c r="M185" s="105"/>
      <c r="N185" s="105" t="s">
        <v>756</v>
      </c>
      <c r="V185" s="175"/>
      <c r="X185" s="175">
        <f t="shared" ref="X185:X241" si="54">SUM(Z185:AI185)</f>
        <v>0.78318301378140898</v>
      </c>
      <c r="Y185" s="25">
        <v>0.67100826446280992</v>
      </c>
      <c r="AD185" s="23">
        <f>$Y185*'Cost inputs'!J$10</f>
        <v>0.78318301378140898</v>
      </c>
      <c r="BO185" s="23"/>
      <c r="BP185" s="23" t="s">
        <v>449</v>
      </c>
      <c r="BQ185" s="175" t="str">
        <f t="shared" si="52"/>
        <v/>
      </c>
      <c r="BR185" s="23" t="str">
        <f>IFERROR(VLOOKUP(BQ185,'LTP '!$R$4:$S$86,2,0),"")</f>
        <v/>
      </c>
      <c r="CA185" s="23">
        <f t="shared" si="50"/>
        <v>0.78318301378140898</v>
      </c>
      <c r="CB185" s="115" t="e">
        <f t="shared" si="51"/>
        <v>#DIV/0!</v>
      </c>
      <c r="CE185" s="2">
        <f t="shared" si="53"/>
        <v>1</v>
      </c>
    </row>
    <row r="186" spans="1:83" x14ac:dyDescent="0.3">
      <c r="A186" s="2" t="s">
        <v>611</v>
      </c>
      <c r="B186" s="2" t="s">
        <v>203</v>
      </c>
      <c r="C186" s="86" t="s">
        <v>543</v>
      </c>
      <c r="D186" s="192" t="s">
        <v>612</v>
      </c>
      <c r="E186" s="192" t="s">
        <v>371</v>
      </c>
      <c r="G186" s="105"/>
      <c r="H186" s="105"/>
      <c r="I186" s="105"/>
      <c r="J186" s="105"/>
      <c r="K186" s="105"/>
      <c r="L186" s="105"/>
      <c r="M186" s="105"/>
      <c r="N186" s="105"/>
      <c r="V186" s="175"/>
      <c r="X186" s="175">
        <f t="shared" si="54"/>
        <v>0</v>
      </c>
      <c r="Y186" s="175"/>
      <c r="BO186" s="23"/>
      <c r="BP186" s="23" t="s">
        <v>455</v>
      </c>
      <c r="BQ186" s="175" t="str">
        <f t="shared" si="52"/>
        <v/>
      </c>
      <c r="BR186" s="23" t="str">
        <f>IFERROR(VLOOKUP(BQ186,'LTP '!$R$4:$S$86,2,0),"")</f>
        <v/>
      </c>
      <c r="CA186" s="23">
        <f t="shared" si="50"/>
        <v>0</v>
      </c>
      <c r="CB186" s="115" t="str">
        <f t="shared" si="51"/>
        <v/>
      </c>
      <c r="CE186" s="2">
        <f t="shared" si="53"/>
        <v>1</v>
      </c>
    </row>
    <row r="187" spans="1:83" x14ac:dyDescent="0.3">
      <c r="A187" s="2" t="s">
        <v>611</v>
      </c>
      <c r="B187" s="2" t="s">
        <v>203</v>
      </c>
      <c r="C187" s="86" t="s">
        <v>543</v>
      </c>
      <c r="D187" s="192" t="s">
        <v>613</v>
      </c>
      <c r="E187" s="192" t="s">
        <v>359</v>
      </c>
      <c r="G187" s="105"/>
      <c r="H187" s="105"/>
      <c r="I187" s="105"/>
      <c r="J187" s="105"/>
      <c r="K187" s="105"/>
      <c r="L187" s="105"/>
      <c r="M187" s="105"/>
      <c r="N187" s="105"/>
      <c r="V187" s="175"/>
      <c r="X187" s="175">
        <f t="shared" si="54"/>
        <v>0</v>
      </c>
      <c r="Y187" s="175"/>
      <c r="BO187" s="23"/>
      <c r="BP187" s="23" t="s">
        <v>455</v>
      </c>
      <c r="BQ187" s="175" t="str">
        <f t="shared" si="52"/>
        <v/>
      </c>
      <c r="BR187" s="23" t="str">
        <f>IFERROR(VLOOKUP(BQ187,'LTP '!$R$4:$S$86,2,0),"")</f>
        <v/>
      </c>
      <c r="CA187" s="23">
        <f t="shared" si="50"/>
        <v>0</v>
      </c>
      <c r="CB187" s="115" t="str">
        <f t="shared" si="51"/>
        <v/>
      </c>
      <c r="CE187" s="2">
        <f t="shared" si="53"/>
        <v>1</v>
      </c>
    </row>
    <row r="188" spans="1:83" x14ac:dyDescent="0.3">
      <c r="A188" s="2" t="s">
        <v>800</v>
      </c>
      <c r="B188" s="2" t="s">
        <v>203</v>
      </c>
      <c r="C188" s="86"/>
      <c r="D188" s="192" t="s">
        <v>614</v>
      </c>
      <c r="E188" s="192" t="s">
        <v>331</v>
      </c>
      <c r="G188" s="105"/>
      <c r="H188" s="105"/>
      <c r="I188" s="105"/>
      <c r="J188" s="105">
        <v>1</v>
      </c>
      <c r="K188" s="105"/>
      <c r="L188" s="105"/>
      <c r="M188" s="105"/>
      <c r="N188" s="105"/>
      <c r="V188" s="175"/>
      <c r="X188" s="175">
        <f t="shared" si="54"/>
        <v>2.1214649999999997</v>
      </c>
      <c r="Y188" s="175"/>
      <c r="Z188" s="2">
        <v>0.221465</v>
      </c>
      <c r="AA188" s="2">
        <v>0.9</v>
      </c>
      <c r="AB188" s="2">
        <v>1</v>
      </c>
      <c r="BO188" s="23"/>
      <c r="BP188" s="23" t="s">
        <v>451</v>
      </c>
      <c r="BQ188" s="175" t="str">
        <f t="shared" si="52"/>
        <v>N.005219.03.06 - David Lange Park - upgrade suburb park</v>
      </c>
      <c r="BR188" s="23" t="str">
        <f>IFERROR(VLOOKUP(BQ188,'LTP '!$R$4:$S$86,2,0),"")</f>
        <v>PC3201501 - General park development</v>
      </c>
      <c r="CA188" s="23">
        <f t="shared" si="50"/>
        <v>2.1214649999999997</v>
      </c>
      <c r="CB188" s="115" t="str">
        <f t="shared" si="51"/>
        <v/>
      </c>
      <c r="CE188" s="2">
        <f t="shared" si="53"/>
        <v>1</v>
      </c>
    </row>
    <row r="189" spans="1:83" x14ac:dyDescent="0.3">
      <c r="A189" s="2" t="s">
        <v>357</v>
      </c>
      <c r="B189" s="2" t="s">
        <v>203</v>
      </c>
      <c r="C189" s="86"/>
      <c r="D189" s="192" t="s">
        <v>615</v>
      </c>
      <c r="E189" s="192" t="s">
        <v>360</v>
      </c>
      <c r="G189" s="105"/>
      <c r="H189" s="105"/>
      <c r="I189" s="105"/>
      <c r="J189" s="105">
        <v>1</v>
      </c>
      <c r="K189" s="105"/>
      <c r="L189" s="105"/>
      <c r="M189" s="105"/>
      <c r="N189" s="105"/>
      <c r="V189" s="175"/>
      <c r="X189" s="175">
        <f t="shared" si="54"/>
        <v>0.8</v>
      </c>
      <c r="Y189" s="175"/>
      <c r="Z189" s="181">
        <f>VLOOKUP($E189,'LTP '!$D$4:$N$86,2+Z$11-$Z$11,0)/1000000</f>
        <v>0.05</v>
      </c>
      <c r="AA189" s="181">
        <f>VLOOKUP($E189,'LTP '!$D$4:$N$86,2+AA$11-$Z$11,0)/1000000</f>
        <v>0.25</v>
      </c>
      <c r="AB189" s="181">
        <v>0.5</v>
      </c>
      <c r="AC189" s="181">
        <f>VLOOKUP($E189,'LTP '!$D$4:$N$86,2+AC$11-$Z$11,0)/1000000</f>
        <v>0</v>
      </c>
      <c r="AD189" s="181">
        <f>VLOOKUP($E189,'LTP '!$D$4:$N$86,2+AD$11-$Z$11,0)/1000000</f>
        <v>0</v>
      </c>
      <c r="AE189" s="181">
        <f>VLOOKUP($E189,'LTP '!$D$4:$N$86,2+AE$11-$Z$11,0)/1000000</f>
        <v>0</v>
      </c>
      <c r="AF189" s="181">
        <f>VLOOKUP($E189,'LTP '!$D$4:$N$86,2+AF$11-$Z$11,0)/1000000</f>
        <v>0</v>
      </c>
      <c r="AG189" s="181">
        <f>VLOOKUP($E189,'LTP '!$D$4:$N$86,2+AG$11-$Z$11,0)/1000000</f>
        <v>0</v>
      </c>
      <c r="AH189" s="181">
        <f>VLOOKUP($E189,'LTP '!$D$4:$N$86,2+AH$11-$Z$11,0)/1000000</f>
        <v>0</v>
      </c>
      <c r="AI189" s="181">
        <f>VLOOKUP($E189,'LTP '!$D$4:$N$86,2+AI$11-$Z$11,0)/1000000</f>
        <v>0</v>
      </c>
      <c r="BO189" s="23"/>
      <c r="BP189" s="23" t="s">
        <v>451</v>
      </c>
      <c r="BQ189" s="175" t="str">
        <f t="shared" si="52"/>
        <v>N.009961.09.02 - Imrie Park-upg plyg &amp; insl perimeter pth</v>
      </c>
      <c r="BR189" s="23" t="str">
        <f>IFERROR(VLOOKUP(BQ189,'LTP '!$R$4:$S$86,2,0),"")</f>
        <v>PC3201502 - Playscape development</v>
      </c>
      <c r="CA189" s="23">
        <f t="shared" si="50"/>
        <v>0.8</v>
      </c>
      <c r="CB189" s="115" t="str">
        <f t="shared" si="51"/>
        <v/>
      </c>
      <c r="CE189" s="2">
        <f t="shared" si="53"/>
        <v>1</v>
      </c>
    </row>
    <row r="190" spans="1:83" x14ac:dyDescent="0.3">
      <c r="A190" s="2" t="s">
        <v>497</v>
      </c>
      <c r="B190" s="2" t="s">
        <v>200</v>
      </c>
      <c r="C190" s="2" t="s">
        <v>200</v>
      </c>
      <c r="D190" s="2" t="s">
        <v>616</v>
      </c>
      <c r="E190" s="7" t="s">
        <v>617</v>
      </c>
      <c r="F190" s="184"/>
      <c r="G190" s="184"/>
      <c r="H190" s="184"/>
      <c r="I190" s="184"/>
      <c r="J190" s="184">
        <v>1</v>
      </c>
      <c r="K190" s="105"/>
      <c r="L190" s="105"/>
      <c r="M190" s="105"/>
      <c r="N190" s="105" t="s">
        <v>756</v>
      </c>
      <c r="O190" s="215"/>
      <c r="V190" s="175"/>
      <c r="W190" s="175"/>
      <c r="X190" s="175">
        <f>SUM(Z190:AI190)</f>
        <v>1.3124124376824815</v>
      </c>
      <c r="Y190" s="25">
        <v>0.99173553719008245</v>
      </c>
      <c r="Z190" s="181"/>
      <c r="AA190" s="181"/>
      <c r="AB190" s="181"/>
      <c r="AC190" s="181"/>
      <c r="AD190" s="181"/>
      <c r="AE190" s="181"/>
      <c r="AF190" s="23">
        <f>0.1*$Y190*'Cost inputs'!L$10</f>
        <v>0.12304064432635238</v>
      </c>
      <c r="AG190" s="23">
        <f>0.1*$Y190*'Cost inputs'!M$10</f>
        <v>0.12685490430046928</v>
      </c>
      <c r="AH190" s="23">
        <f>0.4*$Y190*'Cost inputs'!N$10</f>
        <v>0.52314962533513532</v>
      </c>
      <c r="AI190" s="23">
        <f>0.4*$Y190*'Cost inputs'!O$10</f>
        <v>0.53936726372052446</v>
      </c>
      <c r="BO190" s="23"/>
      <c r="BP190" s="23" t="s">
        <v>449</v>
      </c>
      <c r="BQ190" s="175" t="str">
        <f t="shared" si="52"/>
        <v/>
      </c>
      <c r="BR190" s="23" t="str">
        <f>IFERROR(VLOOKUP(BQ190,'LTP '!$R$4:$S$86,2,0),"")</f>
        <v/>
      </c>
      <c r="CA190" s="23">
        <f t="shared" si="50"/>
        <v>1.3124124376824815</v>
      </c>
      <c r="CB190" s="115" t="e">
        <f t="shared" si="51"/>
        <v>#DIV/0!</v>
      </c>
      <c r="CE190" s="2">
        <f t="shared" ref="CE190:CE198" si="55">COUNTIF($B$291:$B$319,B190)</f>
        <v>1</v>
      </c>
    </row>
    <row r="191" spans="1:83" x14ac:dyDescent="0.3">
      <c r="A191" s="2" t="s">
        <v>538</v>
      </c>
      <c r="B191" s="2" t="s">
        <v>200</v>
      </c>
      <c r="C191" s="86" t="s">
        <v>543</v>
      </c>
      <c r="D191" s="192" t="s">
        <v>618</v>
      </c>
      <c r="E191" s="192"/>
      <c r="F191" s="192"/>
      <c r="G191" s="105"/>
      <c r="H191" s="105"/>
      <c r="I191" s="105"/>
      <c r="J191" s="105"/>
      <c r="K191" s="105"/>
      <c r="L191" s="105"/>
      <c r="M191" s="105"/>
      <c r="N191" s="105"/>
      <c r="V191" s="175"/>
      <c r="X191" s="175">
        <f t="shared" si="54"/>
        <v>0</v>
      </c>
      <c r="Y191" s="175"/>
      <c r="BO191" s="23"/>
      <c r="BP191" s="23" t="s">
        <v>455</v>
      </c>
      <c r="BQ191" s="175" t="str">
        <f t="shared" si="52"/>
        <v/>
      </c>
      <c r="BR191" s="23" t="str">
        <f>IFERROR(VLOOKUP(BQ191,'LTP '!$R$4:$S$86,2,0),"")</f>
        <v/>
      </c>
      <c r="CA191" s="23">
        <f t="shared" si="50"/>
        <v>0</v>
      </c>
      <c r="CB191" s="115" t="str">
        <f t="shared" si="51"/>
        <v/>
      </c>
      <c r="CE191" s="2">
        <f t="shared" si="55"/>
        <v>1</v>
      </c>
    </row>
    <row r="192" spans="1:83" x14ac:dyDescent="0.3">
      <c r="A192" s="2" t="s">
        <v>538</v>
      </c>
      <c r="B192" s="2" t="s">
        <v>200</v>
      </c>
      <c r="C192" s="86" t="s">
        <v>543</v>
      </c>
      <c r="D192" s="192" t="s">
        <v>619</v>
      </c>
      <c r="E192" s="192"/>
      <c r="F192" s="105"/>
      <c r="G192" s="105"/>
      <c r="H192" s="105"/>
      <c r="I192" s="105"/>
      <c r="J192" s="105"/>
      <c r="K192" s="105"/>
      <c r="L192" s="105"/>
      <c r="M192" s="105"/>
      <c r="N192" s="105"/>
      <c r="V192" s="175"/>
      <c r="X192" s="175">
        <f t="shared" si="54"/>
        <v>0</v>
      </c>
      <c r="Y192" s="175"/>
      <c r="BO192" s="23"/>
      <c r="BP192" s="23" t="s">
        <v>455</v>
      </c>
      <c r="BQ192" s="175" t="str">
        <f t="shared" si="52"/>
        <v/>
      </c>
      <c r="BR192" s="23" t="str">
        <f>IFERROR(VLOOKUP(BQ192,'LTP '!$R$4:$S$86,2,0),"")</f>
        <v/>
      </c>
      <c r="CA192" s="23">
        <f t="shared" si="50"/>
        <v>0</v>
      </c>
      <c r="CB192" s="115" t="str">
        <f t="shared" si="51"/>
        <v/>
      </c>
      <c r="CE192" s="2">
        <f t="shared" si="55"/>
        <v>1</v>
      </c>
    </row>
    <row r="193" spans="1:83" x14ac:dyDescent="0.3">
      <c r="A193" s="2" t="s">
        <v>538</v>
      </c>
      <c r="B193" s="2" t="s">
        <v>200</v>
      </c>
      <c r="C193" s="86" t="s">
        <v>543</v>
      </c>
      <c r="D193" s="192" t="s">
        <v>620</v>
      </c>
      <c r="E193" s="192"/>
      <c r="F193" s="105"/>
      <c r="G193" s="105"/>
      <c r="H193" s="105"/>
      <c r="I193" s="105"/>
      <c r="J193" s="105"/>
      <c r="K193" s="105"/>
      <c r="L193" s="105"/>
      <c r="M193" s="105"/>
      <c r="N193" s="105"/>
      <c r="V193" s="175"/>
      <c r="X193" s="175">
        <f t="shared" si="54"/>
        <v>0</v>
      </c>
      <c r="Y193" s="175"/>
      <c r="BO193" s="23"/>
      <c r="BP193" s="23" t="s">
        <v>455</v>
      </c>
      <c r="BQ193" s="175" t="str">
        <f t="shared" si="52"/>
        <v/>
      </c>
      <c r="BR193" s="23" t="str">
        <f>IFERROR(VLOOKUP(BQ193,'LTP '!$R$4:$S$86,2,0),"")</f>
        <v/>
      </c>
      <c r="CA193" s="23">
        <f t="shared" si="50"/>
        <v>0</v>
      </c>
      <c r="CB193" s="115" t="str">
        <f t="shared" si="51"/>
        <v/>
      </c>
      <c r="CE193" s="2">
        <f t="shared" si="55"/>
        <v>1</v>
      </c>
    </row>
    <row r="194" spans="1:83" x14ac:dyDescent="0.3">
      <c r="A194" s="2" t="s">
        <v>296</v>
      </c>
      <c r="B194" s="2" t="s">
        <v>113</v>
      </c>
      <c r="D194" s="2" t="s">
        <v>450</v>
      </c>
      <c r="E194" s="2" t="s">
        <v>298</v>
      </c>
      <c r="F194" s="184"/>
      <c r="G194" s="105"/>
      <c r="H194" s="105"/>
      <c r="I194" s="105"/>
      <c r="J194" s="105">
        <v>1</v>
      </c>
      <c r="K194" s="105"/>
      <c r="L194" s="105"/>
      <c r="M194" s="105"/>
      <c r="N194" s="105"/>
      <c r="V194" s="175"/>
      <c r="X194" s="175">
        <f t="shared" si="54"/>
        <v>0.6971369999999999</v>
      </c>
      <c r="Y194" s="175"/>
      <c r="Z194" s="181">
        <f>VLOOKUP($E194,'LTP '!$D$4:$N$86,2+Z$11-$Z$11,0)/1000000</f>
        <v>0</v>
      </c>
      <c r="AA194" s="181">
        <f>VLOOKUP($E194,'LTP '!$D$4:$N$86,2+AA$11-$Z$11,0)/1000000</f>
        <v>7.0000000000000007E-2</v>
      </c>
      <c r="AB194" s="181">
        <f>VLOOKUP($E194,'LTP '!$D$4:$N$86,2+AB$11-$Z$11,0)/1000000</f>
        <v>0.62713699999999994</v>
      </c>
      <c r="AC194" s="181">
        <f>VLOOKUP($E194,'LTP '!$D$4:$N$86,2+AC$11-$Z$11,0)/1000000</f>
        <v>0</v>
      </c>
      <c r="AD194" s="181">
        <f>VLOOKUP($E194,'LTP '!$D$4:$N$86,2+AD$11-$Z$11,0)/1000000</f>
        <v>0</v>
      </c>
      <c r="AE194" s="181">
        <f>VLOOKUP($E194,'LTP '!$D$4:$N$86,2+AE$11-$Z$11,0)/1000000</f>
        <v>0</v>
      </c>
      <c r="AF194" s="181">
        <f>VLOOKUP($E194,'LTP '!$D$4:$N$86,2+AF$11-$Z$11,0)/1000000</f>
        <v>0</v>
      </c>
      <c r="AG194" s="181">
        <f>VLOOKUP($E194,'LTP '!$D$4:$N$86,2+AG$11-$Z$11,0)/1000000</f>
        <v>0</v>
      </c>
      <c r="AH194" s="181">
        <f>VLOOKUP($E194,'LTP '!$D$4:$N$86,2+AH$11-$Z$11,0)/1000000</f>
        <v>0</v>
      </c>
      <c r="AI194" s="181">
        <f>VLOOKUP($E194,'LTP '!$D$4:$N$86,2+AI$11-$Z$11,0)/1000000</f>
        <v>0</v>
      </c>
      <c r="BO194" s="23"/>
      <c r="BP194" s="23" t="s">
        <v>451</v>
      </c>
      <c r="BQ194" s="175" t="str">
        <f t="shared" si="52"/>
        <v>N.005640.01.01 - Flat Bush Norwood Bridge</v>
      </c>
      <c r="BR194" s="23" t="str">
        <f>IFERROR(VLOOKUP(BQ194,'LTP '!$R$4:$S$86,2,0),"")</f>
        <v>PC3200693 - Walkway and cycleway paths (Flat Bush)</v>
      </c>
      <c r="CA194" s="23">
        <f t="shared" si="50"/>
        <v>0.6971369999999999</v>
      </c>
      <c r="CB194" s="115" t="str">
        <f t="shared" si="51"/>
        <v/>
      </c>
      <c r="CE194" s="2">
        <f t="shared" si="55"/>
        <v>1</v>
      </c>
    </row>
    <row r="195" spans="1:83" x14ac:dyDescent="0.3">
      <c r="A195" s="2" t="s">
        <v>316</v>
      </c>
      <c r="B195" s="2" t="s">
        <v>113</v>
      </c>
      <c r="D195" s="2" t="s">
        <v>450</v>
      </c>
      <c r="E195" s="2" t="s">
        <v>317</v>
      </c>
      <c r="F195" s="184"/>
      <c r="G195" s="105"/>
      <c r="H195" s="105"/>
      <c r="I195" s="105"/>
      <c r="J195" s="105">
        <v>1</v>
      </c>
      <c r="K195" s="105"/>
      <c r="L195" s="105"/>
      <c r="M195" s="105"/>
      <c r="N195" s="105"/>
      <c r="V195" s="175"/>
      <c r="X195" s="175">
        <f t="shared" si="54"/>
        <v>0.60484300000000002</v>
      </c>
      <c r="Y195" s="175"/>
      <c r="Z195" s="181">
        <f>VLOOKUP($E195,'LTP '!$D$4:$N$86,2+Z$11-$Z$11,0)/1000000</f>
        <v>0</v>
      </c>
      <c r="AA195" s="181">
        <f>VLOOKUP($E195,'LTP '!$D$4:$N$86,2+AA$11-$Z$11,0)/1000000</f>
        <v>0.60484300000000002</v>
      </c>
      <c r="AB195" s="181">
        <f>VLOOKUP($E195,'LTP '!$D$4:$N$86,2+AB$11-$Z$11,0)/1000000</f>
        <v>0</v>
      </c>
      <c r="AC195" s="181">
        <f>VLOOKUP($E195,'LTP '!$D$4:$N$86,2+AC$11-$Z$11,0)/1000000</f>
        <v>0</v>
      </c>
      <c r="AD195" s="181">
        <f>VLOOKUP($E195,'LTP '!$D$4:$N$86,2+AD$11-$Z$11,0)/1000000</f>
        <v>0</v>
      </c>
      <c r="AE195" s="181">
        <f>VLOOKUP($E195,'LTP '!$D$4:$N$86,2+AE$11-$Z$11,0)/1000000</f>
        <v>0</v>
      </c>
      <c r="AF195" s="181">
        <f>VLOOKUP($E195,'LTP '!$D$4:$N$86,2+AF$11-$Z$11,0)/1000000</f>
        <v>0</v>
      </c>
      <c r="AG195" s="181">
        <f>VLOOKUP($E195,'LTP '!$D$4:$N$86,2+AG$11-$Z$11,0)/1000000</f>
        <v>0</v>
      </c>
      <c r="AH195" s="181">
        <f>VLOOKUP($E195,'LTP '!$D$4:$N$86,2+AH$11-$Z$11,0)/1000000</f>
        <v>0</v>
      </c>
      <c r="AI195" s="181">
        <f>VLOOKUP($E195,'LTP '!$D$4:$N$86,2+AI$11-$Z$11,0)/1000000</f>
        <v>0</v>
      </c>
      <c r="BO195" s="23"/>
      <c r="BP195" s="23" t="s">
        <v>451</v>
      </c>
      <c r="BQ195" s="175" t="str">
        <f t="shared" si="52"/>
        <v>N.010035.07.01 - Flat Bush - develop playspace</v>
      </c>
      <c r="BR195" s="23" t="str">
        <f>IFERROR(VLOOKUP(BQ195,'LTP '!$R$4:$S$86,2,0),"")</f>
        <v>PC3201441 - Playspace (Flat Bush)</v>
      </c>
      <c r="CA195" s="23">
        <f t="shared" si="50"/>
        <v>0.60484300000000002</v>
      </c>
      <c r="CB195" s="115" t="str">
        <f t="shared" si="51"/>
        <v/>
      </c>
      <c r="CE195" s="2">
        <f t="shared" si="55"/>
        <v>1</v>
      </c>
    </row>
    <row r="196" spans="1:83" x14ac:dyDescent="0.3">
      <c r="A196" s="2" t="s">
        <v>322</v>
      </c>
      <c r="B196" s="2" t="s">
        <v>113</v>
      </c>
      <c r="D196" s="2" t="s">
        <v>450</v>
      </c>
      <c r="E196" s="2" t="s">
        <v>811</v>
      </c>
      <c r="F196" s="184"/>
      <c r="G196" s="105"/>
      <c r="H196" s="105"/>
      <c r="I196" s="105"/>
      <c r="J196" s="105"/>
      <c r="K196" s="105"/>
      <c r="L196" s="105"/>
      <c r="M196" s="105"/>
      <c r="N196" s="105"/>
      <c r="V196" s="175"/>
      <c r="X196" s="175"/>
      <c r="Y196" s="175"/>
      <c r="Z196" s="181"/>
      <c r="AA196" s="181"/>
      <c r="AB196" s="181"/>
      <c r="AC196" s="181"/>
      <c r="AD196" s="181"/>
      <c r="AE196" s="181"/>
      <c r="AF196" s="181"/>
      <c r="AG196" s="181"/>
      <c r="AH196" s="181"/>
      <c r="AI196" s="181"/>
      <c r="BO196" s="23"/>
      <c r="BP196" s="23" t="s">
        <v>455</v>
      </c>
      <c r="BQ196" s="175" t="str">
        <f t="shared" si="52"/>
        <v/>
      </c>
      <c r="BR196" s="23" t="str">
        <f>IFERROR(VLOOKUP(BQ196,'LTP '!$R$4:$S$86,2,0),"")</f>
        <v/>
      </c>
      <c r="CA196" s="23">
        <f t="shared" si="50"/>
        <v>0</v>
      </c>
      <c r="CB196" s="115" t="str">
        <f t="shared" si="51"/>
        <v/>
      </c>
      <c r="CE196" s="2">
        <f t="shared" si="55"/>
        <v>1</v>
      </c>
    </row>
    <row r="197" spans="1:83" x14ac:dyDescent="0.3">
      <c r="B197" s="2" t="s">
        <v>113</v>
      </c>
      <c r="E197" s="2" t="s">
        <v>807</v>
      </c>
      <c r="F197" s="184"/>
      <c r="G197" s="105"/>
      <c r="H197" s="105"/>
      <c r="I197" s="105"/>
      <c r="J197" s="105">
        <v>1</v>
      </c>
      <c r="K197" s="105"/>
      <c r="L197" s="105"/>
      <c r="M197" s="105"/>
      <c r="N197" s="105"/>
      <c r="V197" s="175"/>
      <c r="X197" s="175">
        <f t="shared" si="54"/>
        <v>0.93299999999999994</v>
      </c>
      <c r="Y197" s="175"/>
      <c r="Z197" s="181">
        <v>4.9000000000000002E-2</v>
      </c>
      <c r="AA197" s="181">
        <v>0.30399999999999999</v>
      </c>
      <c r="AB197" s="181">
        <v>0.57999999999999996</v>
      </c>
      <c r="AC197" s="181"/>
      <c r="AD197" s="181"/>
      <c r="AE197" s="181"/>
      <c r="AF197" s="181"/>
      <c r="AG197" s="181"/>
      <c r="AH197" s="181"/>
      <c r="AI197" s="181"/>
      <c r="BO197" s="23"/>
      <c r="BP197" s="23" t="s">
        <v>451</v>
      </c>
      <c r="BQ197" s="175" t="str">
        <f t="shared" si="52"/>
        <v>Tir Conaill Ave Res</v>
      </c>
      <c r="BR197" s="23"/>
      <c r="CA197" s="23"/>
      <c r="CB197" s="115"/>
      <c r="CE197" s="2">
        <f t="shared" si="55"/>
        <v>1</v>
      </c>
    </row>
    <row r="198" spans="1:83" x14ac:dyDescent="0.3">
      <c r="B198" s="2" t="s">
        <v>113</v>
      </c>
      <c r="E198" s="2" t="s">
        <v>920</v>
      </c>
      <c r="F198" s="184"/>
      <c r="G198" s="105"/>
      <c r="H198" s="105"/>
      <c r="I198" s="105"/>
      <c r="J198" s="105"/>
      <c r="K198" s="105"/>
      <c r="L198" s="105"/>
      <c r="M198" s="105"/>
      <c r="N198" s="105"/>
      <c r="V198" s="175"/>
      <c r="X198" s="175"/>
      <c r="Y198" s="175"/>
      <c r="Z198" s="181"/>
      <c r="AA198" s="181"/>
      <c r="AB198" s="181"/>
      <c r="AC198" s="181"/>
      <c r="AD198" s="181"/>
      <c r="AE198" s="181"/>
      <c r="AF198" s="181"/>
      <c r="AG198" s="181"/>
      <c r="AH198" s="181"/>
      <c r="AI198" s="181"/>
      <c r="BO198" s="23"/>
      <c r="BP198" s="23"/>
      <c r="BQ198" s="175"/>
      <c r="BR198" s="23"/>
      <c r="CA198" s="23"/>
      <c r="CB198" s="115"/>
      <c r="CE198" s="2">
        <f t="shared" si="55"/>
        <v>1</v>
      </c>
    </row>
    <row r="199" spans="1:83" x14ac:dyDescent="0.3">
      <c r="A199" s="2" t="s">
        <v>874</v>
      </c>
      <c r="B199" s="2" t="s">
        <v>113</v>
      </c>
      <c r="C199" s="86"/>
      <c r="D199" s="192" t="s">
        <v>113</v>
      </c>
      <c r="E199" s="196" t="s">
        <v>875</v>
      </c>
      <c r="F199" s="192">
        <v>4</v>
      </c>
      <c r="G199" s="105"/>
      <c r="H199" s="105"/>
      <c r="I199" s="105"/>
      <c r="J199" s="105">
        <v>4</v>
      </c>
      <c r="K199" s="105"/>
      <c r="L199" s="105"/>
      <c r="M199" s="105"/>
      <c r="N199" s="105"/>
      <c r="Q199" s="2">
        <v>2023</v>
      </c>
      <c r="R199" s="2">
        <v>2042</v>
      </c>
      <c r="S199" s="2" t="s">
        <v>940</v>
      </c>
      <c r="V199" s="174">
        <f>SUMPRODUCT(J199:M199,$J$8:$M$8)</f>
        <v>16000</v>
      </c>
      <c r="X199" s="175">
        <f t="shared" ref="X199" si="56">SUM(Z199:AI199)</f>
        <v>0</v>
      </c>
      <c r="Y199" s="23">
        <f>$V199*'Cost inputs'!$B$60/1000000</f>
        <v>11.086380417904641</v>
      </c>
      <c r="Z199" s="181"/>
      <c r="AA199" s="201">
        <f>'sequential acq phasing'!AS34*$Y199*'Cost inputs'!G$10</f>
        <v>0</v>
      </c>
      <c r="AB199" s="201">
        <f>'sequential acq phasing'!AT34*$Y199*'Cost inputs'!H$10</f>
        <v>0</v>
      </c>
      <c r="AC199" s="201">
        <f>'sequential acq phasing'!AU34*$Y199*'Cost inputs'!I$10</f>
        <v>0</v>
      </c>
      <c r="AD199" s="201">
        <f>'sequential acq phasing'!AV34*$Y199*'Cost inputs'!J$10</f>
        <v>0</v>
      </c>
      <c r="AE199" s="201">
        <f>'sequential acq phasing'!AW34*$Y199*'Cost inputs'!K$10</f>
        <v>0</v>
      </c>
      <c r="AF199" s="201">
        <f>'sequential acq phasing'!AX34*$Y199*'Cost inputs'!L$10</f>
        <v>0</v>
      </c>
      <c r="AG199" s="201">
        <f>'sequential acq phasing'!AY34*$Y199*'Cost inputs'!M$10</f>
        <v>0</v>
      </c>
      <c r="AH199" s="201">
        <f>'sequential acq phasing'!AZ34*$Y199*'Cost inputs'!N$10</f>
        <v>0</v>
      </c>
      <c r="AI199" s="201">
        <f>'sequential acq phasing'!BA34*$Y199*'Cost inputs'!O$10</f>
        <v>0</v>
      </c>
      <c r="AJ199" s="201">
        <f>'sequential acq phasing'!BB34*$Y199*'Cost inputs'!P$10</f>
        <v>0</v>
      </c>
      <c r="AK199" s="201">
        <f>'sequential acq phasing'!BC34*$Y199*'Cost inputs'!Q$10</f>
        <v>0</v>
      </c>
      <c r="AL199" s="201">
        <f>'sequential acq phasing'!BD34*$Y199*'Cost inputs'!R$10</f>
        <v>0</v>
      </c>
      <c r="AM199" s="201">
        <f>'sequential acq phasing'!BE34*$Y199*'Cost inputs'!S$10</f>
        <v>0.425787750982346</v>
      </c>
      <c r="AN199" s="201">
        <f>'sequential acq phasing'!BF34*$Y199*'Cost inputs'!T$10</f>
        <v>3.9508845413651876</v>
      </c>
      <c r="AO199" s="201">
        <f>'sequential acq phasing'!BG34*$Y199*'Cost inputs'!U$10</f>
        <v>0</v>
      </c>
      <c r="AP199" s="201">
        <f>'sequential acq phasing'!BH34*$Y199*'Cost inputs'!V$10</f>
        <v>0.46662624255267565</v>
      </c>
      <c r="AQ199" s="201">
        <f>'sequential acq phasing'!BI34*$Y199*'Cost inputs'!W$10</f>
        <v>4.3298249046462765</v>
      </c>
      <c r="AR199" s="201">
        <f>'sequential acq phasing'!BJ34*$Y199*'Cost inputs'!X$10</f>
        <v>0.49600549741003458</v>
      </c>
      <c r="AS199" s="201">
        <f>'sequential acq phasing'!BK34*$Y199*'Cost inputs'!Y$10</f>
        <v>5.1138166782974555</v>
      </c>
      <c r="AT199" s="201">
        <f>'sequential acq phasing'!BL34*$Y199*'Cost inputs'!Z$10</f>
        <v>4.7451104957922086</v>
      </c>
      <c r="AU199" s="201">
        <f>'sequential acq phasing'!BM34*$Y199*'Cost inputs'!AA$10</f>
        <v>0</v>
      </c>
      <c r="BO199" s="23"/>
      <c r="BP199" s="23" t="s">
        <v>449</v>
      </c>
      <c r="BQ199" s="175"/>
      <c r="BR199" s="23"/>
      <c r="CA199" s="23"/>
      <c r="CB199" s="115"/>
    </row>
    <row r="200" spans="1:83" x14ac:dyDescent="0.3">
      <c r="A200" s="2" t="s">
        <v>380</v>
      </c>
      <c r="B200" s="2" t="s">
        <v>201</v>
      </c>
      <c r="D200" s="2" t="s">
        <v>450</v>
      </c>
      <c r="E200" s="2" t="s">
        <v>381</v>
      </c>
      <c r="F200" s="105"/>
      <c r="G200" s="105"/>
      <c r="H200" s="105"/>
      <c r="I200" s="105"/>
      <c r="J200" s="105">
        <v>1</v>
      </c>
      <c r="K200" s="105"/>
      <c r="L200" s="105"/>
      <c r="M200" s="105"/>
      <c r="N200" s="105"/>
      <c r="V200" s="175"/>
      <c r="X200" s="175">
        <f t="shared" si="54"/>
        <v>3.0108190000000001</v>
      </c>
      <c r="Y200" s="175"/>
      <c r="Z200" s="181">
        <f>VLOOKUP($E200,'LTP '!$D$4:$N$86,2+Z$11-$Z$11,0)/1000000</f>
        <v>0.125</v>
      </c>
      <c r="AA200" s="181">
        <f>VLOOKUP($E200,'LTP '!$D$4:$N$86,2+AA$11-$Z$11,0)/1000000</f>
        <v>0.5</v>
      </c>
      <c r="AB200" s="181">
        <f>VLOOKUP($E200,'LTP '!$D$4:$N$86,2+AB$11-$Z$11,0)/1000000</f>
        <v>2.3858190000000001</v>
      </c>
      <c r="AC200" s="181">
        <f>VLOOKUP($E200,'LTP '!$D$4:$N$86,2+AC$11-$Z$11,0)/1000000</f>
        <v>0</v>
      </c>
      <c r="AD200" s="181">
        <f>VLOOKUP($E200,'LTP '!$D$4:$N$86,2+AD$11-$Z$11,0)/1000000</f>
        <v>0</v>
      </c>
      <c r="AE200" s="181">
        <f>VLOOKUP($E200,'LTP '!$D$4:$N$86,2+AE$11-$Z$11,0)/1000000</f>
        <v>0</v>
      </c>
      <c r="AF200" s="181">
        <f>VLOOKUP($E200,'LTP '!$D$4:$N$86,2+AF$11-$Z$11,0)/1000000</f>
        <v>0</v>
      </c>
      <c r="AG200" s="181">
        <f>VLOOKUP($E200,'LTP '!$D$4:$N$86,2+AG$11-$Z$11,0)/1000000</f>
        <v>0</v>
      </c>
      <c r="AH200" s="181">
        <f>VLOOKUP($E200,'LTP '!$D$4:$N$86,2+AH$11-$Z$11,0)/1000000</f>
        <v>0</v>
      </c>
      <c r="AI200" s="181">
        <f>VLOOKUP($E200,'LTP '!$D$4:$N$86,2+AI$11-$Z$11,0)/1000000</f>
        <v>0</v>
      </c>
      <c r="BO200" s="23"/>
      <c r="BP200" s="23" t="s">
        <v>451</v>
      </c>
      <c r="BQ200" s="175" t="str">
        <f t="shared" si="52"/>
        <v>N.010041.07.01 - Greenmount Development - develop public</v>
      </c>
      <c r="BR200" s="23" t="str">
        <f>IFERROR(VLOOKUP(BQ200,'LTP '!$R$4:$S$86,2,0),"")</f>
        <v>PC3201520 - Development (Styak-Lushington park)</v>
      </c>
      <c r="CA200" s="23">
        <f t="shared" si="50"/>
        <v>3.0108190000000001</v>
      </c>
      <c r="CB200" s="115" t="str">
        <f t="shared" si="51"/>
        <v/>
      </c>
      <c r="CE200" s="2">
        <f t="shared" ref="CE200:CE231" si="57">COUNTIF($B$291:$B$319,B200)</f>
        <v>1</v>
      </c>
    </row>
    <row r="201" spans="1:83" x14ac:dyDescent="0.3">
      <c r="A201" s="2" t="s">
        <v>135</v>
      </c>
      <c r="B201" s="2" t="s">
        <v>202</v>
      </c>
      <c r="D201" s="2" t="s">
        <v>268</v>
      </c>
      <c r="F201" s="105">
        <v>1</v>
      </c>
      <c r="G201" s="105"/>
      <c r="H201" s="105"/>
      <c r="I201" s="105"/>
      <c r="J201" s="105">
        <f t="shared" ref="J201:K205" si="58">F201</f>
        <v>1</v>
      </c>
      <c r="K201" s="105"/>
      <c r="L201" s="105"/>
      <c r="M201" s="105"/>
      <c r="N201" s="105"/>
      <c r="O201" s="2">
        <v>2021</v>
      </c>
      <c r="P201" s="2">
        <v>2025</v>
      </c>
      <c r="Q201" s="2">
        <v>2029</v>
      </c>
      <c r="R201" s="2">
        <v>2037</v>
      </c>
      <c r="S201" s="2" t="s">
        <v>881</v>
      </c>
      <c r="T201" s="2">
        <v>2037</v>
      </c>
      <c r="U201" s="2" cm="1">
        <f t="array" ref="U201">INDEX($Z$11:$BN$11,MATCH(TRUE,INDEX(Z201:BN201&lt;&gt;0,),0))</f>
        <v>2039</v>
      </c>
      <c r="V201" s="174">
        <f>SUMPRODUCT(J201:M201,$J$8:$M$8)</f>
        <v>4000</v>
      </c>
      <c r="X201" s="175">
        <f t="shared" si="54"/>
        <v>0</v>
      </c>
      <c r="Y201" s="23">
        <f>$V201*'Cost inputs'!$B$60/1000000</f>
        <v>2.7715951044761602</v>
      </c>
      <c r="AE201" s="23"/>
      <c r="AF201" s="23"/>
      <c r="AL201" s="23"/>
      <c r="AM201" s="23"/>
      <c r="AN201" s="23">
        <f>0.1*$Y201*'Cost inputs'!T$10</f>
        <v>0.43898717126279868</v>
      </c>
      <c r="AO201" s="23">
        <f>0.9*$Y201*'Cost inputs'!U$10</f>
        <v>4.0733619621475086</v>
      </c>
      <c r="BO201" s="23"/>
      <c r="BP201" s="23" t="s">
        <v>449</v>
      </c>
      <c r="BQ201" s="175" t="str">
        <f t="shared" si="52"/>
        <v/>
      </c>
      <c r="BR201" s="23" t="str">
        <f>IFERROR(VLOOKUP(BQ201,'LTP '!$R$4:$S$86,2,0),"")</f>
        <v/>
      </c>
      <c r="CA201" s="23">
        <f t="shared" si="50"/>
        <v>4.5123491334103072</v>
      </c>
      <c r="CB201" s="115">
        <f t="shared" si="51"/>
        <v>1128.0872833525766</v>
      </c>
      <c r="CE201" s="2">
        <f t="shared" si="57"/>
        <v>1</v>
      </c>
    </row>
    <row r="202" spans="1:83" x14ac:dyDescent="0.3">
      <c r="A202" s="2" t="s">
        <v>322</v>
      </c>
      <c r="B202" s="2" t="s">
        <v>205</v>
      </c>
      <c r="C202" s="2" t="s">
        <v>814</v>
      </c>
      <c r="D202" s="2" t="s">
        <v>450</v>
      </c>
      <c r="E202" s="2" t="s">
        <v>344</v>
      </c>
      <c r="F202" s="105"/>
      <c r="G202" s="105"/>
      <c r="H202" s="105"/>
      <c r="I202" s="105"/>
      <c r="J202" s="105">
        <v>1</v>
      </c>
      <c r="K202" s="105"/>
      <c r="L202" s="105"/>
      <c r="M202" s="105"/>
      <c r="N202" s="105"/>
      <c r="V202" s="175"/>
      <c r="X202" s="175">
        <f t="shared" si="54"/>
        <v>0.65098999999999996</v>
      </c>
      <c r="Y202" s="175"/>
      <c r="Z202" s="181">
        <v>0.65098999999999996</v>
      </c>
      <c r="AA202" s="181">
        <f>VLOOKUP($E202,'LTP '!$D$4:$N$86,2+AA$11-$Z$11,0)/1000000</f>
        <v>0</v>
      </c>
      <c r="AB202" s="181">
        <f>VLOOKUP($E202,'LTP '!$D$4:$N$86,2+AB$11-$Z$11,0)/1000000</f>
        <v>0</v>
      </c>
      <c r="AC202" s="181">
        <f>VLOOKUP($E202,'LTP '!$D$4:$N$86,2+AC$11-$Z$11,0)/1000000</f>
        <v>0</v>
      </c>
      <c r="AD202" s="181">
        <f>VLOOKUP($E202,'LTP '!$D$4:$N$86,2+AD$11-$Z$11,0)/1000000</f>
        <v>0</v>
      </c>
      <c r="AE202" s="181">
        <f>VLOOKUP($E202,'LTP '!$D$4:$N$86,2+AE$11-$Z$11,0)/1000000</f>
        <v>0</v>
      </c>
      <c r="AF202" s="181">
        <f>VLOOKUP($E202,'LTP '!$D$4:$N$86,2+AF$11-$Z$11,0)/1000000</f>
        <v>0</v>
      </c>
      <c r="AG202" s="181">
        <f>VLOOKUP($E202,'LTP '!$D$4:$N$86,2+AG$11-$Z$11,0)/1000000</f>
        <v>0</v>
      </c>
      <c r="AH202" s="181">
        <f>VLOOKUP($E202,'LTP '!$D$4:$N$86,2+AH$11-$Z$11,0)/1000000</f>
        <v>0</v>
      </c>
      <c r="AI202" s="181">
        <f>VLOOKUP($E202,'LTP '!$D$4:$N$86,2+AI$11-$Z$11,0)/1000000</f>
        <v>0</v>
      </c>
      <c r="BO202" s="23"/>
      <c r="BP202" s="23" t="s">
        <v>451</v>
      </c>
      <c r="BQ202" s="175" t="str">
        <f t="shared" si="52"/>
        <v>N.009960.14.05 - Kirikiri res - dvp new neighbourhood prk</v>
      </c>
      <c r="BR202" s="23" t="str">
        <f>IFERROR(VLOOKUP(BQ202,'LTP '!$R$4:$S$86,2,0),"")</f>
        <v>PC3201501 - General park development</v>
      </c>
      <c r="CA202" s="23">
        <f t="shared" si="50"/>
        <v>0.65098999999999996</v>
      </c>
      <c r="CB202" s="115" t="str">
        <f t="shared" si="51"/>
        <v/>
      </c>
      <c r="CE202" s="2">
        <f t="shared" si="57"/>
        <v>1</v>
      </c>
    </row>
    <row r="203" spans="1:83" x14ac:dyDescent="0.3">
      <c r="A203" s="2" t="s">
        <v>125</v>
      </c>
      <c r="B203" s="2" t="s">
        <v>204</v>
      </c>
      <c r="D203" s="2" t="s">
        <v>204</v>
      </c>
      <c r="F203" s="105">
        <v>8</v>
      </c>
      <c r="G203" s="105"/>
      <c r="H203" s="105"/>
      <c r="I203" s="105"/>
      <c r="J203" s="105">
        <f t="shared" si="58"/>
        <v>8</v>
      </c>
      <c r="K203" s="105"/>
      <c r="L203" s="105"/>
      <c r="M203" s="105"/>
      <c r="N203" s="105"/>
      <c r="O203" s="2">
        <v>2046</v>
      </c>
      <c r="P203" s="2">
        <v>2050</v>
      </c>
      <c r="Q203" s="2">
        <v>2054</v>
      </c>
      <c r="R203" s="2">
        <v>2056</v>
      </c>
      <c r="S203" s="2" t="s">
        <v>881</v>
      </c>
      <c r="T203" s="2">
        <v>2056</v>
      </c>
      <c r="U203" s="2" cm="1">
        <f t="array" ref="U203">INDEX($Z$11:$BN$11,MATCH(TRUE,INDEX(Z203:BN203&lt;&gt;0,),0))</f>
        <v>2058</v>
      </c>
      <c r="V203" s="174">
        <f>SUMPRODUCT(J203:M203,$J$8:$M$8)</f>
        <v>32000</v>
      </c>
      <c r="X203" s="175">
        <f t="shared" si="54"/>
        <v>0</v>
      </c>
      <c r="Y203" s="23">
        <f>$V203*'Cost inputs'!$B$60/1000000</f>
        <v>22.172760835809282</v>
      </c>
      <c r="BG203" s="23">
        <f>0.1*$Y203*'Cost inputs'!AM$10</f>
        <v>6.2727280039556375</v>
      </c>
      <c r="BH203" s="23">
        <f>0.9*$Y203*'Cost inputs'!AN$10</f>
        <v>58.204643148704342</v>
      </c>
      <c r="BO203" s="23"/>
      <c r="BP203" s="23" t="s">
        <v>449</v>
      </c>
      <c r="BQ203" s="175" t="str">
        <f t="shared" si="52"/>
        <v/>
      </c>
      <c r="BR203" s="23" t="str">
        <f>IFERROR(VLOOKUP(BQ203,'LTP '!$R$4:$S$86,2,0),"")</f>
        <v/>
      </c>
      <c r="CA203" s="23">
        <f t="shared" si="50"/>
        <v>64.477371152659984</v>
      </c>
      <c r="CB203" s="115">
        <f t="shared" si="51"/>
        <v>2014.9178485206246</v>
      </c>
      <c r="CE203" s="2">
        <f t="shared" si="57"/>
        <v>1</v>
      </c>
    </row>
    <row r="204" spans="1:83" x14ac:dyDescent="0.3">
      <c r="A204" s="2" t="s">
        <v>125</v>
      </c>
      <c r="B204" s="2" t="s">
        <v>204</v>
      </c>
      <c r="D204" s="2" t="s">
        <v>204</v>
      </c>
      <c r="F204" s="105"/>
      <c r="G204" s="105">
        <v>1</v>
      </c>
      <c r="H204" s="105"/>
      <c r="I204" s="105"/>
      <c r="J204" s="105"/>
      <c r="K204" s="105">
        <f t="shared" si="58"/>
        <v>1</v>
      </c>
      <c r="L204" s="105"/>
      <c r="M204" s="105"/>
      <c r="N204" s="105"/>
      <c r="O204" s="2">
        <v>2046</v>
      </c>
      <c r="P204" s="2">
        <v>2050</v>
      </c>
      <c r="Q204" s="2">
        <v>2054</v>
      </c>
      <c r="R204" s="2">
        <v>2056</v>
      </c>
      <c r="S204" s="2" t="s">
        <v>881</v>
      </c>
      <c r="T204" s="2">
        <v>2056</v>
      </c>
      <c r="U204" s="2" cm="1">
        <f t="array" ref="U204">INDEX($Z$11:$BN$11,MATCH(TRUE,INDEX(Z204:BN204&lt;&gt;0,),0))</f>
        <v>2058</v>
      </c>
      <c r="V204" s="174">
        <f>SUMPRODUCT(J204:M204,$J$8:$M$8)</f>
        <v>30000</v>
      </c>
      <c r="X204" s="175">
        <f t="shared" si="54"/>
        <v>0</v>
      </c>
      <c r="Y204" s="23">
        <f>$V204*'Cost inputs'!$B$61/1000000</f>
        <v>3.9401159208744954</v>
      </c>
      <c r="AQ204" s="23"/>
      <c r="AR204" s="23"/>
      <c r="AS204" s="23"/>
      <c r="AT204" s="23"/>
      <c r="BG204" s="23">
        <f>0.1*$Y204*'Cost inputs'!AM$10</f>
        <v>1.1146683833699873</v>
      </c>
      <c r="BH204" s="23">
        <f>0.1*$Y204*'Cost inputs'!AN$10</f>
        <v>1.1492231032544566</v>
      </c>
      <c r="BI204" s="23">
        <f>0.4*$Y204*'Cost inputs'!AO$10</f>
        <v>4.7393960778213797</v>
      </c>
      <c r="BJ204" s="23">
        <f>0.4*$Y204*'Cost inputs'!AP$10</f>
        <v>4.8863173562338416</v>
      </c>
      <c r="BO204" s="23"/>
      <c r="BP204" s="23" t="s">
        <v>449</v>
      </c>
      <c r="BQ204" s="175" t="str">
        <f t="shared" si="52"/>
        <v/>
      </c>
      <c r="BR204" s="23" t="str">
        <f>IFERROR(VLOOKUP(BQ204,'LTP '!$R$4:$S$86,2,0),"")</f>
        <v/>
      </c>
      <c r="CA204" s="23">
        <f t="shared" si="50"/>
        <v>11.889604920679666</v>
      </c>
      <c r="CB204" s="115">
        <f t="shared" si="51"/>
        <v>396.32016402265549</v>
      </c>
      <c r="CE204" s="2">
        <f t="shared" si="57"/>
        <v>1</v>
      </c>
    </row>
    <row r="205" spans="1:83" x14ac:dyDescent="0.3">
      <c r="A205" s="2" t="s">
        <v>125</v>
      </c>
      <c r="B205" s="2" t="s">
        <v>205</v>
      </c>
      <c r="D205" s="197" t="s">
        <v>250</v>
      </c>
      <c r="E205" s="177" t="s">
        <v>621</v>
      </c>
      <c r="F205" s="105">
        <v>1</v>
      </c>
      <c r="G205" s="105"/>
      <c r="H205" s="105"/>
      <c r="I205" s="105"/>
      <c r="J205" s="105">
        <f t="shared" si="58"/>
        <v>1</v>
      </c>
      <c r="K205" s="105"/>
      <c r="L205" s="105"/>
      <c r="M205" s="105"/>
      <c r="N205" s="105"/>
      <c r="O205" s="2">
        <v>2046</v>
      </c>
      <c r="P205" s="2">
        <v>2050</v>
      </c>
      <c r="Q205" s="2">
        <v>2054</v>
      </c>
      <c r="R205" s="2">
        <v>2056</v>
      </c>
      <c r="S205" s="2" t="s">
        <v>881</v>
      </c>
      <c r="T205" s="2">
        <v>2056</v>
      </c>
      <c r="U205" s="2" cm="1">
        <f t="array" ref="U205">INDEX($Z$11:$BN$11,MATCH(TRUE,INDEX(Z205:BN205&lt;&gt;0,),0))</f>
        <v>2058</v>
      </c>
      <c r="V205" s="174">
        <f>SUMPRODUCT(J205:M205,$J$8:$M$8)</f>
        <v>4000</v>
      </c>
      <c r="X205" s="175">
        <f t="shared" si="54"/>
        <v>0</v>
      </c>
      <c r="Y205" s="23">
        <f>$V205*'Cost inputs'!$B$60/1000000</f>
        <v>2.7715951044761602</v>
      </c>
      <c r="BG205" s="23">
        <f>0.1*$Y205*'Cost inputs'!AM$10</f>
        <v>0.78409100049445468</v>
      </c>
      <c r="BH205" s="23">
        <f>0.9*$Y205*'Cost inputs'!AN$10</f>
        <v>7.2755803935880428</v>
      </c>
      <c r="BO205" s="23"/>
      <c r="BP205" s="23" t="s">
        <v>449</v>
      </c>
      <c r="BQ205" s="175" t="str">
        <f t="shared" si="52"/>
        <v/>
      </c>
      <c r="BR205" s="23" t="str">
        <f>IFERROR(VLOOKUP(BQ205,'LTP '!$R$4:$S$86,2,0),"")</f>
        <v/>
      </c>
      <c r="CA205" s="23">
        <f t="shared" si="50"/>
        <v>8.059671394082498</v>
      </c>
      <c r="CB205" s="115">
        <f t="shared" si="51"/>
        <v>2014.9178485206246</v>
      </c>
      <c r="CE205" s="2">
        <f t="shared" si="57"/>
        <v>1</v>
      </c>
    </row>
    <row r="206" spans="1:83" x14ac:dyDescent="0.3">
      <c r="A206" s="2" t="s">
        <v>471</v>
      </c>
      <c r="B206" s="2" t="s">
        <v>205</v>
      </c>
      <c r="D206" s="2" t="s">
        <v>622</v>
      </c>
      <c r="E206" s="2" t="s">
        <v>623</v>
      </c>
      <c r="G206" s="105"/>
      <c r="H206" s="105"/>
      <c r="I206" s="105"/>
      <c r="J206" s="105">
        <f>2000/4000</f>
        <v>0.5</v>
      </c>
      <c r="K206" s="105"/>
      <c r="L206" s="105"/>
      <c r="M206" s="105"/>
      <c r="N206" s="105" t="s">
        <v>624</v>
      </c>
      <c r="Q206" s="2" t="s">
        <v>471</v>
      </c>
      <c r="V206" s="174">
        <f>SUMPRODUCT(J206:M206,$J$8:$M$8)</f>
        <v>2000</v>
      </c>
      <c r="X206" s="175">
        <f t="shared" si="54"/>
        <v>0.85965167798849573</v>
      </c>
      <c r="Y206" s="23">
        <f>$V206*'Cost inputs'!$B$60/1000000/2</f>
        <v>0.69289877611904005</v>
      </c>
      <c r="AF206" s="23">
        <f>$Y206*'Cost inputs'!L$10</f>
        <v>0.85965167798849573</v>
      </c>
      <c r="BO206" s="23"/>
      <c r="BP206" s="23" t="s">
        <v>449</v>
      </c>
      <c r="BQ206" s="175" t="str">
        <f t="shared" si="52"/>
        <v/>
      </c>
      <c r="BR206" s="23" t="str">
        <f>IFERROR(VLOOKUP(BQ206,'LTP '!$R$4:$S$86,2,0),"")</f>
        <v/>
      </c>
      <c r="CA206" s="23">
        <f t="shared" si="50"/>
        <v>0.85965167798849573</v>
      </c>
      <c r="CB206" s="115">
        <f t="shared" si="51"/>
        <v>429.82583899424787</v>
      </c>
      <c r="CE206" s="2">
        <f t="shared" si="57"/>
        <v>1</v>
      </c>
    </row>
    <row r="207" spans="1:83" x14ac:dyDescent="0.3">
      <c r="A207" s="2" t="s">
        <v>471</v>
      </c>
      <c r="B207" s="2" t="s">
        <v>205</v>
      </c>
      <c r="D207" s="2" t="s">
        <v>622</v>
      </c>
      <c r="E207" s="2" t="s">
        <v>625</v>
      </c>
      <c r="F207" s="105" t="s">
        <v>611</v>
      </c>
      <c r="G207" s="105"/>
      <c r="H207" s="105"/>
      <c r="I207" s="105"/>
      <c r="J207" s="105"/>
      <c r="K207" s="105"/>
      <c r="L207" s="105"/>
      <c r="M207" s="105"/>
      <c r="N207" s="105"/>
      <c r="V207" s="175"/>
      <c r="X207" s="175">
        <f t="shared" si="54"/>
        <v>0</v>
      </c>
      <c r="Y207" s="175"/>
      <c r="BO207" s="23"/>
      <c r="BP207" s="23" t="s">
        <v>449</v>
      </c>
      <c r="BQ207" s="175" t="str">
        <f t="shared" si="52"/>
        <v/>
      </c>
      <c r="BR207" s="23" t="str">
        <f>IFERROR(VLOOKUP(BQ207,'LTP '!$R$4:$S$86,2,0),"")</f>
        <v/>
      </c>
      <c r="CA207" s="23">
        <f t="shared" si="50"/>
        <v>0</v>
      </c>
      <c r="CB207" s="115" t="str">
        <f t="shared" si="51"/>
        <v/>
      </c>
      <c r="CE207" s="2">
        <f t="shared" si="57"/>
        <v>1</v>
      </c>
    </row>
    <row r="208" spans="1:83" x14ac:dyDescent="0.3">
      <c r="A208" s="2" t="s">
        <v>322</v>
      </c>
      <c r="B208" s="2" t="s">
        <v>205</v>
      </c>
      <c r="C208" s="53" t="s">
        <v>626</v>
      </c>
      <c r="D208" s="2" t="s">
        <v>622</v>
      </c>
      <c r="E208" s="2" t="s">
        <v>343</v>
      </c>
      <c r="G208" s="105"/>
      <c r="H208" s="105"/>
      <c r="I208" s="105"/>
      <c r="J208" s="105">
        <v>1.25</v>
      </c>
      <c r="K208" s="105"/>
      <c r="L208" s="105"/>
      <c r="M208" s="105"/>
      <c r="N208" s="105" t="s">
        <v>627</v>
      </c>
      <c r="Q208" s="2" t="s">
        <v>471</v>
      </c>
      <c r="V208" s="174">
        <f t="shared" ref="V208:V221" si="59">SUMPRODUCT(J208:M208,$J$8:$M$8)</f>
        <v>5000</v>
      </c>
      <c r="X208" s="175">
        <f t="shared" si="54"/>
        <v>1.63</v>
      </c>
      <c r="Y208" s="175"/>
      <c r="Z208" s="181">
        <v>0.01</v>
      </c>
      <c r="AA208" s="181">
        <v>0.15</v>
      </c>
      <c r="AB208" s="181">
        <v>0.4</v>
      </c>
      <c r="AC208" s="181">
        <v>0.55000000000000004</v>
      </c>
      <c r="AD208" s="181">
        <f>1.63-SUM(Z208:AC208)</f>
        <v>0.5199999999999998</v>
      </c>
      <c r="AE208" s="181">
        <f>VLOOKUP($E208,'LTP '!$D$4:$N$86,2+AE$11-$Z$11,0)/1000000</f>
        <v>0</v>
      </c>
      <c r="AF208" s="181">
        <f>VLOOKUP($E208,'LTP '!$D$4:$N$86,2+AF$11-$Z$11,0)/1000000</f>
        <v>0</v>
      </c>
      <c r="AG208" s="181">
        <f>VLOOKUP($E208,'LTP '!$D$4:$N$86,2+AG$11-$Z$11,0)/1000000</f>
        <v>0</v>
      </c>
      <c r="AH208" s="181">
        <f>VLOOKUP($E208,'LTP '!$D$4:$N$86,2+AH$11-$Z$11,0)/1000000</f>
        <v>0</v>
      </c>
      <c r="AI208" s="181">
        <f>VLOOKUP($E208,'LTP '!$D$4:$N$86,2+AI$11-$Z$11,0)/1000000</f>
        <v>0</v>
      </c>
      <c r="BO208" s="23"/>
      <c r="BP208" s="23" t="s">
        <v>451</v>
      </c>
      <c r="BQ208" s="175" t="str">
        <f t="shared" si="52"/>
        <v>N.009960.14.03 - 935 Papakura-Clevedon Road subdivision -</v>
      </c>
      <c r="BR208" s="23" t="str">
        <f>IFERROR(VLOOKUP(BQ208,'LTP '!$R$4:$S$86,2,0),"")</f>
        <v>PC3201501 - General park development</v>
      </c>
      <c r="CA208" s="23">
        <f t="shared" si="50"/>
        <v>1.63</v>
      </c>
      <c r="CB208" s="115" t="str">
        <f t="shared" si="51"/>
        <v/>
      </c>
      <c r="CE208" s="2">
        <f t="shared" si="57"/>
        <v>1</v>
      </c>
    </row>
    <row r="209" spans="1:88" x14ac:dyDescent="0.3">
      <c r="A209" s="2" t="s">
        <v>471</v>
      </c>
      <c r="B209" s="2" t="s">
        <v>205</v>
      </c>
      <c r="D209" s="2" t="s">
        <v>622</v>
      </c>
      <c r="E209" s="2" t="s">
        <v>628</v>
      </c>
      <c r="G209" s="105"/>
      <c r="H209" s="105"/>
      <c r="I209" s="105"/>
      <c r="J209" s="105">
        <f>2795/4000</f>
        <v>0.69874999999999998</v>
      </c>
      <c r="K209" s="105"/>
      <c r="L209" s="105"/>
      <c r="M209" s="105"/>
      <c r="N209" s="105" t="s">
        <v>629</v>
      </c>
      <c r="Q209" s="2" t="s">
        <v>471</v>
      </c>
      <c r="V209" s="174">
        <f t="shared" si="59"/>
        <v>2795</v>
      </c>
      <c r="X209" s="175">
        <f t="shared" si="54"/>
        <v>2.3524665193286314</v>
      </c>
      <c r="Y209" s="175">
        <f>(1-'Cost inputs'!$B$79/'Cost inputs'!$B$81)*'Cost inputs'!$B$83*V209/1000000</f>
        <v>1.8446750089988324</v>
      </c>
      <c r="AC209" s="23"/>
      <c r="AD209" s="23"/>
      <c r="AF209" s="23">
        <f>0.1*$Y209*'Cost inputs'!L$10</f>
        <v>0.22886141836060239</v>
      </c>
      <c r="AG209" s="23">
        <f>0.9*$Y209*'Cost inputs'!M$10</f>
        <v>2.123605100968029</v>
      </c>
      <c r="BO209" s="23"/>
      <c r="BP209" s="23" t="s">
        <v>449</v>
      </c>
      <c r="BQ209" s="175" t="str">
        <f t="shared" si="52"/>
        <v/>
      </c>
      <c r="BR209" s="23" t="str">
        <f>IFERROR(VLOOKUP(BQ209,'LTP '!$R$4:$S$86,2,0),"")</f>
        <v/>
      </c>
      <c r="CA209" s="23">
        <f t="shared" si="50"/>
        <v>2.3524665193286314</v>
      </c>
      <c r="CB209" s="115">
        <f t="shared" si="51"/>
        <v>841.66959546641556</v>
      </c>
      <c r="CE209" s="2">
        <f t="shared" si="57"/>
        <v>1</v>
      </c>
    </row>
    <row r="210" spans="1:88" x14ac:dyDescent="0.3">
      <c r="A210" s="2" t="s">
        <v>471</v>
      </c>
      <c r="B210" s="2" t="s">
        <v>205</v>
      </c>
      <c r="D210" s="2" t="s">
        <v>622</v>
      </c>
      <c r="E210" s="2" t="s">
        <v>630</v>
      </c>
      <c r="F210" s="105"/>
      <c r="G210" s="105"/>
      <c r="H210" s="105"/>
      <c r="I210" s="105"/>
      <c r="J210" s="105">
        <f>5037/4000</f>
        <v>1.25925</v>
      </c>
      <c r="K210" s="105"/>
      <c r="L210" s="105"/>
      <c r="M210" s="105"/>
      <c r="N210" s="105" t="s">
        <v>631</v>
      </c>
      <c r="Q210" s="2" t="s">
        <v>471</v>
      </c>
      <c r="V210" s="174">
        <f t="shared" si="59"/>
        <v>5037</v>
      </c>
      <c r="X210" s="175">
        <f t="shared" si="54"/>
        <v>4.2394897523643342</v>
      </c>
      <c r="Y210" s="175">
        <f>(1-'Cost inputs'!$B$79/'Cost inputs'!$B$81)*'Cost inputs'!$B$83*V210/1000000</f>
        <v>3.3243749625499528</v>
      </c>
      <c r="AC210" s="23"/>
      <c r="AD210" s="23"/>
      <c r="AF210" s="23">
        <f>0.1*$Y210*'Cost inputs'!L$10</f>
        <v>0.41244184768599429</v>
      </c>
      <c r="AG210" s="23">
        <f>0.9*$Y210*'Cost inputs'!M$10</f>
        <v>3.8270479046783401</v>
      </c>
      <c r="BO210" s="23"/>
      <c r="BP210" s="23" t="s">
        <v>449</v>
      </c>
      <c r="BQ210" s="175" t="str">
        <f t="shared" si="52"/>
        <v/>
      </c>
      <c r="BR210" s="23" t="str">
        <f>IFERROR(VLOOKUP(BQ210,'LTP '!$R$4:$S$86,2,0),"")</f>
        <v/>
      </c>
      <c r="CA210" s="23">
        <f t="shared" si="50"/>
        <v>4.2394897523643342</v>
      </c>
      <c r="CB210" s="115">
        <f t="shared" si="51"/>
        <v>841.66959546641544</v>
      </c>
      <c r="CE210" s="2">
        <f t="shared" si="57"/>
        <v>1</v>
      </c>
    </row>
    <row r="211" spans="1:88" x14ac:dyDescent="0.3">
      <c r="A211" s="2" t="s">
        <v>471</v>
      </c>
      <c r="B211" s="2" t="s">
        <v>135</v>
      </c>
      <c r="D211" s="2" t="s">
        <v>632</v>
      </c>
      <c r="E211" s="2" t="s">
        <v>633</v>
      </c>
      <c r="G211" s="105"/>
      <c r="H211" s="105"/>
      <c r="I211" s="105"/>
      <c r="J211" s="105">
        <f>3020/4000</f>
        <v>0.755</v>
      </c>
      <c r="K211" s="105"/>
      <c r="L211" s="105"/>
      <c r="M211" s="105"/>
      <c r="N211" s="105" t="s">
        <v>634</v>
      </c>
      <c r="Q211" s="2" t="s">
        <v>471</v>
      </c>
      <c r="V211" s="174">
        <f t="shared" si="59"/>
        <v>3020</v>
      </c>
      <c r="X211" s="175">
        <f t="shared" si="54"/>
        <v>2.6685805986092115</v>
      </c>
      <c r="Y211" s="23">
        <f>$V211*'Cost inputs'!$B$60/1000000</f>
        <v>2.0925543038795009</v>
      </c>
      <c r="AF211" s="23">
        <f>0.1*$Y211*'Cost inputs'!L$10</f>
        <v>0.25961480675252574</v>
      </c>
      <c r="AG211" s="23">
        <f>0.9*$Y211*'Cost inputs'!M$10</f>
        <v>2.4089657918566858</v>
      </c>
      <c r="BO211" s="23"/>
      <c r="BP211" s="23" t="s">
        <v>449</v>
      </c>
      <c r="BQ211" s="175" t="str">
        <f t="shared" si="52"/>
        <v/>
      </c>
      <c r="BR211" s="23" t="str">
        <f>IFERROR(VLOOKUP(BQ211,'LTP '!$R$4:$S$86,2,0),"")</f>
        <v/>
      </c>
      <c r="CA211" s="23">
        <f t="shared" si="50"/>
        <v>2.6685805986092115</v>
      </c>
      <c r="CB211" s="115">
        <f t="shared" si="51"/>
        <v>883.63595980437469</v>
      </c>
      <c r="CE211" s="2">
        <f t="shared" si="57"/>
        <v>1</v>
      </c>
    </row>
    <row r="212" spans="1:88" x14ac:dyDescent="0.3">
      <c r="A212" s="2" t="s">
        <v>471</v>
      </c>
      <c r="B212" s="2" t="s">
        <v>135</v>
      </c>
      <c r="D212" s="2" t="s">
        <v>632</v>
      </c>
      <c r="E212" s="2" t="s">
        <v>635</v>
      </c>
      <c r="H212" s="105"/>
      <c r="I212" s="105"/>
      <c r="J212" s="105">
        <v>1</v>
      </c>
      <c r="K212" s="105"/>
      <c r="L212" s="105"/>
      <c r="M212" s="105"/>
      <c r="N212" s="105" t="s">
        <v>634</v>
      </c>
      <c r="Q212" s="2" t="s">
        <v>471</v>
      </c>
      <c r="V212" s="174">
        <f t="shared" si="59"/>
        <v>4000</v>
      </c>
      <c r="X212" s="175">
        <f t="shared" si="54"/>
        <v>3.5345438392174988</v>
      </c>
      <c r="Y212" s="23">
        <f>$V212*'Cost inputs'!$B$60/1000000</f>
        <v>2.7715951044761602</v>
      </c>
      <c r="AF212" s="23">
        <f>0.1*$Y212*'Cost inputs'!L$10</f>
        <v>0.34386067119539837</v>
      </c>
      <c r="AG212" s="23">
        <f>0.9*$Y212*'Cost inputs'!M$10</f>
        <v>3.1906831680221006</v>
      </c>
      <c r="BO212" s="23"/>
      <c r="BP212" s="23" t="s">
        <v>449</v>
      </c>
      <c r="BQ212" s="175" t="str">
        <f t="shared" si="52"/>
        <v/>
      </c>
      <c r="BR212" s="23" t="str">
        <f>IFERROR(VLOOKUP(BQ212,'LTP '!$R$4:$S$86,2,0),"")</f>
        <v/>
      </c>
      <c r="CA212" s="23">
        <f t="shared" si="50"/>
        <v>3.5345438392174988</v>
      </c>
      <c r="CB212" s="115">
        <f t="shared" si="51"/>
        <v>883.63595980437469</v>
      </c>
      <c r="CE212" s="2">
        <f t="shared" si="57"/>
        <v>1</v>
      </c>
    </row>
    <row r="213" spans="1:88" x14ac:dyDescent="0.3">
      <c r="A213" s="2" t="s">
        <v>471</v>
      </c>
      <c r="B213" s="2" t="s">
        <v>135</v>
      </c>
      <c r="D213" s="2" t="s">
        <v>632</v>
      </c>
      <c r="E213" s="2" t="s">
        <v>636</v>
      </c>
      <c r="H213" s="105"/>
      <c r="I213" s="105"/>
      <c r="J213" s="105">
        <f>3325/4000</f>
        <v>0.83125000000000004</v>
      </c>
      <c r="K213" s="105"/>
      <c r="L213" s="105"/>
      <c r="M213" s="105"/>
      <c r="N213" s="105" t="s">
        <v>637</v>
      </c>
      <c r="Q213" s="2" t="s">
        <v>471</v>
      </c>
      <c r="V213" s="174">
        <f t="shared" si="59"/>
        <v>3325</v>
      </c>
      <c r="X213" s="175">
        <f t="shared" si="54"/>
        <v>2.3504716530796368</v>
      </c>
      <c r="Y213" s="23">
        <f>$V213*'Cost inputs'!$B$60/1000000*0.8</f>
        <v>1.8431107444766466</v>
      </c>
      <c r="AF213" s="23">
        <f>0.1*$Y213*'Cost inputs'!L$10</f>
        <v>0.2286673463449399</v>
      </c>
      <c r="AG213" s="23">
        <f>0.9*$Y213*'Cost inputs'!M$10</f>
        <v>2.1218043067346968</v>
      </c>
      <c r="BO213" s="23"/>
      <c r="BP213" s="23" t="s">
        <v>449</v>
      </c>
      <c r="BQ213" s="175" t="str">
        <f t="shared" si="52"/>
        <v/>
      </c>
      <c r="BR213" s="23" t="str">
        <f>IFERROR(VLOOKUP(BQ213,'LTP '!$R$4:$S$86,2,0),"")</f>
        <v/>
      </c>
      <c r="CA213" s="23">
        <f t="shared" si="50"/>
        <v>2.3504716530796368</v>
      </c>
      <c r="CB213" s="115">
        <f t="shared" si="51"/>
        <v>706.90876784349973</v>
      </c>
      <c r="CE213" s="2">
        <f t="shared" si="57"/>
        <v>1</v>
      </c>
    </row>
    <row r="214" spans="1:88" x14ac:dyDescent="0.3">
      <c r="A214" s="2" t="s">
        <v>471</v>
      </c>
      <c r="B214" s="2" t="s">
        <v>135</v>
      </c>
      <c r="D214" s="2" t="s">
        <v>632</v>
      </c>
      <c r="E214" s="2" t="s">
        <v>638</v>
      </c>
      <c r="H214" s="105"/>
      <c r="I214" s="105"/>
      <c r="J214" s="105">
        <v>1</v>
      </c>
      <c r="K214" s="105"/>
      <c r="L214" s="105"/>
      <c r="M214" s="105"/>
      <c r="N214" s="105" t="s">
        <v>634</v>
      </c>
      <c r="Q214" s="2" t="s">
        <v>471</v>
      </c>
      <c r="V214" s="174">
        <f t="shared" si="59"/>
        <v>4000</v>
      </c>
      <c r="X214" s="175">
        <f t="shared" si="54"/>
        <v>3.5345438392174988</v>
      </c>
      <c r="Y214" s="23">
        <f>$V214*'Cost inputs'!$B$60/1000000</f>
        <v>2.7715951044761602</v>
      </c>
      <c r="AF214" s="23">
        <f>0.1*$Y214*'Cost inputs'!L$10</f>
        <v>0.34386067119539837</v>
      </c>
      <c r="AG214" s="23">
        <f>0.9*$Y214*'Cost inputs'!M$10</f>
        <v>3.1906831680221006</v>
      </c>
      <c r="BO214" s="23"/>
      <c r="BP214" s="23" t="s">
        <v>449</v>
      </c>
      <c r="BQ214" s="175" t="str">
        <f t="shared" si="52"/>
        <v/>
      </c>
      <c r="BR214" s="23" t="str">
        <f>IFERROR(VLOOKUP(BQ214,'LTP '!$R$4:$S$86,2,0),"")</f>
        <v/>
      </c>
      <c r="CA214" s="23">
        <f t="shared" si="50"/>
        <v>3.5345438392174988</v>
      </c>
      <c r="CB214" s="115">
        <f t="shared" si="51"/>
        <v>883.63595980437469</v>
      </c>
      <c r="CE214" s="2">
        <f t="shared" si="57"/>
        <v>1</v>
      </c>
    </row>
    <row r="215" spans="1:88" x14ac:dyDescent="0.3">
      <c r="A215" s="2" t="s">
        <v>471</v>
      </c>
      <c r="B215" s="2" t="s">
        <v>135</v>
      </c>
      <c r="D215" s="2" t="s">
        <v>632</v>
      </c>
      <c r="E215" s="2" t="s">
        <v>639</v>
      </c>
      <c r="H215" s="105"/>
      <c r="I215" s="105"/>
      <c r="J215" s="105"/>
      <c r="K215" s="105">
        <f>20000/30000</f>
        <v>0.66666666666666663</v>
      </c>
      <c r="L215" s="105"/>
      <c r="M215" s="105"/>
      <c r="N215" s="105" t="s">
        <v>634</v>
      </c>
      <c r="Q215" s="2" t="s">
        <v>471</v>
      </c>
      <c r="V215" s="174">
        <f t="shared" si="59"/>
        <v>20000</v>
      </c>
      <c r="X215" s="175">
        <f t="shared" si="54"/>
        <v>3.3715805258995619</v>
      </c>
      <c r="Y215" s="23">
        <f>$V215*'Cost inputs'!$B$61/1000000</f>
        <v>2.6267439472496634</v>
      </c>
      <c r="AE215" s="23">
        <f>0.1*$Y215*'Cost inputs'!K$10</f>
        <v>0.31609075652880148</v>
      </c>
      <c r="AF215" s="23">
        <f>0.1*$Y215*'Cost inputs'!L$10</f>
        <v>0.32588956998119434</v>
      </c>
      <c r="AG215" s="23">
        <f>0.4*$Y215*'Cost inputs'!M$10</f>
        <v>1.3439685866024451</v>
      </c>
      <c r="AH215" s="23">
        <f>0.4*$Y215*'Cost inputs'!N$10</f>
        <v>1.3856316127871209</v>
      </c>
      <c r="AQ215" s="23"/>
      <c r="AR215" s="23"/>
      <c r="AS215" s="23"/>
      <c r="AT215" s="23"/>
      <c r="BG215" s="23"/>
      <c r="BH215" s="23"/>
      <c r="BI215" s="23"/>
      <c r="BJ215" s="23"/>
      <c r="BO215" s="23"/>
      <c r="BP215" s="23" t="s">
        <v>449</v>
      </c>
      <c r="BQ215" s="175" t="str">
        <f t="shared" si="52"/>
        <v/>
      </c>
      <c r="BR215" s="23" t="str">
        <f>IFERROR(VLOOKUP(BQ215,'LTP '!$R$4:$S$86,2,0),"")</f>
        <v/>
      </c>
      <c r="CA215" s="23">
        <f t="shared" si="50"/>
        <v>3.3715805258995619</v>
      </c>
      <c r="CB215" s="115">
        <f t="shared" si="51"/>
        <v>168.57902629497809</v>
      </c>
      <c r="CE215" s="2">
        <f t="shared" si="57"/>
        <v>1</v>
      </c>
    </row>
    <row r="216" spans="1:88" x14ac:dyDescent="0.3">
      <c r="A216" s="2" t="s">
        <v>135</v>
      </c>
      <c r="B216" s="2" t="s">
        <v>135</v>
      </c>
      <c r="D216" s="2" t="s">
        <v>632</v>
      </c>
      <c r="E216" s="177" t="s">
        <v>640</v>
      </c>
      <c r="F216" s="178">
        <f>3910/4000</f>
        <v>0.97750000000000004</v>
      </c>
      <c r="G216" s="105"/>
      <c r="H216" s="105"/>
      <c r="I216" s="105"/>
      <c r="J216" s="105">
        <f>F216</f>
        <v>0.97750000000000004</v>
      </c>
      <c r="K216" s="105"/>
      <c r="L216" s="105"/>
      <c r="M216" s="105"/>
      <c r="N216" s="105"/>
      <c r="Q216" s="177" t="s">
        <v>641</v>
      </c>
      <c r="R216" s="177">
        <v>2036</v>
      </c>
      <c r="S216" s="177" t="s">
        <v>940</v>
      </c>
      <c r="T216" s="177">
        <v>2036</v>
      </c>
      <c r="U216" s="177" cm="1">
        <f t="array" ref="U216">INDEX($Z$11:$BN$11,MATCH(TRUE,INDEX(Z216:BN216&lt;&gt;0,),0))</f>
        <v>2038</v>
      </c>
      <c r="V216" s="179">
        <f t="shared" si="59"/>
        <v>3910</v>
      </c>
      <c r="X216" s="175">
        <f>SUM(Z216:AI216)</f>
        <v>0</v>
      </c>
      <c r="Y216" s="23">
        <f>$V216*'Cost inputs'!$B$60/1000000</f>
        <v>2.7092342146254471</v>
      </c>
      <c r="AA216" s="201">
        <f>'sequential acq phasing'!AS35*$Y216*'Cost inputs'!G$10</f>
        <v>0</v>
      </c>
      <c r="AB216" s="201">
        <f>'sequential acq phasing'!AT35*$Y216*'Cost inputs'!H$10</f>
        <v>0</v>
      </c>
      <c r="AC216" s="201">
        <f>'sequential acq phasing'!AU35*$Y216*'Cost inputs'!I$10</f>
        <v>0</v>
      </c>
      <c r="AD216" s="201">
        <f>'sequential acq phasing'!AV35*$Y216*'Cost inputs'!J$10</f>
        <v>0</v>
      </c>
      <c r="AE216" s="201">
        <f>'sequential acq phasing'!AW35*$Y216*'Cost inputs'!K$10</f>
        <v>0</v>
      </c>
      <c r="AF216" s="201">
        <f>'sequential acq phasing'!AX35*$Y216*'Cost inputs'!L$10</f>
        <v>0</v>
      </c>
      <c r="AG216" s="201">
        <f>'sequential acq phasing'!AY35*$Y216*'Cost inputs'!M$10</f>
        <v>0</v>
      </c>
      <c r="AH216" s="201">
        <f>'sequential acq phasing'!AZ35*$Y216*'Cost inputs'!N$10</f>
        <v>0</v>
      </c>
      <c r="AI216" s="201">
        <f>'sequential acq phasing'!BA35*$Y216*'Cost inputs'!O$10</f>
        <v>0</v>
      </c>
      <c r="AJ216" s="201">
        <f>'sequential acq phasing'!BB35*$Y216*'Cost inputs'!P$10</f>
        <v>0</v>
      </c>
      <c r="AK216" s="201">
        <f>'sequential acq phasing'!BC35*$Y216*'Cost inputs'!Q$10</f>
        <v>0</v>
      </c>
      <c r="AL216" s="201">
        <f>'sequential acq phasing'!BD35*$Y216*'Cost inputs'!R$10</f>
        <v>0</v>
      </c>
      <c r="AM216" s="201">
        <f>'sequential acq phasing'!BE35*$Y216*'Cost inputs'!S$10</f>
        <v>0.41620752658524324</v>
      </c>
      <c r="AN216" s="201">
        <f>'sequential acq phasing'!BF35*$Y216*'Cost inputs'!T$10</f>
        <v>3.8619896391844715</v>
      </c>
      <c r="AO216" s="201">
        <f>'sequential acq phasing'!BG35*$Y216*'Cost inputs'!U$10</f>
        <v>0</v>
      </c>
      <c r="AP216" s="201">
        <f>'sequential acq phasing'!BH35*$Y216*'Cost inputs'!V$10</f>
        <v>0</v>
      </c>
      <c r="AQ216" s="201">
        <f>'sequential acq phasing'!BI35*$Y216*'Cost inputs'!W$10</f>
        <v>0</v>
      </c>
      <c r="AR216" s="201">
        <f>'sequential acq phasing'!BJ35*$Y216*'Cost inputs'!X$10</f>
        <v>0</v>
      </c>
      <c r="AS216" s="201">
        <f>'sequential acq phasing'!BK35*$Y216*'Cost inputs'!Y$10</f>
        <v>0</v>
      </c>
      <c r="AT216" s="201">
        <f>'sequential acq phasing'!BL35*$Y216*'Cost inputs'!Z$10</f>
        <v>0</v>
      </c>
      <c r="AU216" s="201">
        <f>'sequential acq phasing'!BM35*$Y216*'Cost inputs'!AA$10</f>
        <v>0</v>
      </c>
      <c r="BO216" s="23"/>
      <c r="BP216" s="23" t="s">
        <v>449</v>
      </c>
      <c r="BQ216" s="175" t="str">
        <f t="shared" si="52"/>
        <v/>
      </c>
      <c r="BR216" s="23" t="str">
        <f>IFERROR(VLOOKUP(BQ216,'LTP '!$R$4:$S$86,2,0),"")</f>
        <v/>
      </c>
      <c r="CA216" s="23">
        <f t="shared" si="50"/>
        <v>4.2781971657697149</v>
      </c>
      <c r="CB216" s="115">
        <f t="shared" si="51"/>
        <v>1094.1680730868836</v>
      </c>
      <c r="CE216" s="2">
        <f t="shared" si="57"/>
        <v>1</v>
      </c>
      <c r="CH216" s="105">
        <f t="shared" ref="CH216:CH218" si="60">J216</f>
        <v>0.97750000000000004</v>
      </c>
      <c r="CI216" s="105">
        <f t="shared" ref="CI216:CI218" si="61">K216</f>
        <v>0</v>
      </c>
      <c r="CJ216" s="105">
        <f t="shared" ref="CJ216:CJ218" si="62">M216</f>
        <v>0</v>
      </c>
    </row>
    <row r="217" spans="1:88" x14ac:dyDescent="0.3">
      <c r="A217" s="2" t="s">
        <v>135</v>
      </c>
      <c r="B217" s="2" t="s">
        <v>135</v>
      </c>
      <c r="D217" s="2" t="s">
        <v>632</v>
      </c>
      <c r="E217" s="177" t="s">
        <v>642</v>
      </c>
      <c r="F217" s="105">
        <v>1</v>
      </c>
      <c r="G217" s="105"/>
      <c r="H217" s="105"/>
      <c r="I217" s="105"/>
      <c r="J217" s="105">
        <f t="shared" ref="J217:J218" si="63">F217</f>
        <v>1</v>
      </c>
      <c r="K217" s="105"/>
      <c r="L217" s="105"/>
      <c r="M217" s="105"/>
      <c r="N217" s="105"/>
      <c r="Q217" s="177" t="s">
        <v>643</v>
      </c>
      <c r="R217" s="177">
        <v>2025</v>
      </c>
      <c r="S217" s="177" t="s">
        <v>881</v>
      </c>
      <c r="T217" s="177">
        <v>2025</v>
      </c>
      <c r="U217" s="177" cm="1">
        <f t="array" ref="U217">INDEX($Z$11:$BN$11,MATCH(TRUE,INDEX(Z217:BN217&lt;&gt;0,),0))</f>
        <v>2027</v>
      </c>
      <c r="V217" s="179">
        <f t="shared" si="59"/>
        <v>4000</v>
      </c>
      <c r="X217" s="175">
        <f t="shared" si="54"/>
        <v>3.1282302510444948</v>
      </c>
      <c r="Y217" s="180">
        <f>$V217*'Cost inputs'!$B$60/1000000</f>
        <v>2.7715951044761602</v>
      </c>
      <c r="Z217" s="177"/>
      <c r="AA217" s="177"/>
      <c r="AB217" s="180">
        <f>0.1*$Y217*'Cost inputs'!H$10</f>
        <v>0.30433215789906559</v>
      </c>
      <c r="AC217" s="180">
        <f>0.9*$Y217*'Cost inputs'!I$10</f>
        <v>2.8238980931454294</v>
      </c>
      <c r="AD217" s="177"/>
      <c r="AE217" s="177"/>
      <c r="AF217" s="177"/>
      <c r="AG217" s="177"/>
      <c r="AH217" s="177"/>
      <c r="AI217" s="177"/>
      <c r="AJ217" s="177"/>
      <c r="AK217" s="177"/>
      <c r="AL217" s="177"/>
      <c r="AM217" s="177"/>
      <c r="AN217" s="177"/>
      <c r="AO217" s="177"/>
      <c r="AP217" s="177"/>
      <c r="AQ217" s="177"/>
      <c r="AR217" s="177"/>
      <c r="AS217" s="177"/>
      <c r="AT217" s="177"/>
      <c r="AU217" s="177"/>
      <c r="AV217" s="177"/>
      <c r="AW217" s="177"/>
      <c r="AX217" s="177"/>
      <c r="AY217" s="177"/>
      <c r="AZ217" s="177"/>
      <c r="BA217" s="177"/>
      <c r="BB217" s="177"/>
      <c r="BC217" s="177"/>
      <c r="BD217" s="177"/>
      <c r="BE217" s="177"/>
      <c r="BF217" s="177"/>
      <c r="BG217" s="177"/>
      <c r="BH217" s="177"/>
      <c r="BI217" s="177"/>
      <c r="BJ217" s="177"/>
      <c r="BO217" s="23"/>
      <c r="BP217" s="23" t="s">
        <v>449</v>
      </c>
      <c r="BQ217" s="175" t="str">
        <f t="shared" si="52"/>
        <v/>
      </c>
      <c r="BR217" s="23" t="str">
        <f>IFERROR(VLOOKUP(BQ217,'LTP '!$R$4:$S$86,2,0),"")</f>
        <v/>
      </c>
      <c r="CA217" s="23">
        <f t="shared" si="50"/>
        <v>3.1282302510444948</v>
      </c>
      <c r="CB217" s="115">
        <f t="shared" si="51"/>
        <v>782.05756276112368</v>
      </c>
      <c r="CE217" s="2">
        <f t="shared" si="57"/>
        <v>1</v>
      </c>
      <c r="CH217" s="105">
        <f t="shared" si="60"/>
        <v>1</v>
      </c>
      <c r="CI217" s="105">
        <f t="shared" si="61"/>
        <v>0</v>
      </c>
      <c r="CJ217" s="105">
        <f t="shared" si="62"/>
        <v>0</v>
      </c>
    </row>
    <row r="218" spans="1:88" x14ac:dyDescent="0.3">
      <c r="A218" s="2" t="s">
        <v>135</v>
      </c>
      <c r="B218" s="2" t="s">
        <v>135</v>
      </c>
      <c r="D218" s="2" t="s">
        <v>135</v>
      </c>
      <c r="E218" s="177" t="s">
        <v>644</v>
      </c>
      <c r="F218" s="105">
        <v>6</v>
      </c>
      <c r="G218" s="105"/>
      <c r="H218" s="105"/>
      <c r="I218" s="105"/>
      <c r="J218" s="105">
        <f t="shared" si="63"/>
        <v>6</v>
      </c>
      <c r="K218" s="105"/>
      <c r="L218" s="105"/>
      <c r="M218" s="105"/>
      <c r="N218" s="105"/>
      <c r="Q218" s="2">
        <v>2023</v>
      </c>
      <c r="R218" s="2">
        <v>2041</v>
      </c>
      <c r="S218" s="2" t="s">
        <v>940</v>
      </c>
      <c r="T218" s="2">
        <v>2040</v>
      </c>
      <c r="U218" s="2" cm="1">
        <f t="array" ref="U218">INDEX($Z$11:$BN$11,MATCH(TRUE,INDEX(Z218:BN218&lt;&gt;0,),0))</f>
        <v>2029</v>
      </c>
      <c r="V218" s="174">
        <f t="shared" si="59"/>
        <v>24000</v>
      </c>
      <c r="X218" s="175">
        <f t="shared" si="54"/>
        <v>7.1887453366053942</v>
      </c>
      <c r="Y218" s="23">
        <f>$V218*'Cost inputs'!$B$60/1000000</f>
        <v>16.629570626856964</v>
      </c>
      <c r="AA218" s="201">
        <f>'sequential acq phasing'!AS36*$Y218*'Cost inputs'!G$10</f>
        <v>0</v>
      </c>
      <c r="AB218" s="201">
        <f>'sequential acq phasing'!AT36*$Y218*'Cost inputs'!H$10</f>
        <v>0</v>
      </c>
      <c r="AC218" s="201">
        <f>'sequential acq phasing'!AU36*$Y218*'Cost inputs'!I$10</f>
        <v>0</v>
      </c>
      <c r="AD218" s="201">
        <f>'sequential acq phasing'!AV36*$Y218*'Cost inputs'!J$10</f>
        <v>0.32349321489254862</v>
      </c>
      <c r="AE218" s="201">
        <f>'sequential acq phasing'!AW36*$Y218*'Cost inputs'!K$10</f>
        <v>0.70225693978775527</v>
      </c>
      <c r="AF218" s="201">
        <f>'sequential acq phasing'!AX36*$Y218*'Cost inputs'!L$10</f>
        <v>1.2354355161854853</v>
      </c>
      <c r="AG218" s="201">
        <f>'sequential acq phasing'!AY36*$Y218*'Cost inputs'!M$10</f>
        <v>1.1704774118611336</v>
      </c>
      <c r="AH218" s="201">
        <f>'sequential acq phasing'!AZ36*$Y218*'Cost inputs'!N$10</f>
        <v>0.36551048291453175</v>
      </c>
      <c r="AI218" s="201">
        <f>'sequential acq phasing'!BA36*$Y218*'Cost inputs'!O$10</f>
        <v>3.3915717709639397</v>
      </c>
      <c r="AJ218" s="201">
        <f>'sequential acq phasing'!BB36*$Y218*'Cost inputs'!P$10</f>
        <v>0</v>
      </c>
      <c r="AK218" s="201">
        <f>'sequential acq phasing'!BC36*$Y218*'Cost inputs'!Q$10</f>
        <v>0</v>
      </c>
      <c r="AL218" s="201">
        <f>'sequential acq phasing'!BD36*$Y218*'Cost inputs'!R$10</f>
        <v>0.41298520948821144</v>
      </c>
      <c r="AM218" s="201">
        <f>'sequential acq phasing'!BE36*$Y218*'Cost inputs'!S$10</f>
        <v>4.2578775098234605</v>
      </c>
      <c r="AN218" s="201">
        <f>'sequential acq phasing'!BF36*$Y218*'Cost inputs'!T$10</f>
        <v>3.9508845413651876</v>
      </c>
      <c r="AO218" s="201">
        <f>'sequential acq phasing'!BG36*$Y218*'Cost inputs'!U$10</f>
        <v>0.45259577357194541</v>
      </c>
      <c r="AP218" s="201">
        <f>'sequential acq phasing'!BH36*$Y218*'Cost inputs'!V$10</f>
        <v>4.1996361829740803</v>
      </c>
      <c r="AQ218" s="201">
        <f>'sequential acq phasing'!BI36*$Y218*'Cost inputs'!W$10</f>
        <v>0.48109165607180859</v>
      </c>
      <c r="AR218" s="201">
        <f>'sequential acq phasing'!BJ36*$Y218*'Cost inputs'!X$10</f>
        <v>4.4640494766903114</v>
      </c>
      <c r="AS218" s="201">
        <f>'sequential acq phasing'!BK36*$Y218*'Cost inputs'!Y$10</f>
        <v>0</v>
      </c>
      <c r="AT218" s="201">
        <f>'sequential acq phasing'!BL36*$Y218*'Cost inputs'!Z$10</f>
        <v>0</v>
      </c>
      <c r="AU218" s="201">
        <f>'sequential acq phasing'!BM36*$Y218*'Cost inputs'!AA$10</f>
        <v>0</v>
      </c>
      <c r="BO218" s="23"/>
      <c r="BP218" s="23" t="s">
        <v>449</v>
      </c>
      <c r="BQ218" s="175" t="str">
        <f t="shared" si="52"/>
        <v/>
      </c>
      <c r="BR218" s="23" t="str">
        <f>IFERROR(VLOOKUP(BQ218,'LTP '!$R$4:$S$86,2,0),"")</f>
        <v/>
      </c>
      <c r="CA218" s="23">
        <f t="shared" ref="CA218:CA275" si="64">SUM(Z218:BN218)</f>
        <v>25.407865686590398</v>
      </c>
      <c r="CB218" s="115">
        <f t="shared" ref="CB218:CB275" si="65">IF(Y218&gt;0,CA218/V218*1000000,"")</f>
        <v>1058.6610702746</v>
      </c>
      <c r="CE218" s="2">
        <f t="shared" si="57"/>
        <v>1</v>
      </c>
      <c r="CH218" s="105">
        <f t="shared" si="60"/>
        <v>6</v>
      </c>
      <c r="CI218" s="105">
        <f t="shared" si="61"/>
        <v>0</v>
      </c>
      <c r="CJ218" s="105">
        <f t="shared" si="62"/>
        <v>0</v>
      </c>
    </row>
    <row r="219" spans="1:88" x14ac:dyDescent="0.3">
      <c r="A219" s="2" t="s">
        <v>471</v>
      </c>
      <c r="B219" s="2" t="s">
        <v>206</v>
      </c>
      <c r="C219" s="2" t="s">
        <v>794</v>
      </c>
      <c r="D219" s="2" t="s">
        <v>252</v>
      </c>
      <c r="E219" s="2" t="s">
        <v>645</v>
      </c>
      <c r="G219" s="105"/>
      <c r="H219" s="105"/>
      <c r="I219" s="105"/>
      <c r="J219" s="105">
        <f>(2123+2405)/4000</f>
        <v>1.1319999999999999</v>
      </c>
      <c r="K219" s="105"/>
      <c r="L219" s="105"/>
      <c r="M219" s="105"/>
      <c r="N219" s="105"/>
      <c r="Q219" s="2" t="s">
        <v>471</v>
      </c>
      <c r="V219" s="174">
        <f t="shared" si="59"/>
        <v>4528</v>
      </c>
      <c r="W219" s="175">
        <f>SUM(Z219:BC219)</f>
        <v>3.5411566441823688</v>
      </c>
      <c r="X219" s="175">
        <f t="shared" si="54"/>
        <v>3.5411566441823688</v>
      </c>
      <c r="Y219" s="23">
        <f>$V219*'Cost inputs'!$B$60/1000000</f>
        <v>3.1374456582670138</v>
      </c>
      <c r="AB219" s="23">
        <f>0.1*$Y219*'Cost inputs'!H$10</f>
        <v>0.34450400274174231</v>
      </c>
      <c r="AC219" s="23">
        <f>0.9*$Y219*'Cost inputs'!I$10</f>
        <v>3.1966526414406267</v>
      </c>
      <c r="BO219" s="23"/>
      <c r="BP219" s="23" t="s">
        <v>449</v>
      </c>
      <c r="BQ219" s="175" t="str">
        <f t="shared" si="52"/>
        <v/>
      </c>
      <c r="BR219" s="23" t="str">
        <f>IFERROR(VLOOKUP(BQ219,'LTP '!$R$4:$S$86,2,0),"")</f>
        <v/>
      </c>
      <c r="CA219" s="23">
        <f t="shared" si="64"/>
        <v>3.5411566441823688</v>
      </c>
      <c r="CB219" s="115">
        <f t="shared" si="65"/>
        <v>782.05756276112379</v>
      </c>
      <c r="CE219" s="2">
        <f t="shared" si="57"/>
        <v>1</v>
      </c>
    </row>
    <row r="220" spans="1:88" x14ac:dyDescent="0.3">
      <c r="A220" s="2" t="s">
        <v>471</v>
      </c>
      <c r="B220" s="2" t="s">
        <v>206</v>
      </c>
      <c r="D220" s="2" t="s">
        <v>258</v>
      </c>
      <c r="E220" s="2" t="s">
        <v>646</v>
      </c>
      <c r="G220" s="105"/>
      <c r="H220" s="105"/>
      <c r="I220" s="105"/>
      <c r="J220" s="105">
        <f>5026/4000</f>
        <v>1.2565</v>
      </c>
      <c r="K220" s="105"/>
      <c r="L220" s="105"/>
      <c r="M220" s="105"/>
      <c r="N220" s="105"/>
      <c r="Q220" s="2" t="s">
        <v>471</v>
      </c>
      <c r="V220" s="174">
        <f t="shared" si="59"/>
        <v>5026</v>
      </c>
      <c r="W220" s="175">
        <f t="shared" ref="W220:W239" si="66">SUM(Z220:BC220)</f>
        <v>2.2205771669883938</v>
      </c>
      <c r="X220" s="175">
        <f t="shared" si="54"/>
        <v>2.2205771669883938</v>
      </c>
      <c r="Y220" s="23">
        <f>$V220*'Cost inputs'!$B$60/1000000*0.5</f>
        <v>1.7412546243871478</v>
      </c>
      <c r="AF220" s="23">
        <f>0.1*$Y220*'Cost inputs'!L$10</f>
        <v>0.21603046667850903</v>
      </c>
      <c r="AG220" s="23">
        <f>0.9*$Y220*'Cost inputs'!M$10</f>
        <v>2.0045467003098847</v>
      </c>
      <c r="BO220" s="23"/>
      <c r="BP220" s="23" t="s">
        <v>449</v>
      </c>
      <c r="BQ220" s="175" t="str">
        <f t="shared" si="52"/>
        <v/>
      </c>
      <c r="BR220" s="23" t="str">
        <f>IFERROR(VLOOKUP(BQ220,'LTP '!$R$4:$S$86,2,0),"")</f>
        <v/>
      </c>
      <c r="CA220" s="23">
        <f t="shared" si="64"/>
        <v>2.2205771669883938</v>
      </c>
      <c r="CB220" s="115">
        <f t="shared" si="65"/>
        <v>441.8179799021874</v>
      </c>
      <c r="CC220" s="3">
        <v>0.5</v>
      </c>
      <c r="CE220" s="2">
        <f t="shared" si="57"/>
        <v>1</v>
      </c>
    </row>
    <row r="221" spans="1:88" x14ac:dyDescent="0.3">
      <c r="A221" s="2" t="s">
        <v>471</v>
      </c>
      <c r="B221" s="2" t="s">
        <v>206</v>
      </c>
      <c r="D221" s="2" t="s">
        <v>258</v>
      </c>
      <c r="E221" s="2" t="s">
        <v>647</v>
      </c>
      <c r="F221" s="105"/>
      <c r="G221" s="105"/>
      <c r="H221" s="105"/>
      <c r="I221" s="105"/>
      <c r="J221" s="105">
        <f>3009/4000</f>
        <v>0.75224999999999997</v>
      </c>
      <c r="K221" s="105"/>
      <c r="L221" s="105"/>
      <c r="M221" s="105"/>
      <c r="N221" s="105"/>
      <c r="Q221" s="2" t="s">
        <v>471</v>
      </c>
      <c r="V221" s="174">
        <f t="shared" si="59"/>
        <v>3009</v>
      </c>
      <c r="W221" s="175">
        <f t="shared" si="66"/>
        <v>1.3294303015256819</v>
      </c>
      <c r="X221" s="175">
        <f t="shared" si="54"/>
        <v>1.3294303015256819</v>
      </c>
      <c r="Y221" s="23">
        <f>$V221*'Cost inputs'!$B$60/1000000*0.5</f>
        <v>1.0424662086710959</v>
      </c>
      <c r="AF221" s="23">
        <f>0.1*$Y221*'Cost inputs'!L$10</f>
        <v>0.12933459495336921</v>
      </c>
      <c r="AG221" s="23">
        <f>0.9*$Y221*'Cost inputs'!M$10</f>
        <v>1.2000957065723126</v>
      </c>
      <c r="BO221" s="23"/>
      <c r="BP221" s="23" t="s">
        <v>449</v>
      </c>
      <c r="BQ221" s="175" t="str">
        <f t="shared" si="52"/>
        <v/>
      </c>
      <c r="BR221" s="23" t="str">
        <f>IFERROR(VLOOKUP(BQ221,'LTP '!$R$4:$S$86,2,0),"")</f>
        <v/>
      </c>
      <c r="CA221" s="23">
        <f t="shared" si="64"/>
        <v>1.3294303015256819</v>
      </c>
      <c r="CB221" s="115">
        <f t="shared" si="65"/>
        <v>441.8179799021874</v>
      </c>
      <c r="CC221" s="3">
        <v>0.5</v>
      </c>
      <c r="CE221" s="2">
        <f t="shared" si="57"/>
        <v>1</v>
      </c>
    </row>
    <row r="222" spans="1:88" x14ac:dyDescent="0.3">
      <c r="A222" s="2" t="s">
        <v>471</v>
      </c>
      <c r="B222" s="2" t="s">
        <v>206</v>
      </c>
      <c r="D222" s="2" t="s">
        <v>258</v>
      </c>
      <c r="E222" s="2" t="s">
        <v>648</v>
      </c>
      <c r="F222" s="105"/>
      <c r="G222" s="105"/>
      <c r="H222" s="105"/>
      <c r="I222" s="105"/>
      <c r="J222" s="105"/>
      <c r="K222" s="105"/>
      <c r="L222" s="105"/>
      <c r="M222" s="105"/>
      <c r="N222" s="105"/>
      <c r="V222" s="175"/>
      <c r="W222" s="175">
        <f t="shared" si="66"/>
        <v>0</v>
      </c>
      <c r="X222" s="175">
        <f t="shared" si="54"/>
        <v>0</v>
      </c>
      <c r="Y222" s="175"/>
      <c r="BO222" s="23"/>
      <c r="BP222" s="23" t="s">
        <v>455</v>
      </c>
      <c r="BQ222" s="175" t="str">
        <f t="shared" si="52"/>
        <v/>
      </c>
      <c r="BR222" s="23" t="str">
        <f>IFERROR(VLOOKUP(BQ222,'LTP '!$R$4:$S$86,2,0),"")</f>
        <v/>
      </c>
      <c r="CA222" s="23">
        <f t="shared" si="64"/>
        <v>0</v>
      </c>
      <c r="CB222" s="115" t="str">
        <f t="shared" si="65"/>
        <v/>
      </c>
      <c r="CE222" s="2">
        <f t="shared" si="57"/>
        <v>1</v>
      </c>
    </row>
    <row r="223" spans="1:88" x14ac:dyDescent="0.3">
      <c r="A223" s="2" t="s">
        <v>128</v>
      </c>
      <c r="B223" s="2" t="s">
        <v>206</v>
      </c>
      <c r="D223" s="2" t="s">
        <v>258</v>
      </c>
      <c r="E223" s="177" t="s">
        <v>649</v>
      </c>
      <c r="F223" s="178">
        <f>3369/4000</f>
        <v>0.84225000000000005</v>
      </c>
      <c r="G223" s="178"/>
      <c r="H223" s="178"/>
      <c r="I223" s="178"/>
      <c r="J223" s="178">
        <f>F223</f>
        <v>0.84225000000000005</v>
      </c>
      <c r="K223" s="178"/>
      <c r="L223" s="178"/>
      <c r="M223" s="178"/>
      <c r="N223" s="178"/>
      <c r="O223" s="177"/>
      <c r="P223" s="177"/>
      <c r="Q223" s="177" t="s">
        <v>650</v>
      </c>
      <c r="R223" s="177">
        <v>2026</v>
      </c>
      <c r="S223" s="177" t="s">
        <v>881</v>
      </c>
      <c r="T223" s="177">
        <v>2026</v>
      </c>
      <c r="U223" s="177" cm="1">
        <f t="array" ref="U223">INDEX($Z$11:$BN$11,MATCH(TRUE,INDEX(Z223:BN223&lt;&gt;0,),0))</f>
        <v>2028</v>
      </c>
      <c r="V223" s="179">
        <f>SUMPRODUCT(J223:M223,$J$8:$M$8)</f>
        <v>3369</v>
      </c>
      <c r="W223" s="187">
        <f t="shared" si="66"/>
        <v>2.7164292387394346</v>
      </c>
      <c r="X223" s="187">
        <f t="shared" si="54"/>
        <v>2.7164292387394346</v>
      </c>
      <c r="Y223" s="180">
        <f>$V223*'Cost inputs'!$B$60/1000000</f>
        <v>2.3343759767450463</v>
      </c>
      <c r="Z223" s="177"/>
      <c r="AA223" s="177"/>
      <c r="AB223" s="180"/>
      <c r="AC223" s="180">
        <f>0.1*$Y223*'Cost inputs'!I$10</f>
        <v>0.26426979655019317</v>
      </c>
      <c r="AD223" s="180">
        <f>0.9*$Y223*'Cost inputs'!J$10</f>
        <v>2.4521594421892416</v>
      </c>
      <c r="AE223" s="177"/>
      <c r="AF223" s="177"/>
      <c r="AG223" s="177"/>
      <c r="AH223" s="177"/>
      <c r="AI223" s="177"/>
      <c r="AJ223" s="177"/>
      <c r="AK223" s="177"/>
      <c r="AL223" s="177"/>
      <c r="AM223" s="177"/>
      <c r="AN223" s="177"/>
      <c r="AO223" s="177"/>
      <c r="AP223" s="177"/>
      <c r="AQ223" s="177"/>
      <c r="AR223" s="177"/>
      <c r="AS223" s="177"/>
      <c r="AT223" s="177"/>
      <c r="AU223" s="177"/>
      <c r="AV223" s="177"/>
      <c r="AW223" s="177"/>
      <c r="AX223" s="177"/>
      <c r="AY223" s="177"/>
      <c r="AZ223" s="177"/>
      <c r="BA223" s="177"/>
      <c r="BB223" s="177"/>
      <c r="BC223" s="177"/>
      <c r="BD223" s="177"/>
      <c r="BE223" s="177"/>
      <c r="BF223" s="177"/>
      <c r="BG223" s="177"/>
      <c r="BH223" s="177"/>
      <c r="BI223" s="177"/>
      <c r="BJ223" s="177"/>
      <c r="BO223" s="23"/>
      <c r="BP223" s="23" t="s">
        <v>449</v>
      </c>
      <c r="BQ223" s="175" t="str">
        <f t="shared" si="52"/>
        <v/>
      </c>
      <c r="BR223" s="23" t="str">
        <f>IFERROR(VLOOKUP(BQ223,'LTP '!$R$4:$S$86,2,0),"")</f>
        <v/>
      </c>
      <c r="CA223" s="23">
        <f t="shared" si="64"/>
        <v>2.7164292387394346</v>
      </c>
      <c r="CB223" s="115">
        <f t="shared" si="65"/>
        <v>806.30134720671845</v>
      </c>
      <c r="CE223" s="2">
        <f t="shared" si="57"/>
        <v>1</v>
      </c>
    </row>
    <row r="224" spans="1:88" x14ac:dyDescent="0.3">
      <c r="A224" s="2" t="s">
        <v>128</v>
      </c>
      <c r="B224" s="2" t="s">
        <v>206</v>
      </c>
      <c r="D224" s="2" t="s">
        <v>258</v>
      </c>
      <c r="E224" s="177" t="s">
        <v>651</v>
      </c>
      <c r="F224" s="178">
        <f>3051/4000</f>
        <v>0.76275000000000004</v>
      </c>
      <c r="G224" s="178"/>
      <c r="H224" s="178"/>
      <c r="I224" s="178"/>
      <c r="J224" s="178">
        <f>F224</f>
        <v>0.76275000000000004</v>
      </c>
      <c r="K224" s="178"/>
      <c r="L224" s="178"/>
      <c r="M224" s="178"/>
      <c r="N224" s="178"/>
      <c r="O224" s="177"/>
      <c r="P224" s="177"/>
      <c r="Q224" s="177" t="s">
        <v>652</v>
      </c>
      <c r="R224" s="177">
        <v>2025</v>
      </c>
      <c r="S224" s="177" t="s">
        <v>881</v>
      </c>
      <c r="T224" s="177">
        <v>2025</v>
      </c>
      <c r="U224" s="177" cm="1">
        <f t="array" ref="U224">INDEX($Z$11:$BN$11,MATCH(TRUE,INDEX(Z224:BN224&lt;&gt;0,),0))</f>
        <v>2027</v>
      </c>
      <c r="V224" s="179">
        <f>SUMPRODUCT(J224:M224,$J$8:$M$8)</f>
        <v>3051</v>
      </c>
      <c r="W224" s="187">
        <f t="shared" si="66"/>
        <v>2.3860576239841889</v>
      </c>
      <c r="X224" s="187">
        <f t="shared" si="54"/>
        <v>2.3860576239841889</v>
      </c>
      <c r="Y224" s="180">
        <f>$V224*'Cost inputs'!$B$60/1000000</f>
        <v>2.1140341659391915</v>
      </c>
      <c r="Z224" s="177"/>
      <c r="AA224" s="177"/>
      <c r="AB224" s="180">
        <f>0.1*$Y224*'Cost inputs'!H$10</f>
        <v>0.23212935343751229</v>
      </c>
      <c r="AC224" s="180">
        <f>0.9*$Y224*'Cost inputs'!I$10</f>
        <v>2.1539282705466767</v>
      </c>
      <c r="AD224" s="180"/>
      <c r="AE224" s="177"/>
      <c r="AF224" s="177"/>
      <c r="AG224" s="177"/>
      <c r="AH224" s="177"/>
      <c r="AI224" s="177"/>
      <c r="AJ224" s="177"/>
      <c r="AK224" s="177"/>
      <c r="AL224" s="177"/>
      <c r="AM224" s="177"/>
      <c r="AN224" s="177"/>
      <c r="AO224" s="177"/>
      <c r="AP224" s="177"/>
      <c r="AQ224" s="177"/>
      <c r="AR224" s="177"/>
      <c r="AS224" s="177"/>
      <c r="AT224" s="177"/>
      <c r="AU224" s="177"/>
      <c r="AV224" s="177"/>
      <c r="AW224" s="177"/>
      <c r="AX224" s="177"/>
      <c r="AY224" s="177"/>
      <c r="AZ224" s="177"/>
      <c r="BA224" s="177"/>
      <c r="BB224" s="177"/>
      <c r="BC224" s="177"/>
      <c r="BD224" s="177"/>
      <c r="BE224" s="177"/>
      <c r="BF224" s="177"/>
      <c r="BG224" s="177"/>
      <c r="BH224" s="177"/>
      <c r="BI224" s="177"/>
      <c r="BJ224" s="177"/>
      <c r="BO224" s="23"/>
      <c r="BP224" s="23" t="s">
        <v>449</v>
      </c>
      <c r="BQ224" s="175" t="str">
        <f t="shared" si="52"/>
        <v/>
      </c>
      <c r="BR224" s="23" t="str">
        <f>IFERROR(VLOOKUP(BQ224,'LTP '!$R$4:$S$86,2,0),"")</f>
        <v/>
      </c>
      <c r="CA224" s="23">
        <f t="shared" si="64"/>
        <v>2.3860576239841889</v>
      </c>
      <c r="CB224" s="115">
        <f t="shared" si="65"/>
        <v>782.0575627611239</v>
      </c>
      <c r="CE224" s="2">
        <f t="shared" si="57"/>
        <v>1</v>
      </c>
    </row>
    <row r="225" spans="1:88" x14ac:dyDescent="0.3">
      <c r="A225" s="2" t="s">
        <v>653</v>
      </c>
      <c r="B225" s="2" t="s">
        <v>206</v>
      </c>
      <c r="D225" s="2" t="s">
        <v>654</v>
      </c>
      <c r="F225" s="105"/>
      <c r="G225" s="105"/>
      <c r="H225" s="105"/>
      <c r="I225" s="105"/>
      <c r="J225" s="105"/>
      <c r="K225" s="105"/>
      <c r="L225" s="105"/>
      <c r="M225" s="105"/>
      <c r="N225" s="105"/>
      <c r="V225" s="175"/>
      <c r="W225" s="175">
        <f t="shared" si="66"/>
        <v>0.28907185309608607</v>
      </c>
      <c r="X225" s="175">
        <f t="shared" si="54"/>
        <v>0.28907185309608607</v>
      </c>
      <c r="Y225" s="2">
        <f>860*'Cost inputs'!B88/1000000</f>
        <v>0.26326173954600146</v>
      </c>
      <c r="AD225" s="23">
        <f>$Y225*'Cost inputs'!H$10</f>
        <v>0.28907185309608607</v>
      </c>
      <c r="BO225" s="23"/>
      <c r="BP225" s="23" t="s">
        <v>449</v>
      </c>
      <c r="BQ225" s="175" t="str">
        <f t="shared" ref="BQ225:BQ276" si="67">IF(BP225="LTP",E225,"")</f>
        <v/>
      </c>
      <c r="BR225" s="23" t="str">
        <f>IFERROR(VLOOKUP(BQ225,'LTP '!$R$4:$S$86,2,0),"")</f>
        <v/>
      </c>
      <c r="CA225" s="23">
        <f t="shared" si="64"/>
        <v>0.28907185309608607</v>
      </c>
      <c r="CB225" s="115" t="e">
        <f t="shared" si="65"/>
        <v>#DIV/0!</v>
      </c>
      <c r="CE225" s="2">
        <f t="shared" si="57"/>
        <v>1</v>
      </c>
    </row>
    <row r="226" spans="1:88" x14ac:dyDescent="0.3">
      <c r="A226" s="2" t="s">
        <v>128</v>
      </c>
      <c r="B226" s="2" t="s">
        <v>206</v>
      </c>
      <c r="D226" s="2" t="s">
        <v>252</v>
      </c>
      <c r="F226" s="105">
        <v>5</v>
      </c>
      <c r="G226" s="105"/>
      <c r="H226" s="105"/>
      <c r="I226" s="105"/>
      <c r="J226" s="105">
        <f>F226</f>
        <v>5</v>
      </c>
      <c r="K226" s="105"/>
      <c r="L226" s="105"/>
      <c r="M226" s="105"/>
      <c r="N226" s="105"/>
      <c r="O226" s="2">
        <v>2046</v>
      </c>
      <c r="P226" s="2">
        <v>2050</v>
      </c>
      <c r="Q226" s="2">
        <v>2054</v>
      </c>
      <c r="R226" s="2">
        <v>2041</v>
      </c>
      <c r="S226" s="2" t="s">
        <v>940</v>
      </c>
      <c r="V226" s="174">
        <f t="shared" ref="V226:V240" si="68">SUMPRODUCT(J226:M226,$J$8:$M$8)</f>
        <v>20000</v>
      </c>
      <c r="W226" s="175">
        <f t="shared" si="66"/>
        <v>22.558087996257967</v>
      </c>
      <c r="X226" s="175">
        <f t="shared" si="54"/>
        <v>3.7570822538784716</v>
      </c>
      <c r="Y226" s="23">
        <f>$V226*'Cost inputs'!$B$60/1000000</f>
        <v>13.857975522380803</v>
      </c>
      <c r="AA226" s="201">
        <f>'sequential acq phasing'!AS37*$Y226*'Cost inputs'!G$10</f>
        <v>0</v>
      </c>
      <c r="AB226" s="201">
        <f>'sequential acq phasing'!AT37*$Y226*'Cost inputs'!H$10</f>
        <v>0</v>
      </c>
      <c r="AC226" s="201">
        <f>'sequential acq phasing'!AU37*$Y226*'Cost inputs'!I$10</f>
        <v>0</v>
      </c>
      <c r="AD226" s="201">
        <f>'sequential acq phasing'!AV37*$Y226*'Cost inputs'!J$10</f>
        <v>0</v>
      </c>
      <c r="AE226" s="201">
        <f>'sequential acq phasing'!AW37*$Y226*'Cost inputs'!K$10</f>
        <v>0</v>
      </c>
      <c r="AF226" s="201">
        <f>'sequential acq phasing'!AX37*$Y226*'Cost inputs'!L$10</f>
        <v>0</v>
      </c>
      <c r="AG226" s="201">
        <f>'sequential acq phasing'!AY37*$Y226*'Cost inputs'!M$10</f>
        <v>0</v>
      </c>
      <c r="AH226" s="201">
        <f>'sequential acq phasing'!AZ37*$Y226*'Cost inputs'!N$10</f>
        <v>0.36551048291453175</v>
      </c>
      <c r="AI226" s="201">
        <f>'sequential acq phasing'!BA37*$Y226*'Cost inputs'!O$10</f>
        <v>3.3915717709639397</v>
      </c>
      <c r="AJ226" s="201">
        <f>'sequential acq phasing'!BB37*$Y226*'Cost inputs'!P$10</f>
        <v>0</v>
      </c>
      <c r="AK226" s="201">
        <f>'sequential acq phasing'!BC37*$Y226*'Cost inputs'!Q$10</f>
        <v>0</v>
      </c>
      <c r="AL226" s="201">
        <f>'sequential acq phasing'!BD37*$Y226*'Cost inputs'!R$10</f>
        <v>0.41298520948821144</v>
      </c>
      <c r="AM226" s="201">
        <f>'sequential acq phasing'!BE37*$Y226*'Cost inputs'!S$10</f>
        <v>3.8320897588411138</v>
      </c>
      <c r="AN226" s="201">
        <f>'sequential acq phasing'!BF37*$Y226*'Cost inputs'!T$10</f>
        <v>0.43898717126279868</v>
      </c>
      <c r="AO226" s="201">
        <f>'sequential acq phasing'!BG37*$Y226*'Cost inputs'!U$10</f>
        <v>4.0733619621475086</v>
      </c>
      <c r="AP226" s="201">
        <f>'sequential acq phasing'!BH37*$Y226*'Cost inputs'!V$10</f>
        <v>0</v>
      </c>
      <c r="AQ226" s="201">
        <f>'sequential acq phasing'!BI37*$Y226*'Cost inputs'!W$10</f>
        <v>0.48109165607180859</v>
      </c>
      <c r="AR226" s="201">
        <f>'sequential acq phasing'!BJ37*$Y226*'Cost inputs'!X$10</f>
        <v>4.9600549741003457</v>
      </c>
      <c r="AS226" s="201">
        <f>'sequential acq phasing'!BK37*$Y226*'Cost inputs'!Y$10</f>
        <v>4.6024350104677101</v>
      </c>
      <c r="AT226" s="201">
        <f>'sequential acq phasing'!BL37*$Y226*'Cost inputs'!Z$10</f>
        <v>0</v>
      </c>
      <c r="AU226" s="201">
        <f>'sequential acq phasing'!BM37*$Y226*'Cost inputs'!AA$10</f>
        <v>0</v>
      </c>
      <c r="AY226" s="23"/>
      <c r="AZ226" s="23"/>
      <c r="BA226" s="23"/>
      <c r="BB226" s="23"/>
      <c r="BC226" s="23"/>
      <c r="BD226" s="23"/>
      <c r="BE226" s="23"/>
      <c r="BF226" s="23"/>
      <c r="BG226" s="23">
        <f>0.1*$Y226*'Cost inputs'!AM$10</f>
        <v>3.9204550024722735</v>
      </c>
      <c r="BH226" s="23">
        <f>0.9*$Y226*'Cost inputs'!AN$10</f>
        <v>36.377901967940218</v>
      </c>
      <c r="BO226" s="23"/>
      <c r="BP226" s="23" t="s">
        <v>449</v>
      </c>
      <c r="BQ226" s="175" t="str">
        <f t="shared" si="67"/>
        <v/>
      </c>
      <c r="BR226" s="23" t="str">
        <f>IFERROR(VLOOKUP(BQ226,'LTP '!$R$4:$S$86,2,0),"")</f>
        <v/>
      </c>
      <c r="CA226" s="23">
        <f t="shared" si="64"/>
        <v>62.856444966670459</v>
      </c>
      <c r="CB226" s="115">
        <f t="shared" si="65"/>
        <v>3142.822248333523</v>
      </c>
      <c r="CE226" s="2">
        <f t="shared" si="57"/>
        <v>1</v>
      </c>
      <c r="CH226" s="105">
        <f t="shared" ref="CH226:CH229" si="69">J226</f>
        <v>5</v>
      </c>
      <c r="CI226" s="105">
        <f t="shared" ref="CI226:CI229" si="70">K226</f>
        <v>0</v>
      </c>
      <c r="CJ226" s="105">
        <f t="shared" ref="CJ226:CJ229" si="71">M226</f>
        <v>0</v>
      </c>
    </row>
    <row r="227" spans="1:88" x14ac:dyDescent="0.3">
      <c r="A227" s="2" t="s">
        <v>128</v>
      </c>
      <c r="B227" s="2" t="s">
        <v>206</v>
      </c>
      <c r="D227" s="2" t="s">
        <v>252</v>
      </c>
      <c r="E227" s="2" t="s">
        <v>655</v>
      </c>
      <c r="F227" s="105"/>
      <c r="G227" s="105">
        <v>1</v>
      </c>
      <c r="H227" s="105"/>
      <c r="I227" s="105"/>
      <c r="J227" s="105"/>
      <c r="K227" s="105">
        <f>G227</f>
        <v>1</v>
      </c>
      <c r="L227" s="105"/>
      <c r="M227" s="105"/>
      <c r="N227" s="105"/>
      <c r="O227" s="2">
        <v>2046</v>
      </c>
      <c r="P227" s="2">
        <v>2050</v>
      </c>
      <c r="Q227" s="2">
        <v>2054</v>
      </c>
      <c r="R227" s="2">
        <v>2041</v>
      </c>
      <c r="S227" s="2" t="s">
        <v>940</v>
      </c>
      <c r="V227" s="174">
        <f t="shared" si="68"/>
        <v>30000</v>
      </c>
      <c r="W227" s="175">
        <f t="shared" si="66"/>
        <v>6.8629596987421095</v>
      </c>
      <c r="X227" s="175">
        <f t="shared" si="54"/>
        <v>0</v>
      </c>
      <c r="Y227" s="23">
        <f>$V227*'Cost inputs'!$B$61/1000000</f>
        <v>3.9401159208744954</v>
      </c>
      <c r="AA227" s="201">
        <f>'sequential acq phasing'!AS38*$Y227*'Cost inputs'!G$10</f>
        <v>0</v>
      </c>
      <c r="AB227" s="201">
        <f>'sequential acq phasing'!AT38*$Y227*'Cost inputs'!H$10</f>
        <v>0</v>
      </c>
      <c r="AC227" s="201">
        <f>'sequential acq phasing'!AU38*$Y227*'Cost inputs'!I$10</f>
        <v>0</v>
      </c>
      <c r="AD227" s="201">
        <f>'sequential acq phasing'!AV38*$Y227*'Cost inputs'!J$10</f>
        <v>0</v>
      </c>
      <c r="AE227" s="201">
        <f>'sequential acq phasing'!AW38*$Y227*'Cost inputs'!K$10</f>
        <v>0</v>
      </c>
      <c r="AF227" s="201">
        <f>'sequential acq phasing'!AX38*$Y227*'Cost inputs'!L$10</f>
        <v>0</v>
      </c>
      <c r="AG227" s="201">
        <f>'sequential acq phasing'!AY38*$Y227*'Cost inputs'!M$10</f>
        <v>0</v>
      </c>
      <c r="AH227" s="201">
        <f>'sequential acq phasing'!AZ38*$Y227*'Cost inputs'!N$10</f>
        <v>0</v>
      </c>
      <c r="AI227" s="201">
        <f>'sequential acq phasing'!BA38*$Y227*'Cost inputs'!O$10</f>
        <v>0</v>
      </c>
      <c r="AJ227" s="201">
        <f>'sequential acq phasing'!BB38*$Y227*'Cost inputs'!P$10</f>
        <v>0</v>
      </c>
      <c r="AK227" s="201">
        <f>'sequential acq phasing'!BC38*$Y227*'Cost inputs'!Q$10</f>
        <v>0</v>
      </c>
      <c r="AL227" s="201">
        <f>'sequential acq phasing'!BD38*$Y227*'Cost inputs'!R$10</f>
        <v>0</v>
      </c>
      <c r="AM227" s="201">
        <f>'sequential acq phasing'!BE38*$Y227*'Cost inputs'!S$10</f>
        <v>0</v>
      </c>
      <c r="AN227" s="201">
        <f>'sequential acq phasing'!BF38*$Y227*'Cost inputs'!T$10</f>
        <v>0</v>
      </c>
      <c r="AO227" s="201">
        <f>'sequential acq phasing'!BG38*$Y227*'Cost inputs'!U$10</f>
        <v>0.64341281678962103</v>
      </c>
      <c r="AP227" s="201">
        <f>'sequential acq phasing'!BH38*$Y227*'Cost inputs'!V$10</f>
        <v>0.66335861411009922</v>
      </c>
      <c r="AQ227" s="201">
        <f>'sequential acq phasing'!BI38*$Y227*'Cost inputs'!W$10</f>
        <v>2.7356909245900489</v>
      </c>
      <c r="AR227" s="201">
        <f>'sequential acq phasing'!BJ38*$Y227*'Cost inputs'!X$10</f>
        <v>2.8204973432523399</v>
      </c>
      <c r="AS227" s="201">
        <f>'sequential acq phasing'!BK38*$Y227*'Cost inputs'!Y$10</f>
        <v>0</v>
      </c>
      <c r="AT227" s="201">
        <f>'sequential acq phasing'!BL38*$Y227*'Cost inputs'!Z$10</f>
        <v>0</v>
      </c>
      <c r="AU227" s="201">
        <f>'sequential acq phasing'!BM38*$Y227*'Cost inputs'!AA$10</f>
        <v>0</v>
      </c>
      <c r="BG227" s="23">
        <f>0.1*$Y227*'Cost inputs'!AM$10</f>
        <v>1.1146683833699873</v>
      </c>
      <c r="BH227" s="23">
        <f>0.1*$Y227*'Cost inputs'!AN$10</f>
        <v>1.1492231032544566</v>
      </c>
      <c r="BI227" s="23">
        <f>0.4*$Y227*'Cost inputs'!AO$10</f>
        <v>4.7393960778213797</v>
      </c>
      <c r="BJ227" s="23">
        <f>0.4*$Y227*'Cost inputs'!AP$10</f>
        <v>4.8863173562338416</v>
      </c>
      <c r="BO227" s="23"/>
      <c r="BP227" s="23" t="s">
        <v>449</v>
      </c>
      <c r="BQ227" s="175" t="str">
        <f t="shared" si="67"/>
        <v/>
      </c>
      <c r="BR227" s="23" t="str">
        <f>IFERROR(VLOOKUP(BQ227,'LTP '!$R$4:$S$86,2,0),"")</f>
        <v/>
      </c>
      <c r="CA227" s="23">
        <f t="shared" si="64"/>
        <v>18.752564619421776</v>
      </c>
      <c r="CB227" s="115">
        <f t="shared" si="65"/>
        <v>625.08548731405915</v>
      </c>
      <c r="CE227" s="2">
        <f t="shared" si="57"/>
        <v>1</v>
      </c>
      <c r="CH227" s="105">
        <f t="shared" si="69"/>
        <v>0</v>
      </c>
      <c r="CI227" s="105">
        <f t="shared" si="70"/>
        <v>1</v>
      </c>
      <c r="CJ227" s="105">
        <f t="shared" si="71"/>
        <v>0</v>
      </c>
    </row>
    <row r="228" spans="1:88" x14ac:dyDescent="0.3">
      <c r="A228" s="2" t="s">
        <v>128</v>
      </c>
      <c r="B228" s="2" t="s">
        <v>206</v>
      </c>
      <c r="D228" s="2" t="s">
        <v>257</v>
      </c>
      <c r="F228" s="105">
        <v>7</v>
      </c>
      <c r="G228" s="105"/>
      <c r="H228" s="105"/>
      <c r="I228" s="105"/>
      <c r="J228" s="105">
        <f>F228</f>
        <v>7</v>
      </c>
      <c r="K228" s="105"/>
      <c r="L228" s="105"/>
      <c r="M228" s="105"/>
      <c r="N228" s="105"/>
      <c r="O228" s="2">
        <v>2022</v>
      </c>
      <c r="P228" s="2">
        <v>2026</v>
      </c>
      <c r="Q228" s="2">
        <v>2030</v>
      </c>
      <c r="R228" s="2">
        <v>2041</v>
      </c>
      <c r="S228" s="2" t="s">
        <v>940</v>
      </c>
      <c r="T228" s="2">
        <v>2038</v>
      </c>
      <c r="U228" s="2" cm="1">
        <f t="array" ref="U228">INDEX($Z$11:$BN$11,MATCH(TRUE,INDEX(Z228:BN228&lt;&gt;0,),0))</f>
        <v>2029</v>
      </c>
      <c r="V228" s="174">
        <f t="shared" si="68"/>
        <v>28000</v>
      </c>
      <c r="W228" s="175">
        <f t="shared" si="66"/>
        <v>29.577506256788485</v>
      </c>
      <c r="X228" s="175">
        <f t="shared" si="54"/>
        <v>7.0757777809601645</v>
      </c>
      <c r="Y228" s="23">
        <f>$V228*'Cost inputs'!$B$60/1000000</f>
        <v>19.401165731333123</v>
      </c>
      <c r="AA228" s="201">
        <f>'sequential acq phasing'!AS39*$Y228*'Cost inputs'!G$10</f>
        <v>0</v>
      </c>
      <c r="AB228" s="201">
        <f>'sequential acq phasing'!AT39*$Y228*'Cost inputs'!H$10</f>
        <v>0</v>
      </c>
      <c r="AC228" s="201">
        <f>'sequential acq phasing'!AU39*$Y228*'Cost inputs'!I$10</f>
        <v>0</v>
      </c>
      <c r="AD228" s="201">
        <f>'sequential acq phasing'!AV39*$Y228*'Cost inputs'!J$10</f>
        <v>0.32349321489254862</v>
      </c>
      <c r="AE228" s="201">
        <f>'sequential acq phasing'!AW39*$Y228*'Cost inputs'!K$10</f>
        <v>0.70225693978775527</v>
      </c>
      <c r="AF228" s="201">
        <f>'sequential acq phasing'!AX39*$Y228*'Cost inputs'!L$10</f>
        <v>1.2354355161854855</v>
      </c>
      <c r="AG228" s="201">
        <f>'sequential acq phasing'!AY39*$Y228*'Cost inputs'!M$10</f>
        <v>1.5249977638635888</v>
      </c>
      <c r="AH228" s="201">
        <f>'sequential acq phasing'!AZ39*$Y228*'Cost inputs'!N$10</f>
        <v>3.2895943462307864</v>
      </c>
      <c r="AI228" s="201">
        <f>'sequential acq phasing'!BA39*$Y228*'Cost inputs'!O$10</f>
        <v>0</v>
      </c>
      <c r="AJ228" s="201">
        <f>'sequential acq phasing'!BB39*$Y228*'Cost inputs'!P$10</f>
        <v>0.38852338842931355</v>
      </c>
      <c r="AK228" s="201">
        <f>'sequential acq phasing'!BC39*$Y228*'Cost inputs'!Q$10</f>
        <v>3.6051085212356</v>
      </c>
      <c r="AL228" s="201">
        <f>'sequential acq phasing'!BD39*$Y228*'Cost inputs'!R$10</f>
        <v>0.41298520948821144</v>
      </c>
      <c r="AM228" s="201">
        <f>'sequential acq phasing'!BE39*$Y228*'Cost inputs'!S$10</f>
        <v>3.8320897588411142</v>
      </c>
      <c r="AN228" s="201">
        <f>'sequential acq phasing'!BF39*$Y228*'Cost inputs'!T$10</f>
        <v>0.43898717126279868</v>
      </c>
      <c r="AO228" s="201">
        <f>'sequential acq phasing'!BG39*$Y228*'Cost inputs'!U$10</f>
        <v>4.5259577357194543</v>
      </c>
      <c r="AP228" s="201">
        <f>'sequential acq phasing'!BH39*$Y228*'Cost inputs'!V$10</f>
        <v>4.1996361829740811</v>
      </c>
      <c r="AQ228" s="201">
        <f>'sequential acq phasing'!BI39*$Y228*'Cost inputs'!W$10</f>
        <v>0</v>
      </c>
      <c r="AR228" s="201">
        <f>'sequential acq phasing'!BJ39*$Y228*'Cost inputs'!X$10</f>
        <v>0.49600549741003458</v>
      </c>
      <c r="AS228" s="201">
        <f>'sequential acq phasing'!BK39*$Y228*'Cost inputs'!Y$10</f>
        <v>4.602435010467711</v>
      </c>
      <c r="AT228" s="201">
        <f>'sequential acq phasing'!BL39*$Y228*'Cost inputs'!Z$10</f>
        <v>0</v>
      </c>
      <c r="AU228" s="201">
        <f>'sequential acq phasing'!BM39*$Y228*'Cost inputs'!AA$10</f>
        <v>0</v>
      </c>
      <c r="BO228" s="23"/>
      <c r="BP228" s="23" t="s">
        <v>449</v>
      </c>
      <c r="BQ228" s="175" t="str">
        <f t="shared" si="67"/>
        <v/>
      </c>
      <c r="BR228" s="23" t="str">
        <f>IFERROR(VLOOKUP(BQ228,'LTP '!$R$4:$S$86,2,0),"")</f>
        <v/>
      </c>
      <c r="CA228" s="23">
        <f t="shared" si="64"/>
        <v>29.577506256788485</v>
      </c>
      <c r="CB228" s="115">
        <f t="shared" si="65"/>
        <v>1056.3395091710172</v>
      </c>
      <c r="CE228" s="2">
        <f t="shared" si="57"/>
        <v>1</v>
      </c>
      <c r="CH228" s="105">
        <f t="shared" si="69"/>
        <v>7</v>
      </c>
      <c r="CI228" s="105">
        <f t="shared" si="70"/>
        <v>0</v>
      </c>
      <c r="CJ228" s="105">
        <f t="shared" si="71"/>
        <v>0</v>
      </c>
    </row>
    <row r="229" spans="1:88" x14ac:dyDescent="0.3">
      <c r="A229" s="2" t="s">
        <v>128</v>
      </c>
      <c r="B229" s="2" t="s">
        <v>206</v>
      </c>
      <c r="D229" s="2" t="s">
        <v>257</v>
      </c>
      <c r="F229" s="105"/>
      <c r="G229" s="105">
        <v>1</v>
      </c>
      <c r="H229" s="105"/>
      <c r="I229" s="105"/>
      <c r="J229" s="105"/>
      <c r="K229" s="105">
        <f>G229</f>
        <v>1</v>
      </c>
      <c r="L229" s="105"/>
      <c r="M229" s="105"/>
      <c r="N229" s="105"/>
      <c r="O229" s="2">
        <v>2022</v>
      </c>
      <c r="P229" s="2">
        <v>2026</v>
      </c>
      <c r="Q229" s="2">
        <v>2030</v>
      </c>
      <c r="R229" s="2">
        <v>2041</v>
      </c>
      <c r="S229" s="2" t="s">
        <v>940</v>
      </c>
      <c r="T229" s="2">
        <v>2038</v>
      </c>
      <c r="U229" s="2" cm="1">
        <f t="array" ref="U229">INDEX($Z$11:$BN$11,MATCH(TRUE,INDEX(Z229:BN229&lt;&gt;0,),0))</f>
        <v>2039</v>
      </c>
      <c r="V229" s="174">
        <f t="shared" si="68"/>
        <v>30000</v>
      </c>
      <c r="W229" s="175">
        <f t="shared" si="66"/>
        <v>6.6566049454336662</v>
      </c>
      <c r="X229" s="175">
        <f t="shared" si="54"/>
        <v>0</v>
      </c>
      <c r="Y229" s="23">
        <f>$V229*'Cost inputs'!$B$61/1000000</f>
        <v>3.9401159208744954</v>
      </c>
      <c r="AA229" s="201">
        <f>'sequential acq phasing'!AS40*$Y229*'Cost inputs'!G$10</f>
        <v>0</v>
      </c>
      <c r="AB229" s="201">
        <f>'sequential acq phasing'!AT40*$Y229*'Cost inputs'!H$10</f>
        <v>0</v>
      </c>
      <c r="AC229" s="201">
        <f>'sequential acq phasing'!AU40*$Y229*'Cost inputs'!I$10</f>
        <v>0</v>
      </c>
      <c r="AD229" s="201">
        <f>'sequential acq phasing'!AV40*$Y229*'Cost inputs'!J$10</f>
        <v>0</v>
      </c>
      <c r="AE229" s="201">
        <f>'sequential acq phasing'!AW40*$Y229*'Cost inputs'!K$10</f>
        <v>0</v>
      </c>
      <c r="AF229" s="201">
        <f>'sequential acq phasing'!AX40*$Y229*'Cost inputs'!L$10</f>
        <v>0</v>
      </c>
      <c r="AG229" s="201">
        <f>'sequential acq phasing'!AY40*$Y229*'Cost inputs'!M$10</f>
        <v>0</v>
      </c>
      <c r="AH229" s="201">
        <f>'sequential acq phasing'!AZ40*$Y229*'Cost inputs'!N$10</f>
        <v>0</v>
      </c>
      <c r="AI229" s="201">
        <f>'sequential acq phasing'!BA40*$Y229*'Cost inputs'!O$10</f>
        <v>0</v>
      </c>
      <c r="AJ229" s="201">
        <f>'sequential acq phasing'!BB40*$Y229*'Cost inputs'!P$10</f>
        <v>0</v>
      </c>
      <c r="AK229" s="201">
        <f>'sequential acq phasing'!BC40*$Y229*'Cost inputs'!Q$10</f>
        <v>0</v>
      </c>
      <c r="AL229" s="201">
        <f>'sequential acq phasing'!BD40*$Y229*'Cost inputs'!R$10</f>
        <v>0</v>
      </c>
      <c r="AM229" s="201">
        <f>'sequential acq phasing'!BE40*$Y229*'Cost inputs'!S$10</f>
        <v>0</v>
      </c>
      <c r="AN229" s="201">
        <f>'sequential acq phasing'!BF40*$Y229*'Cost inputs'!T$10</f>
        <v>0.62406674761359948</v>
      </c>
      <c r="AO229" s="201">
        <f>'sequential acq phasing'!BG40*$Y229*'Cost inputs'!U$10</f>
        <v>0.64341281678962103</v>
      </c>
      <c r="AP229" s="201">
        <f>'sequential acq phasing'!BH40*$Y229*'Cost inputs'!V$10</f>
        <v>2.6534344564403969</v>
      </c>
      <c r="AQ229" s="201">
        <f>'sequential acq phasing'!BI40*$Y229*'Cost inputs'!W$10</f>
        <v>2.7356909245900489</v>
      </c>
      <c r="AR229" s="201">
        <f>'sequential acq phasing'!BJ40*$Y229*'Cost inputs'!X$10</f>
        <v>0</v>
      </c>
      <c r="AS229" s="201">
        <f>'sequential acq phasing'!BK40*$Y229*'Cost inputs'!Y$10</f>
        <v>0</v>
      </c>
      <c r="AT229" s="201">
        <f>'sequential acq phasing'!BL40*$Y229*'Cost inputs'!Z$10</f>
        <v>0</v>
      </c>
      <c r="AU229" s="201">
        <f>'sequential acq phasing'!BM40*$Y229*'Cost inputs'!AA$10</f>
        <v>0</v>
      </c>
      <c r="BO229" s="23"/>
      <c r="BP229" s="23" t="s">
        <v>449</v>
      </c>
      <c r="BQ229" s="175" t="str">
        <f t="shared" si="67"/>
        <v/>
      </c>
      <c r="BR229" s="23" t="str">
        <f>IFERROR(VLOOKUP(BQ229,'LTP '!$R$4:$S$86,2,0),"")</f>
        <v/>
      </c>
      <c r="CA229" s="23">
        <f t="shared" si="64"/>
        <v>6.6566049454336662</v>
      </c>
      <c r="CB229" s="115">
        <f t="shared" si="65"/>
        <v>221.88683151445554</v>
      </c>
      <c r="CE229" s="2">
        <f t="shared" si="57"/>
        <v>1</v>
      </c>
      <c r="CH229" s="105">
        <f t="shared" si="69"/>
        <v>0</v>
      </c>
      <c r="CI229" s="105">
        <f t="shared" si="70"/>
        <v>1</v>
      </c>
      <c r="CJ229" s="105">
        <f t="shared" si="71"/>
        <v>0</v>
      </c>
    </row>
    <row r="230" spans="1:88" x14ac:dyDescent="0.3">
      <c r="A230" s="2" t="s">
        <v>128</v>
      </c>
      <c r="B230" s="2" t="s">
        <v>206</v>
      </c>
      <c r="D230" s="2" t="s">
        <v>257</v>
      </c>
      <c r="F230" s="105"/>
      <c r="G230" s="105"/>
      <c r="H230" s="105"/>
      <c r="I230" s="105">
        <v>1</v>
      </c>
      <c r="J230" s="105"/>
      <c r="K230" s="105"/>
      <c r="L230" s="105"/>
      <c r="M230" s="105">
        <f>I230</f>
        <v>1</v>
      </c>
      <c r="N230" s="105"/>
      <c r="O230" s="2">
        <v>2022</v>
      </c>
      <c r="P230" s="2">
        <v>2026</v>
      </c>
      <c r="Q230" s="2">
        <v>2030</v>
      </c>
      <c r="R230" s="2">
        <v>2039</v>
      </c>
      <c r="S230" s="2" t="s">
        <v>881</v>
      </c>
      <c r="T230" s="2">
        <v>2039</v>
      </c>
      <c r="U230" s="2" cm="1">
        <f t="array" ref="U230">INDEX($Z$11:$BN$11,MATCH(TRUE,INDEX(Z230:BN230&lt;&gt;0,),0))</f>
        <v>2041</v>
      </c>
      <c r="V230" s="174">
        <f t="shared" si="68"/>
        <v>2000</v>
      </c>
      <c r="W230" s="175">
        <f t="shared" si="66"/>
        <v>2.398225573599476</v>
      </c>
      <c r="X230" s="175">
        <f t="shared" si="54"/>
        <v>0</v>
      </c>
      <c r="Y230" s="23">
        <f>$V230*'Cost inputs'!$B$60/1000000</f>
        <v>1.3857975522380801</v>
      </c>
      <c r="AP230" s="23">
        <f>0.1*$Y230*'Cost inputs'!V$10</f>
        <v>0.23331312127633783</v>
      </c>
      <c r="AQ230" s="23">
        <f>0.9*$Y230*'Cost inputs'!W$10</f>
        <v>2.1649124523231382</v>
      </c>
      <c r="BO230" s="23"/>
      <c r="BP230" s="23" t="s">
        <v>449</v>
      </c>
      <c r="BQ230" s="175" t="str">
        <f t="shared" si="67"/>
        <v/>
      </c>
      <c r="BR230" s="23" t="str">
        <f>IFERROR(VLOOKUP(BQ230,'LTP '!$R$4:$S$86,2,0),"")</f>
        <v/>
      </c>
      <c r="CA230" s="23">
        <f t="shared" si="64"/>
        <v>2.398225573599476</v>
      </c>
      <c r="CB230" s="115">
        <f t="shared" si="65"/>
        <v>1199.1127867997379</v>
      </c>
      <c r="CE230" s="2">
        <f t="shared" si="57"/>
        <v>1</v>
      </c>
    </row>
    <row r="231" spans="1:88" x14ac:dyDescent="0.3">
      <c r="A231" s="2" t="s">
        <v>128</v>
      </c>
      <c r="B231" s="2" t="s">
        <v>206</v>
      </c>
      <c r="D231" s="2" t="s">
        <v>253</v>
      </c>
      <c r="F231" s="105">
        <v>3</v>
      </c>
      <c r="G231" s="105"/>
      <c r="H231" s="105"/>
      <c r="I231" s="105"/>
      <c r="J231" s="105">
        <f t="shared" ref="J231:J233" si="72">F231</f>
        <v>3</v>
      </c>
      <c r="K231" s="105"/>
      <c r="L231" s="105"/>
      <c r="M231" s="105"/>
      <c r="N231" s="105"/>
      <c r="O231" s="2">
        <v>2031</v>
      </c>
      <c r="P231" s="2">
        <v>2035</v>
      </c>
      <c r="Q231" s="2">
        <v>2039</v>
      </c>
      <c r="R231" s="2">
        <v>2041</v>
      </c>
      <c r="S231" s="2" t="s">
        <v>881</v>
      </c>
      <c r="T231" s="2">
        <v>2041</v>
      </c>
      <c r="U231" s="2" cm="1">
        <f t="array" ref="U231">INDEX($Z$11:$BN$11,MATCH(TRUE,INDEX(Z231:BN231&lt;&gt;0,),0))</f>
        <v>2043</v>
      </c>
      <c r="V231" s="174">
        <f t="shared" si="68"/>
        <v>12000</v>
      </c>
      <c r="W231" s="175">
        <f t="shared" si="66"/>
        <v>15.295321523633236</v>
      </c>
      <c r="X231" s="175">
        <f t="shared" si="54"/>
        <v>0</v>
      </c>
      <c r="Y231" s="23">
        <f>$V231*'Cost inputs'!$B$60/1000000</f>
        <v>8.3147853134284819</v>
      </c>
      <c r="AR231" s="23">
        <f>0.1*$Y231*'Cost inputs'!X$10</f>
        <v>1.4880164922301038</v>
      </c>
      <c r="AS231" s="23">
        <f>0.9*$Y231*'Cost inputs'!Y$10</f>
        <v>13.807305031403132</v>
      </c>
      <c r="BO231" s="23"/>
      <c r="BP231" s="23" t="s">
        <v>449</v>
      </c>
      <c r="BQ231" s="175" t="str">
        <f t="shared" si="67"/>
        <v/>
      </c>
      <c r="BR231" s="23" t="str">
        <f>IFERROR(VLOOKUP(BQ231,'LTP '!$R$4:$S$86,2,0),"")</f>
        <v/>
      </c>
      <c r="CA231" s="23">
        <f t="shared" si="64"/>
        <v>15.295321523633236</v>
      </c>
      <c r="CB231" s="115">
        <f t="shared" si="65"/>
        <v>1274.6101269694364</v>
      </c>
      <c r="CE231" s="2">
        <f t="shared" si="57"/>
        <v>1</v>
      </c>
    </row>
    <row r="232" spans="1:88" x14ac:dyDescent="0.3">
      <c r="A232" s="2" t="s">
        <v>128</v>
      </c>
      <c r="B232" s="2" t="s">
        <v>206</v>
      </c>
      <c r="D232" s="2" t="s">
        <v>656</v>
      </c>
      <c r="E232" s="2" t="s">
        <v>657</v>
      </c>
      <c r="F232" s="105">
        <v>1</v>
      </c>
      <c r="G232" s="105"/>
      <c r="H232" s="105"/>
      <c r="I232" s="105"/>
      <c r="J232" s="105">
        <f t="shared" si="72"/>
        <v>1</v>
      </c>
      <c r="K232" s="105"/>
      <c r="L232" s="105"/>
      <c r="M232" s="105"/>
      <c r="N232" s="105"/>
      <c r="P232" s="2">
        <v>2023</v>
      </c>
      <c r="Q232" s="2">
        <v>2027</v>
      </c>
      <c r="R232" s="2">
        <v>2029</v>
      </c>
      <c r="S232" s="2" t="s">
        <v>881</v>
      </c>
      <c r="T232" s="2">
        <v>2029</v>
      </c>
      <c r="U232" s="2" cm="1">
        <f t="array" ref="U232">INDEX($Z$11:$BN$11,MATCH(TRUE,INDEX(Z232:BN232&lt;&gt;0,),0))</f>
        <v>2031</v>
      </c>
      <c r="V232" s="174">
        <f t="shared" si="68"/>
        <v>4000</v>
      </c>
      <c r="W232" s="175">
        <f t="shared" si="66"/>
        <v>3.5345438392174988</v>
      </c>
      <c r="X232" s="175">
        <f t="shared" si="54"/>
        <v>3.5345438392174988</v>
      </c>
      <c r="Y232" s="23">
        <f>$V232*'Cost inputs'!$B$60/1000000</f>
        <v>2.7715951044761602</v>
      </c>
      <c r="AB232" s="23"/>
      <c r="AC232" s="23"/>
      <c r="AD232" s="23"/>
      <c r="AE232" s="23"/>
      <c r="AF232" s="23">
        <f>0.1*$Y232*'Cost inputs'!L$10</f>
        <v>0.34386067119539837</v>
      </c>
      <c r="AG232" s="23">
        <f>0.9*$Y232*'Cost inputs'!M$10</f>
        <v>3.1906831680221006</v>
      </c>
      <c r="BO232" s="23"/>
      <c r="BP232" s="23" t="s">
        <v>449</v>
      </c>
      <c r="BQ232" s="175" t="str">
        <f t="shared" si="67"/>
        <v/>
      </c>
      <c r="BR232" s="23" t="str">
        <f>IFERROR(VLOOKUP(BQ232,'LTP '!$R$4:$S$86,2,0),"")</f>
        <v/>
      </c>
      <c r="CA232" s="23">
        <f t="shared" si="64"/>
        <v>3.5345438392174988</v>
      </c>
      <c r="CB232" s="115">
        <f t="shared" si="65"/>
        <v>883.63595980437469</v>
      </c>
      <c r="CE232" s="2">
        <f t="shared" ref="CE232:CE264" si="73">COUNTIF($B$291:$B$319,B232)</f>
        <v>1</v>
      </c>
    </row>
    <row r="233" spans="1:88" x14ac:dyDescent="0.3">
      <c r="A233" s="2" t="s">
        <v>128</v>
      </c>
      <c r="B233" s="2" t="s">
        <v>206</v>
      </c>
      <c r="D233" s="2" t="s">
        <v>254</v>
      </c>
      <c r="F233" s="105">
        <v>7</v>
      </c>
      <c r="G233" s="105"/>
      <c r="H233" s="105"/>
      <c r="I233" s="105"/>
      <c r="J233" s="105">
        <f t="shared" si="72"/>
        <v>7</v>
      </c>
      <c r="K233" s="105"/>
      <c r="L233" s="105"/>
      <c r="M233" s="105"/>
      <c r="N233" s="105"/>
      <c r="O233" s="2">
        <v>2031</v>
      </c>
      <c r="P233" s="2">
        <v>2035</v>
      </c>
      <c r="Q233" s="2">
        <v>2039</v>
      </c>
      <c r="R233" s="2">
        <v>2045</v>
      </c>
      <c r="S233" s="2" t="s">
        <v>881</v>
      </c>
      <c r="T233" s="2">
        <v>2045</v>
      </c>
      <c r="U233" s="2" cm="1">
        <f t="array" ref="U233">INDEX($Z$11:$BN$11,MATCH(TRUE,INDEX(Z233:BN233&lt;&gt;0,),0))</f>
        <v>2047</v>
      </c>
      <c r="V233" s="174">
        <f t="shared" si="68"/>
        <v>28000</v>
      </c>
      <c r="W233" s="175">
        <f t="shared" si="66"/>
        <v>40.324598985331946</v>
      </c>
      <c r="X233" s="175">
        <f t="shared" si="54"/>
        <v>0</v>
      </c>
      <c r="Y233" s="23">
        <f>$V233*'Cost inputs'!$B$60/1000000</f>
        <v>19.401165731333123</v>
      </c>
      <c r="AT233" s="23"/>
      <c r="AU233" s="23"/>
      <c r="AV233" s="23">
        <f>0.1*$Y233*'Cost inputs'!AB$10</f>
        <v>3.9230079760027188</v>
      </c>
      <c r="AW233" s="23">
        <f>0.9*$Y233*'Cost inputs'!AC$10</f>
        <v>36.401591009329231</v>
      </c>
      <c r="BO233" s="23"/>
      <c r="BP233" s="23" t="s">
        <v>449</v>
      </c>
      <c r="BQ233" s="175" t="str">
        <f t="shared" si="67"/>
        <v/>
      </c>
      <c r="BR233" s="23" t="str">
        <f>IFERROR(VLOOKUP(BQ233,'LTP '!$R$4:$S$86,2,0),"")</f>
        <v/>
      </c>
      <c r="CA233" s="23">
        <f t="shared" si="64"/>
        <v>40.324598985331946</v>
      </c>
      <c r="CB233" s="115">
        <f t="shared" si="65"/>
        <v>1440.1642494761411</v>
      </c>
      <c r="CE233" s="2">
        <f t="shared" si="73"/>
        <v>1</v>
      </c>
    </row>
    <row r="234" spans="1:88" x14ac:dyDescent="0.3">
      <c r="A234" s="2" t="s">
        <v>128</v>
      </c>
      <c r="B234" s="2" t="s">
        <v>206</v>
      </c>
      <c r="D234" s="2" t="s">
        <v>254</v>
      </c>
      <c r="F234" s="105"/>
      <c r="G234" s="105">
        <v>1</v>
      </c>
      <c r="H234" s="105"/>
      <c r="I234" s="105"/>
      <c r="J234" s="105"/>
      <c r="K234" s="105">
        <f>G234</f>
        <v>1</v>
      </c>
      <c r="L234" s="105"/>
      <c r="M234" s="105"/>
      <c r="N234" s="105"/>
      <c r="O234" s="2">
        <v>2031</v>
      </c>
      <c r="P234" s="2">
        <v>2035</v>
      </c>
      <c r="Q234" s="2">
        <v>2039</v>
      </c>
      <c r="R234" s="2">
        <v>2045</v>
      </c>
      <c r="S234" s="2" t="s">
        <v>881</v>
      </c>
      <c r="T234" s="2">
        <v>2045</v>
      </c>
      <c r="U234" s="2" cm="1">
        <f t="array" ref="U234">INDEX($Z$11:$BN$11,MATCH(TRUE,INDEX(Z234:BN234&lt;&gt;0,),0))</f>
        <v>2047</v>
      </c>
      <c r="V234" s="174">
        <f t="shared" si="68"/>
        <v>30000</v>
      </c>
      <c r="W234" s="175">
        <f t="shared" si="66"/>
        <v>8.4981052501621104</v>
      </c>
      <c r="X234" s="175">
        <f t="shared" si="54"/>
        <v>0</v>
      </c>
      <c r="Y234" s="23">
        <f>$V234*'Cost inputs'!$B$61/1000000</f>
        <v>3.9401159208744954</v>
      </c>
      <c r="AV234" s="23">
        <f>0.1*$Y234*'Cost inputs'!AB$10</f>
        <v>0.79671017700769009</v>
      </c>
      <c r="AW234" s="23">
        <f>0.1*$Y234*'Cost inputs'!AC$10</f>
        <v>0.82140819249492858</v>
      </c>
      <c r="AX234" s="23">
        <f>0.4*$Y234*'Cost inputs'!AD$10</f>
        <v>3.3874873858490853</v>
      </c>
      <c r="AY234" s="23">
        <f>0.4*$Y234*'Cost inputs'!AE$10</f>
        <v>3.4924994948104064</v>
      </c>
      <c r="BO234" s="23"/>
      <c r="BP234" s="23" t="s">
        <v>449</v>
      </c>
      <c r="BQ234" s="175" t="str">
        <f t="shared" si="67"/>
        <v/>
      </c>
      <c r="BR234" s="23" t="str">
        <f>IFERROR(VLOOKUP(BQ234,'LTP '!$R$4:$S$86,2,0),"")</f>
        <v/>
      </c>
      <c r="CA234" s="23">
        <f t="shared" si="64"/>
        <v>8.4981052501621104</v>
      </c>
      <c r="CB234" s="115">
        <f t="shared" si="65"/>
        <v>283.2701750054037</v>
      </c>
      <c r="CE234" s="2">
        <f t="shared" si="73"/>
        <v>1</v>
      </c>
    </row>
    <row r="235" spans="1:88" x14ac:dyDescent="0.3">
      <c r="A235" s="2" t="s">
        <v>128</v>
      </c>
      <c r="B235" s="2" t="s">
        <v>206</v>
      </c>
      <c r="D235" s="2" t="s">
        <v>255</v>
      </c>
      <c r="F235" s="105">
        <v>3</v>
      </c>
      <c r="G235" s="105"/>
      <c r="H235" s="105"/>
      <c r="I235" s="105"/>
      <c r="J235" s="105">
        <f>F235</f>
        <v>3</v>
      </c>
      <c r="K235" s="105"/>
      <c r="L235" s="105"/>
      <c r="M235" s="105"/>
      <c r="N235" s="105"/>
      <c r="O235" s="2">
        <v>2031</v>
      </c>
      <c r="P235" s="2">
        <v>2035</v>
      </c>
      <c r="Q235" s="2">
        <v>2039</v>
      </c>
      <c r="R235" s="2">
        <v>2045</v>
      </c>
      <c r="S235" s="2" t="s">
        <v>881</v>
      </c>
      <c r="T235" s="2">
        <v>2045</v>
      </c>
      <c r="U235" s="2" cm="1">
        <f t="array" ref="U235">INDEX($Z$11:$BN$11,MATCH(TRUE,INDEX(Z235:BN235&lt;&gt;0,),0))</f>
        <v>2047</v>
      </c>
      <c r="V235" s="174">
        <f t="shared" si="68"/>
        <v>12000</v>
      </c>
      <c r="W235" s="175">
        <f t="shared" si="66"/>
        <v>17.281970993713696</v>
      </c>
      <c r="X235" s="175">
        <f t="shared" si="54"/>
        <v>0</v>
      </c>
      <c r="Y235" s="23">
        <f>$V235*'Cost inputs'!$B$60/1000000</f>
        <v>8.3147853134284819</v>
      </c>
      <c r="AT235" s="23"/>
      <c r="AU235" s="23"/>
      <c r="AV235" s="23">
        <f>0.1*$Y235*'Cost inputs'!AB$10</f>
        <v>1.681289132572594</v>
      </c>
      <c r="AW235" s="23">
        <f>0.9*$Y235*'Cost inputs'!AC$10</f>
        <v>15.600681861141101</v>
      </c>
      <c r="BO235" s="23"/>
      <c r="BP235" s="23" t="s">
        <v>449</v>
      </c>
      <c r="BQ235" s="175" t="str">
        <f t="shared" si="67"/>
        <v/>
      </c>
      <c r="BR235" s="23" t="str">
        <f>IFERROR(VLOOKUP(BQ235,'LTP '!$R$4:$S$86,2,0),"")</f>
        <v/>
      </c>
      <c r="CA235" s="23">
        <f t="shared" si="64"/>
        <v>17.281970993713696</v>
      </c>
      <c r="CB235" s="115">
        <f t="shared" si="65"/>
        <v>1440.1642494761411</v>
      </c>
      <c r="CE235" s="2">
        <f t="shared" si="73"/>
        <v>1</v>
      </c>
    </row>
    <row r="236" spans="1:88" x14ac:dyDescent="0.3">
      <c r="A236" s="2" t="s">
        <v>128</v>
      </c>
      <c r="B236" s="2" t="s">
        <v>206</v>
      </c>
      <c r="D236" s="2" t="s">
        <v>255</v>
      </c>
      <c r="F236" s="105"/>
      <c r="G236" s="105">
        <v>1</v>
      </c>
      <c r="H236" s="105"/>
      <c r="I236" s="105"/>
      <c r="J236" s="105"/>
      <c r="K236" s="105">
        <f>G236</f>
        <v>1</v>
      </c>
      <c r="L236" s="105"/>
      <c r="M236" s="105"/>
      <c r="N236" s="105"/>
      <c r="O236" s="2">
        <v>2031</v>
      </c>
      <c r="P236" s="2">
        <v>2035</v>
      </c>
      <c r="Q236" s="2">
        <v>2039</v>
      </c>
      <c r="R236" s="2">
        <v>2045</v>
      </c>
      <c r="S236" s="2" t="s">
        <v>881</v>
      </c>
      <c r="T236" s="2">
        <v>2045</v>
      </c>
      <c r="U236" s="2" cm="1">
        <f t="array" ref="U236">INDEX($Z$11:$BN$11,MATCH(TRUE,INDEX(Z236:BN236&lt;&gt;0,),0))</f>
        <v>2047</v>
      </c>
      <c r="V236" s="174">
        <f t="shared" si="68"/>
        <v>30000</v>
      </c>
      <c r="W236" s="175">
        <f t="shared" si="66"/>
        <v>8.4981052501621104</v>
      </c>
      <c r="X236" s="175">
        <f t="shared" si="54"/>
        <v>0</v>
      </c>
      <c r="Y236" s="23">
        <f>$V236*'Cost inputs'!$B$61/1000000</f>
        <v>3.9401159208744954</v>
      </c>
      <c r="AV236" s="23">
        <f>0.1*$Y236*'Cost inputs'!AB$10</f>
        <v>0.79671017700769009</v>
      </c>
      <c r="AW236" s="23">
        <f>0.1*$Y236*'Cost inputs'!AC$10</f>
        <v>0.82140819249492858</v>
      </c>
      <c r="AX236" s="23">
        <f>0.4*$Y236*'Cost inputs'!AD$10</f>
        <v>3.3874873858490853</v>
      </c>
      <c r="AY236" s="23">
        <f>0.4*$Y236*'Cost inputs'!AE$10</f>
        <v>3.4924994948104064</v>
      </c>
      <c r="BO236" s="23"/>
      <c r="BP236" s="23" t="s">
        <v>449</v>
      </c>
      <c r="BQ236" s="175" t="str">
        <f t="shared" si="67"/>
        <v/>
      </c>
      <c r="BR236" s="23" t="str">
        <f>IFERROR(VLOOKUP(BQ236,'LTP '!$R$4:$S$86,2,0),"")</f>
        <v/>
      </c>
      <c r="CA236" s="23">
        <f t="shared" si="64"/>
        <v>8.4981052501621104</v>
      </c>
      <c r="CB236" s="115">
        <f t="shared" si="65"/>
        <v>283.2701750054037</v>
      </c>
      <c r="CE236" s="2">
        <f t="shared" si="73"/>
        <v>1</v>
      </c>
    </row>
    <row r="237" spans="1:88" x14ac:dyDescent="0.3">
      <c r="A237" s="2" t="s">
        <v>128</v>
      </c>
      <c r="B237" s="2" t="s">
        <v>206</v>
      </c>
      <c r="D237" s="2" t="s">
        <v>255</v>
      </c>
      <c r="F237" s="105"/>
      <c r="G237" s="105"/>
      <c r="H237" s="105"/>
      <c r="I237" s="105">
        <v>0.5</v>
      </c>
      <c r="J237" s="105"/>
      <c r="K237" s="105"/>
      <c r="L237" s="105"/>
      <c r="M237" s="105">
        <f>I237</f>
        <v>0.5</v>
      </c>
      <c r="N237" s="105"/>
      <c r="O237" s="2">
        <v>2031</v>
      </c>
      <c r="P237" s="2">
        <v>2035</v>
      </c>
      <c r="Q237" s="2">
        <v>2039</v>
      </c>
      <c r="R237" s="2">
        <v>2045</v>
      </c>
      <c r="S237" s="2" t="s">
        <v>881</v>
      </c>
      <c r="T237" s="2">
        <v>2045</v>
      </c>
      <c r="U237" s="2" cm="1">
        <f t="array" ref="U237">INDEX($Z$11:$BN$11,MATCH(TRUE,INDEX(Z237:BN237&lt;&gt;0,),0))</f>
        <v>2047</v>
      </c>
      <c r="V237" s="174">
        <f t="shared" si="68"/>
        <v>1000</v>
      </c>
      <c r="W237" s="175">
        <f t="shared" si="66"/>
        <v>1.4401642494761409</v>
      </c>
      <c r="X237" s="175">
        <f t="shared" si="54"/>
        <v>0</v>
      </c>
      <c r="Y237" s="23">
        <f>$V237*'Cost inputs'!$B$60/1000000</f>
        <v>0.69289877611904005</v>
      </c>
      <c r="AT237" s="23"/>
      <c r="AU237" s="23"/>
      <c r="AV237" s="23">
        <f>0.1*$Y237*'Cost inputs'!AB$10</f>
        <v>0.14010742771438281</v>
      </c>
      <c r="AW237" s="23">
        <f>0.9*$Y237*'Cost inputs'!AC$10</f>
        <v>1.3000568217617581</v>
      </c>
      <c r="BO237" s="23"/>
      <c r="BP237" s="23" t="s">
        <v>449</v>
      </c>
      <c r="BQ237" s="175" t="str">
        <f t="shared" si="67"/>
        <v/>
      </c>
      <c r="BR237" s="23" t="str">
        <f>IFERROR(VLOOKUP(BQ237,'LTP '!$R$4:$S$86,2,0),"")</f>
        <v/>
      </c>
      <c r="CA237" s="23">
        <f t="shared" si="64"/>
        <v>1.4401642494761409</v>
      </c>
      <c r="CB237" s="115">
        <f t="shared" si="65"/>
        <v>1440.1642494761409</v>
      </c>
      <c r="CE237" s="2">
        <f t="shared" si="73"/>
        <v>1</v>
      </c>
    </row>
    <row r="238" spans="1:88" x14ac:dyDescent="0.3">
      <c r="A238" s="2" t="s">
        <v>128</v>
      </c>
      <c r="B238" s="2" t="s">
        <v>206</v>
      </c>
      <c r="D238" s="2" t="s">
        <v>256</v>
      </c>
      <c r="F238" s="105">
        <v>4</v>
      </c>
      <c r="G238" s="105"/>
      <c r="H238" s="105"/>
      <c r="I238" s="105"/>
      <c r="J238" s="105">
        <f>F238</f>
        <v>4</v>
      </c>
      <c r="K238" s="105"/>
      <c r="L238" s="105"/>
      <c r="M238" s="105"/>
      <c r="N238" s="105"/>
      <c r="O238" s="2">
        <v>2031</v>
      </c>
      <c r="P238" s="2">
        <v>2035</v>
      </c>
      <c r="Q238" s="2">
        <v>2039</v>
      </c>
      <c r="R238" s="2">
        <v>2045</v>
      </c>
      <c r="S238" s="2" t="s">
        <v>881</v>
      </c>
      <c r="T238" s="2">
        <v>2045</v>
      </c>
      <c r="U238" s="2" cm="1">
        <f t="array" ref="U238">INDEX($Z$11:$BN$11,MATCH(TRUE,INDEX(Z238:BN238&lt;&gt;0,),0))</f>
        <v>2047</v>
      </c>
      <c r="V238" s="174">
        <f t="shared" si="68"/>
        <v>16000</v>
      </c>
      <c r="W238" s="175">
        <f t="shared" si="66"/>
        <v>23.042627991618254</v>
      </c>
      <c r="X238" s="175">
        <f t="shared" si="54"/>
        <v>0</v>
      </c>
      <c r="Y238" s="23">
        <f>$V238*'Cost inputs'!$B$60/1000000</f>
        <v>11.086380417904641</v>
      </c>
      <c r="AT238" s="23"/>
      <c r="AU238" s="23"/>
      <c r="AV238" s="23">
        <f>0.1*$Y238*'Cost inputs'!AB$10</f>
        <v>2.241718843430125</v>
      </c>
      <c r="AW238" s="23">
        <f>0.9*$Y238*'Cost inputs'!AC$10</f>
        <v>20.800909148188129</v>
      </c>
      <c r="BO238" s="23"/>
      <c r="BP238" s="23" t="s">
        <v>449</v>
      </c>
      <c r="BQ238" s="175" t="str">
        <f t="shared" si="67"/>
        <v/>
      </c>
      <c r="BR238" s="23" t="str">
        <f>IFERROR(VLOOKUP(BQ238,'LTP '!$R$4:$S$86,2,0),"")</f>
        <v/>
      </c>
      <c r="CA238" s="23">
        <f t="shared" si="64"/>
        <v>23.042627991618254</v>
      </c>
      <c r="CB238" s="115">
        <f t="shared" si="65"/>
        <v>1440.1642494761409</v>
      </c>
      <c r="CE238" s="2">
        <f t="shared" si="73"/>
        <v>1</v>
      </c>
    </row>
    <row r="239" spans="1:88" x14ac:dyDescent="0.3">
      <c r="A239" s="2" t="s">
        <v>128</v>
      </c>
      <c r="B239" s="2" t="s">
        <v>206</v>
      </c>
      <c r="D239" s="2" t="s">
        <v>256</v>
      </c>
      <c r="F239" s="105"/>
      <c r="G239" s="105">
        <v>1</v>
      </c>
      <c r="H239" s="105"/>
      <c r="I239" s="105"/>
      <c r="J239" s="105"/>
      <c r="K239" s="105">
        <f>G239</f>
        <v>1</v>
      </c>
      <c r="L239" s="105"/>
      <c r="M239" s="105"/>
      <c r="N239" s="105"/>
      <c r="O239" s="2">
        <v>2031</v>
      </c>
      <c r="P239" s="2">
        <v>2035</v>
      </c>
      <c r="Q239" s="2">
        <v>2039</v>
      </c>
      <c r="R239" s="2">
        <v>2045</v>
      </c>
      <c r="S239" s="2" t="s">
        <v>881</v>
      </c>
      <c r="T239" s="2">
        <v>2045</v>
      </c>
      <c r="U239" s="2" cm="1">
        <f t="array" ref="U239">INDEX($Z$11:$BN$11,MATCH(TRUE,INDEX(Z239:BN239&lt;&gt;0,),0))</f>
        <v>2047</v>
      </c>
      <c r="V239" s="174">
        <f t="shared" si="68"/>
        <v>30000</v>
      </c>
      <c r="W239" s="175">
        <f t="shared" si="66"/>
        <v>8.4981052501621104</v>
      </c>
      <c r="X239" s="175">
        <f t="shared" si="54"/>
        <v>0</v>
      </c>
      <c r="Y239" s="23">
        <f>$V239*'Cost inputs'!$B$61/1000000</f>
        <v>3.9401159208744954</v>
      </c>
      <c r="AV239" s="23">
        <f>0.1*$Y239*'Cost inputs'!AB$10</f>
        <v>0.79671017700769009</v>
      </c>
      <c r="AW239" s="23">
        <f>0.1*$Y239*'Cost inputs'!AC$10</f>
        <v>0.82140819249492858</v>
      </c>
      <c r="AX239" s="23">
        <f>0.4*$Y239*'Cost inputs'!AD$10</f>
        <v>3.3874873858490853</v>
      </c>
      <c r="AY239" s="23">
        <f>0.4*$Y239*'Cost inputs'!AE$10</f>
        <v>3.4924994948104064</v>
      </c>
      <c r="BO239" s="23"/>
      <c r="BP239" s="23" t="s">
        <v>449</v>
      </c>
      <c r="BQ239" s="175" t="str">
        <f t="shared" si="67"/>
        <v/>
      </c>
      <c r="BR239" s="23" t="str">
        <f>IFERROR(VLOOKUP(BQ239,'LTP '!$R$4:$S$86,2,0),"")</f>
        <v/>
      </c>
      <c r="CA239" s="23">
        <f t="shared" si="64"/>
        <v>8.4981052501621104</v>
      </c>
      <c r="CB239" s="115">
        <f t="shared" si="65"/>
        <v>283.2701750054037</v>
      </c>
      <c r="CE239" s="2">
        <f t="shared" si="73"/>
        <v>1</v>
      </c>
    </row>
    <row r="240" spans="1:88" x14ac:dyDescent="0.3">
      <c r="A240" s="2" t="s">
        <v>128</v>
      </c>
      <c r="B240" s="2" t="s">
        <v>209</v>
      </c>
      <c r="D240" s="2" t="s">
        <v>259</v>
      </c>
      <c r="E240" s="2" t="s">
        <v>658</v>
      </c>
      <c r="F240" s="105">
        <v>1</v>
      </c>
      <c r="G240" s="105"/>
      <c r="H240" s="105"/>
      <c r="I240" s="105"/>
      <c r="J240" s="105">
        <f>F240</f>
        <v>1</v>
      </c>
      <c r="K240" s="105"/>
      <c r="L240" s="105"/>
      <c r="M240" s="105"/>
      <c r="N240" s="105"/>
      <c r="P240" s="2">
        <v>2022</v>
      </c>
      <c r="Q240" s="2">
        <v>2026</v>
      </c>
      <c r="R240" s="2">
        <v>2036</v>
      </c>
      <c r="S240" s="2" t="s">
        <v>881</v>
      </c>
      <c r="T240" s="2">
        <v>2036</v>
      </c>
      <c r="U240" s="2" cm="1">
        <f t="array" ref="U240">INDEX($Z$11:$BN$11,MATCH(TRUE,INDEX(Z240:BN240&lt;&gt;0,),0))</f>
        <v>2038</v>
      </c>
      <c r="V240" s="174">
        <f t="shared" si="68"/>
        <v>4000</v>
      </c>
      <c r="X240" s="175">
        <f t="shared" si="54"/>
        <v>0</v>
      </c>
      <c r="Y240" s="23">
        <f>$V240*'Cost inputs'!$B$60/1000000</f>
        <v>2.7715951044761602</v>
      </c>
      <c r="AH240" s="23"/>
      <c r="AI240" s="23"/>
      <c r="AM240" s="23">
        <f>0.1*$Y240*'Cost inputs'!S$10</f>
        <v>0.425787750982346</v>
      </c>
      <c r="AN240" s="23">
        <f>0.9*$Y240*'Cost inputs'!T$10</f>
        <v>3.9508845413651876</v>
      </c>
      <c r="BO240" s="23"/>
      <c r="BP240" s="23" t="s">
        <v>449</v>
      </c>
      <c r="BQ240" s="175" t="str">
        <f t="shared" si="67"/>
        <v/>
      </c>
      <c r="BR240" s="23" t="str">
        <f>IFERROR(VLOOKUP(BQ240,'LTP '!$R$4:$S$86,2,0),"")</f>
        <v/>
      </c>
      <c r="CA240" s="23">
        <f t="shared" si="64"/>
        <v>4.3766722923475339</v>
      </c>
      <c r="CB240" s="115">
        <f t="shared" si="65"/>
        <v>1094.1680730868836</v>
      </c>
      <c r="CE240" s="2">
        <f t="shared" si="73"/>
        <v>1</v>
      </c>
    </row>
    <row r="241" spans="1:88" x14ac:dyDescent="0.3">
      <c r="A241" s="2" t="s">
        <v>659</v>
      </c>
      <c r="B241" s="2" t="s">
        <v>206</v>
      </c>
      <c r="D241" s="2" t="s">
        <v>660</v>
      </c>
      <c r="F241" s="105"/>
      <c r="G241" s="105"/>
      <c r="H241" s="105"/>
      <c r="I241" s="105"/>
      <c r="J241" s="105"/>
      <c r="K241" s="105"/>
      <c r="L241" s="105"/>
      <c r="M241" s="105"/>
      <c r="N241" s="105"/>
      <c r="V241" s="175"/>
      <c r="X241" s="175">
        <f t="shared" si="54"/>
        <v>0</v>
      </c>
      <c r="Y241" s="175"/>
      <c r="BO241" s="23"/>
      <c r="BP241" s="23" t="s">
        <v>455</v>
      </c>
      <c r="BQ241" s="175" t="str">
        <f t="shared" si="67"/>
        <v/>
      </c>
      <c r="BR241" s="23" t="str">
        <f>IFERROR(VLOOKUP(BQ241,'LTP '!$R$4:$S$86,2,0),"")</f>
        <v/>
      </c>
      <c r="CA241" s="23">
        <f t="shared" si="64"/>
        <v>0</v>
      </c>
      <c r="CB241" s="115" t="str">
        <f t="shared" si="65"/>
        <v/>
      </c>
      <c r="CE241" s="2">
        <f t="shared" si="73"/>
        <v>1</v>
      </c>
    </row>
    <row r="242" spans="1:88" x14ac:dyDescent="0.3">
      <c r="A242" s="2" t="s">
        <v>471</v>
      </c>
      <c r="B242" s="2" t="s">
        <v>207</v>
      </c>
      <c r="D242" s="2" t="s">
        <v>661</v>
      </c>
      <c r="E242" s="2" t="s">
        <v>662</v>
      </c>
      <c r="F242" s="105"/>
      <c r="G242" s="200"/>
      <c r="H242" s="105"/>
      <c r="I242" s="105"/>
      <c r="J242" s="105"/>
      <c r="K242" s="105"/>
      <c r="L242" s="105"/>
      <c r="M242" s="105"/>
      <c r="N242" s="105"/>
      <c r="Q242" s="2" t="s">
        <v>471</v>
      </c>
      <c r="V242" s="175"/>
      <c r="X242" s="175">
        <f t="shared" ref="X242:X283" si="74">SUM(Z242:AI242)</f>
        <v>0</v>
      </c>
      <c r="Y242" s="175"/>
      <c r="BO242" s="23"/>
      <c r="BP242" s="23" t="s">
        <v>455</v>
      </c>
      <c r="BQ242" s="175" t="str">
        <f t="shared" si="67"/>
        <v/>
      </c>
      <c r="BR242" s="23" t="str">
        <f>IFERROR(VLOOKUP(BQ242,'LTP '!$R$4:$S$86,2,0),"")</f>
        <v/>
      </c>
      <c r="CA242" s="23">
        <f t="shared" si="64"/>
        <v>0</v>
      </c>
      <c r="CB242" s="115" t="str">
        <f t="shared" si="65"/>
        <v/>
      </c>
      <c r="CE242" s="2">
        <f t="shared" si="73"/>
        <v>1</v>
      </c>
    </row>
    <row r="243" spans="1:88" x14ac:dyDescent="0.3">
      <c r="A243" s="2" t="s">
        <v>471</v>
      </c>
      <c r="B243" s="2" t="s">
        <v>207</v>
      </c>
      <c r="D243" s="2" t="s">
        <v>661</v>
      </c>
      <c r="E243" s="2" t="s">
        <v>663</v>
      </c>
      <c r="G243" s="105"/>
      <c r="H243" s="105"/>
      <c r="I243" s="105"/>
      <c r="J243" s="105">
        <f>3013/4000</f>
        <v>0.75324999999999998</v>
      </c>
      <c r="K243" s="105"/>
      <c r="L243" s="105"/>
      <c r="M243" s="105"/>
      <c r="N243" s="105" t="s">
        <v>664</v>
      </c>
      <c r="Q243" s="2" t="s">
        <v>471</v>
      </c>
      <c r="V243" s="174">
        <f t="shared" ref="V243:V253" si="75">SUMPRODUCT(J243:M243,$J$8:$M$8)</f>
        <v>3013</v>
      </c>
      <c r="X243" s="175">
        <f t="shared" si="74"/>
        <v>2.3563394365992667</v>
      </c>
      <c r="Y243" s="23">
        <f>$V243*'Cost inputs'!$B$60/1000000</f>
        <v>2.0877040124466681</v>
      </c>
      <c r="AB243" s="23">
        <f>0.1*$Y243*'Cost inputs'!H$10</f>
        <v>0.22923819793747122</v>
      </c>
      <c r="AC243" s="23">
        <f>0.9*$Y243*'Cost inputs'!I$10</f>
        <v>2.1271012386617953</v>
      </c>
      <c r="AD243" s="23"/>
      <c r="AE243" s="23"/>
      <c r="AI243" s="23"/>
      <c r="AP243" s="23"/>
      <c r="AQ243" s="23"/>
      <c r="BO243" s="23"/>
      <c r="BP243" s="23" t="s">
        <v>449</v>
      </c>
      <c r="BQ243" s="175" t="str">
        <f t="shared" si="67"/>
        <v/>
      </c>
      <c r="BR243" s="23" t="str">
        <f>IFERROR(VLOOKUP(BQ243,'LTP '!$R$4:$S$86,2,0),"")</f>
        <v/>
      </c>
      <c r="CA243" s="23">
        <f t="shared" si="64"/>
        <v>2.3563394365992667</v>
      </c>
      <c r="CB243" s="115">
        <f t="shared" si="65"/>
        <v>782.05756276112402</v>
      </c>
      <c r="CE243" s="2">
        <f t="shared" si="73"/>
        <v>1</v>
      </c>
    </row>
    <row r="244" spans="1:88" x14ac:dyDescent="0.3">
      <c r="A244" s="2" t="s">
        <v>139</v>
      </c>
      <c r="B244" s="2" t="s">
        <v>207</v>
      </c>
      <c r="D244" s="2" t="s">
        <v>661</v>
      </c>
      <c r="E244" s="2" t="s">
        <v>665</v>
      </c>
      <c r="F244" s="105">
        <v>5</v>
      </c>
      <c r="G244" s="105"/>
      <c r="H244" s="105"/>
      <c r="I244" s="105"/>
      <c r="J244" s="105">
        <f>F244</f>
        <v>5</v>
      </c>
      <c r="K244" s="105"/>
      <c r="L244" s="105"/>
      <c r="M244" s="105"/>
      <c r="N244" s="105"/>
      <c r="Q244" s="2">
        <v>2023</v>
      </c>
      <c r="R244" s="2">
        <v>2041</v>
      </c>
      <c r="S244" s="2" t="s">
        <v>940</v>
      </c>
      <c r="T244" s="2">
        <v>2039</v>
      </c>
      <c r="U244" s="2" cm="1">
        <f t="array" ref="U244">INDEX($Z$11:$BN$11,MATCH(TRUE,INDEX(Z244:BN244&lt;&gt;0,),0))</f>
        <v>2029</v>
      </c>
      <c r="V244" s="174">
        <f t="shared" si="75"/>
        <v>20000</v>
      </c>
      <c r="X244" s="175">
        <f t="shared" si="74"/>
        <v>3.8085043906118052</v>
      </c>
      <c r="Y244" s="23">
        <f>$V244*'Cost inputs'!$B$60/1000000</f>
        <v>13.857975522380803</v>
      </c>
      <c r="AA244" s="201">
        <f>'sequential acq phasing'!AS41*$Y244*'Cost inputs'!G$10</f>
        <v>0</v>
      </c>
      <c r="AB244" s="201">
        <f>'sequential acq phasing'!AT41*$Y244*'Cost inputs'!H$10</f>
        <v>0</v>
      </c>
      <c r="AC244" s="201">
        <f>'sequential acq phasing'!AU41*$Y244*'Cost inputs'!I$10</f>
        <v>0</v>
      </c>
      <c r="AD244" s="201">
        <f>'sequential acq phasing'!AV41*$Y244*'Cost inputs'!J$10</f>
        <v>0.32349321489254862</v>
      </c>
      <c r="AE244" s="201">
        <f>'sequential acq phasing'!AW41*$Y244*'Cost inputs'!K$10</f>
        <v>0.7022569397877555</v>
      </c>
      <c r="AF244" s="201">
        <f>'sequential acq phasing'!AX41*$Y244*'Cost inputs'!L$10</f>
        <v>1.2354355161854853</v>
      </c>
      <c r="AG244" s="201">
        <f>'sequential acq phasing'!AY41*$Y244*'Cost inputs'!M$10</f>
        <v>1.1704774118611336</v>
      </c>
      <c r="AH244" s="201">
        <f>'sequential acq phasing'!AZ41*$Y244*'Cost inputs'!N$10</f>
        <v>0</v>
      </c>
      <c r="AI244" s="201">
        <f>'sequential acq phasing'!BA41*$Y244*'Cost inputs'!O$10</f>
        <v>0.37684130788488224</v>
      </c>
      <c r="AJ244" s="201">
        <f>'sequential acq phasing'!BB41*$Y244*'Cost inputs'!P$10</f>
        <v>3.4967104958638218</v>
      </c>
      <c r="AK244" s="201">
        <f>'sequential acq phasing'!BC41*$Y244*'Cost inputs'!Q$10</f>
        <v>0</v>
      </c>
      <c r="AL244" s="201">
        <f>'sequential acq phasing'!BD41*$Y244*'Cost inputs'!R$10</f>
        <v>0.41298520948821144</v>
      </c>
      <c r="AM244" s="201">
        <f>'sequential acq phasing'!BE41*$Y244*'Cost inputs'!S$10</f>
        <v>3.8320897588411138</v>
      </c>
      <c r="AN244" s="201">
        <f>'sequential acq phasing'!BF41*$Y244*'Cost inputs'!T$10</f>
        <v>0.43898717126279868</v>
      </c>
      <c r="AO244" s="201">
        <f>'sequential acq phasing'!BG41*$Y244*'Cost inputs'!U$10</f>
        <v>4.0733619621475086</v>
      </c>
      <c r="AP244" s="201">
        <f>'sequential acq phasing'!BH41*$Y244*'Cost inputs'!V$10</f>
        <v>0</v>
      </c>
      <c r="AQ244" s="201">
        <f>'sequential acq phasing'!BI41*$Y244*'Cost inputs'!W$10</f>
        <v>0.48109165607180859</v>
      </c>
      <c r="AR244" s="201">
        <f>'sequential acq phasing'!BJ41*$Y244*'Cost inputs'!X$10</f>
        <v>4.4640494766903114</v>
      </c>
      <c r="AS244" s="201">
        <f>'sequential acq phasing'!BK41*$Y244*'Cost inputs'!Y$10</f>
        <v>0</v>
      </c>
      <c r="AT244" s="201">
        <f>'sequential acq phasing'!BL41*$Y244*'Cost inputs'!Z$10</f>
        <v>0</v>
      </c>
      <c r="AU244" s="201">
        <f>'sequential acq phasing'!BM41*$Y244*'Cost inputs'!AA$10</f>
        <v>0</v>
      </c>
      <c r="BO244" s="23"/>
      <c r="BP244" s="23" t="s">
        <v>449</v>
      </c>
      <c r="BQ244" s="175" t="str">
        <f t="shared" si="67"/>
        <v/>
      </c>
      <c r="BR244" s="23" t="str">
        <f>IFERROR(VLOOKUP(BQ244,'LTP '!$R$4:$S$86,2,0),"")</f>
        <v/>
      </c>
      <c r="CA244" s="23">
        <f t="shared" si="64"/>
        <v>21.00778012097738</v>
      </c>
      <c r="CB244" s="115">
        <f t="shared" si="65"/>
        <v>1050.3890060488691</v>
      </c>
      <c r="CE244" s="2">
        <f t="shared" si="73"/>
        <v>1</v>
      </c>
      <c r="CH244" s="105">
        <f t="shared" ref="CH244:CH246" si="76">J244</f>
        <v>5</v>
      </c>
      <c r="CI244" s="105">
        <f t="shared" ref="CI244:CI246" si="77">K244</f>
        <v>0</v>
      </c>
      <c r="CJ244" s="105">
        <f t="shared" ref="CJ244:CJ246" si="78">M244</f>
        <v>0</v>
      </c>
    </row>
    <row r="245" spans="1:88" x14ac:dyDescent="0.3">
      <c r="A245" s="2" t="s">
        <v>139</v>
      </c>
      <c r="B245" s="2" t="s">
        <v>207</v>
      </c>
      <c r="D245" s="2" t="s">
        <v>661</v>
      </c>
      <c r="E245" s="2" t="s">
        <v>665</v>
      </c>
      <c r="F245" s="105"/>
      <c r="G245" s="105">
        <v>1</v>
      </c>
      <c r="H245" s="105"/>
      <c r="I245" s="105"/>
      <c r="J245" s="105"/>
      <c r="K245" s="105">
        <f>G245</f>
        <v>1</v>
      </c>
      <c r="L245" s="105"/>
      <c r="M245" s="105"/>
      <c r="N245" s="105"/>
      <c r="Q245" s="2">
        <v>2023</v>
      </c>
      <c r="R245" s="2">
        <v>2041</v>
      </c>
      <c r="S245" s="2" t="s">
        <v>940</v>
      </c>
      <c r="T245" s="2">
        <v>2039</v>
      </c>
      <c r="U245" s="2" cm="1">
        <f t="array" ref="U245">INDEX($Z$11:$BN$11,MATCH(TRUE,INDEX(Z245:BN245&lt;&gt;0,),0))</f>
        <v>2039</v>
      </c>
      <c r="V245" s="174">
        <f t="shared" si="75"/>
        <v>30000</v>
      </c>
      <c r="X245" s="175">
        <f t="shared" si="74"/>
        <v>0</v>
      </c>
      <c r="Y245" s="23">
        <f>$V245*'Cost inputs'!$B$61/1000000</f>
        <v>3.9401159208744954</v>
      </c>
      <c r="AA245" s="201">
        <f>'sequential acq phasing'!AS42*$Y245*'Cost inputs'!G$10</f>
        <v>0</v>
      </c>
      <c r="AB245" s="201">
        <f>'sequential acq phasing'!AT42*$Y245*'Cost inputs'!H$10</f>
        <v>0</v>
      </c>
      <c r="AC245" s="201">
        <f>'sequential acq phasing'!AU42*$Y245*'Cost inputs'!I$10</f>
        <v>0</v>
      </c>
      <c r="AD245" s="201">
        <f>'sequential acq phasing'!AV42*$Y245*'Cost inputs'!J$10</f>
        <v>0</v>
      </c>
      <c r="AE245" s="201">
        <f>'sequential acq phasing'!AW42*$Y245*'Cost inputs'!K$10</f>
        <v>0</v>
      </c>
      <c r="AF245" s="201">
        <f>'sequential acq phasing'!AX42*$Y245*'Cost inputs'!L$10</f>
        <v>0</v>
      </c>
      <c r="AG245" s="201">
        <f>'sequential acq phasing'!AY42*$Y245*'Cost inputs'!M$10</f>
        <v>0</v>
      </c>
      <c r="AH245" s="201">
        <f>'sequential acq phasing'!AZ42*$Y245*'Cost inputs'!N$10</f>
        <v>0</v>
      </c>
      <c r="AI245" s="201">
        <f>'sequential acq phasing'!BA42*$Y245*'Cost inputs'!O$10</f>
        <v>0</v>
      </c>
      <c r="AJ245" s="201">
        <f>'sequential acq phasing'!BB42*$Y245*'Cost inputs'!P$10</f>
        <v>0</v>
      </c>
      <c r="AK245" s="201">
        <f>'sequential acq phasing'!BC42*$Y245*'Cost inputs'!Q$10</f>
        <v>0</v>
      </c>
      <c r="AL245" s="201">
        <f>'sequential acq phasing'!BD42*$Y245*'Cost inputs'!R$10</f>
        <v>0</v>
      </c>
      <c r="AM245" s="201">
        <f>'sequential acq phasing'!BE42*$Y245*'Cost inputs'!S$10</f>
        <v>0</v>
      </c>
      <c r="AN245" s="201">
        <f>'sequential acq phasing'!BF42*$Y245*'Cost inputs'!T$10</f>
        <v>0.62406674761359948</v>
      </c>
      <c r="AO245" s="201">
        <f>'sequential acq phasing'!BG42*$Y245*'Cost inputs'!U$10</f>
        <v>0.64341281678962103</v>
      </c>
      <c r="AP245" s="201">
        <f>'sequential acq phasing'!BH42*$Y245*'Cost inputs'!V$10</f>
        <v>2.6534344564403969</v>
      </c>
      <c r="AQ245" s="201">
        <f>'sequential acq phasing'!BI42*$Y245*'Cost inputs'!W$10</f>
        <v>2.7356909245900489</v>
      </c>
      <c r="AR245" s="201">
        <f>'sequential acq phasing'!BJ42*$Y245*'Cost inputs'!X$10</f>
        <v>0</v>
      </c>
      <c r="AS245" s="201">
        <f>'sequential acq phasing'!BK42*$Y245*'Cost inputs'!Y$10</f>
        <v>0</v>
      </c>
      <c r="AT245" s="201">
        <f>'sequential acq phasing'!BL42*$Y245*'Cost inputs'!Z$10</f>
        <v>0</v>
      </c>
      <c r="AU245" s="201">
        <f>'sequential acq phasing'!BM42*$Y245*'Cost inputs'!AA$10</f>
        <v>0</v>
      </c>
      <c r="BO245" s="23"/>
      <c r="BP245" s="23" t="s">
        <v>449</v>
      </c>
      <c r="BQ245" s="175" t="str">
        <f t="shared" si="67"/>
        <v/>
      </c>
      <c r="BR245" s="23" t="str">
        <f>IFERROR(VLOOKUP(BQ245,'LTP '!$R$4:$S$86,2,0),"")</f>
        <v/>
      </c>
      <c r="CA245" s="23">
        <f t="shared" si="64"/>
        <v>6.6566049454336662</v>
      </c>
      <c r="CB245" s="115">
        <f t="shared" si="65"/>
        <v>221.88683151445554</v>
      </c>
      <c r="CE245" s="2">
        <f t="shared" si="73"/>
        <v>1</v>
      </c>
      <c r="CH245" s="105">
        <f t="shared" si="76"/>
        <v>0</v>
      </c>
      <c r="CI245" s="105">
        <f t="shared" si="77"/>
        <v>1</v>
      </c>
      <c r="CJ245" s="105">
        <f t="shared" si="78"/>
        <v>0</v>
      </c>
    </row>
    <row r="246" spans="1:88" x14ac:dyDescent="0.3">
      <c r="A246" s="2" t="s">
        <v>139</v>
      </c>
      <c r="B246" s="2" t="s">
        <v>207</v>
      </c>
      <c r="D246" s="2" t="s">
        <v>661</v>
      </c>
      <c r="E246" s="2" t="s">
        <v>665</v>
      </c>
      <c r="F246" s="105"/>
      <c r="G246" s="105"/>
      <c r="H246" s="105"/>
      <c r="I246" s="105">
        <v>1</v>
      </c>
      <c r="J246" s="105"/>
      <c r="K246" s="105"/>
      <c r="L246" s="105"/>
      <c r="M246" s="105">
        <f>I246</f>
        <v>1</v>
      </c>
      <c r="N246" s="105"/>
      <c r="Q246" s="2">
        <v>2023</v>
      </c>
      <c r="R246" s="2">
        <v>2041</v>
      </c>
      <c r="S246" s="2" t="s">
        <v>940</v>
      </c>
      <c r="T246" s="2">
        <v>2039</v>
      </c>
      <c r="U246" s="2" cm="1">
        <f t="array" ref="U246">INDEX($Z$11:$BN$11,MATCH(TRUE,INDEX(Z246:BN246&lt;&gt;0,),0))</f>
        <v>2039</v>
      </c>
      <c r="V246" s="174">
        <f t="shared" si="75"/>
        <v>2000</v>
      </c>
      <c r="X246" s="175">
        <f t="shared" si="74"/>
        <v>0</v>
      </c>
      <c r="Y246" s="23">
        <f>$V246*'Cost inputs'!$B$60/1000000</f>
        <v>1.3857975522380801</v>
      </c>
      <c r="AA246" s="201">
        <f>'sequential acq phasing'!AS43*$Y246*'Cost inputs'!G$10</f>
        <v>0</v>
      </c>
      <c r="AB246" s="201">
        <f>'sequential acq phasing'!AT43*$Y246*'Cost inputs'!H$10</f>
        <v>0</v>
      </c>
      <c r="AC246" s="201">
        <f>'sequential acq phasing'!AU43*$Y246*'Cost inputs'!I$10</f>
        <v>0</v>
      </c>
      <c r="AD246" s="201">
        <f>'sequential acq phasing'!AV43*$Y246*'Cost inputs'!J$10</f>
        <v>0</v>
      </c>
      <c r="AE246" s="201">
        <f>'sequential acq phasing'!AW43*$Y246*'Cost inputs'!K$10</f>
        <v>0</v>
      </c>
      <c r="AF246" s="201">
        <f>'sequential acq phasing'!AX43*$Y246*'Cost inputs'!L$10</f>
        <v>0</v>
      </c>
      <c r="AG246" s="201">
        <f>'sequential acq phasing'!AY43*$Y246*'Cost inputs'!M$10</f>
        <v>0</v>
      </c>
      <c r="AH246" s="201">
        <f>'sequential acq phasing'!AZ43*$Y246*'Cost inputs'!N$10</f>
        <v>0</v>
      </c>
      <c r="AI246" s="201">
        <f>'sequential acq phasing'!BA43*$Y246*'Cost inputs'!O$10</f>
        <v>0</v>
      </c>
      <c r="AJ246" s="201">
        <f>'sequential acq phasing'!BB43*$Y246*'Cost inputs'!P$10</f>
        <v>0</v>
      </c>
      <c r="AK246" s="201">
        <f>'sequential acq phasing'!BC43*$Y246*'Cost inputs'!Q$10</f>
        <v>0</v>
      </c>
      <c r="AL246" s="201">
        <f>'sequential acq phasing'!BD43*$Y246*'Cost inputs'!R$10</f>
        <v>0</v>
      </c>
      <c r="AM246" s="201">
        <f>'sequential acq phasing'!BE43*$Y246*'Cost inputs'!S$10</f>
        <v>0</v>
      </c>
      <c r="AN246" s="201">
        <f>'sequential acq phasing'!BF43*$Y246*'Cost inputs'!T$10</f>
        <v>0.21949358563139934</v>
      </c>
      <c r="AO246" s="201">
        <f>'sequential acq phasing'!BG43*$Y246*'Cost inputs'!U$10</f>
        <v>2.0366809810737543</v>
      </c>
      <c r="AP246" s="201">
        <f>'sequential acq phasing'!BH43*$Y246*'Cost inputs'!V$10</f>
        <v>0</v>
      </c>
      <c r="AQ246" s="201">
        <f>'sequential acq phasing'!BI43*$Y246*'Cost inputs'!W$10</f>
        <v>0</v>
      </c>
      <c r="AR246" s="201">
        <f>'sequential acq phasing'!BJ43*$Y246*'Cost inputs'!X$10</f>
        <v>0</v>
      </c>
      <c r="AS246" s="201">
        <f>'sequential acq phasing'!BK43*$Y246*'Cost inputs'!Y$10</f>
        <v>0</v>
      </c>
      <c r="AT246" s="201">
        <f>'sequential acq phasing'!BL43*$Y246*'Cost inputs'!Z$10</f>
        <v>0</v>
      </c>
      <c r="AU246" s="201">
        <f>'sequential acq phasing'!BM43*$Y246*'Cost inputs'!AA$10</f>
        <v>0</v>
      </c>
      <c r="BO246" s="23"/>
      <c r="BP246" s="23" t="s">
        <v>449</v>
      </c>
      <c r="BQ246" s="175" t="str">
        <f t="shared" si="67"/>
        <v/>
      </c>
      <c r="BR246" s="23" t="str">
        <f>IFERROR(VLOOKUP(BQ246,'LTP '!$R$4:$S$86,2,0),"")</f>
        <v/>
      </c>
      <c r="CA246" s="23">
        <f t="shared" si="64"/>
        <v>2.2561745667051536</v>
      </c>
      <c r="CB246" s="115">
        <f t="shared" si="65"/>
        <v>1128.0872833525766</v>
      </c>
      <c r="CE246" s="2">
        <f t="shared" si="73"/>
        <v>1</v>
      </c>
      <c r="CH246" s="105">
        <f t="shared" si="76"/>
        <v>0</v>
      </c>
      <c r="CI246" s="105">
        <f t="shared" si="77"/>
        <v>0</v>
      </c>
      <c r="CJ246" s="105">
        <f t="shared" si="78"/>
        <v>1</v>
      </c>
    </row>
    <row r="247" spans="1:88" ht="17.399999999999999" x14ac:dyDescent="0.3">
      <c r="A247" s="2" t="s">
        <v>139</v>
      </c>
      <c r="B247" s="2" t="s">
        <v>207</v>
      </c>
      <c r="D247" s="198" t="s">
        <v>262</v>
      </c>
      <c r="F247" s="105">
        <v>14</v>
      </c>
      <c r="G247" s="105"/>
      <c r="H247" s="105"/>
      <c r="I247" s="105"/>
      <c r="J247" s="105">
        <f>F247</f>
        <v>14</v>
      </c>
      <c r="K247" s="105"/>
      <c r="L247" s="105"/>
      <c r="M247" s="105"/>
      <c r="N247" s="105"/>
      <c r="O247" s="2">
        <v>2036</v>
      </c>
      <c r="P247" s="2">
        <v>2040</v>
      </c>
      <c r="Q247" s="2">
        <v>2044</v>
      </c>
      <c r="R247" s="2">
        <v>2046</v>
      </c>
      <c r="S247" s="2" t="s">
        <v>881</v>
      </c>
      <c r="T247" s="2">
        <v>2046</v>
      </c>
      <c r="U247" s="2" cm="1">
        <f t="array" ref="U247">INDEX($Z$11:$BN$11,MATCH(TRUE,INDEX(Z247:BN247&lt;&gt;0,),0))</f>
        <v>2048</v>
      </c>
      <c r="V247" s="174">
        <f t="shared" si="75"/>
        <v>56000</v>
      </c>
      <c r="X247" s="175">
        <f t="shared" si="74"/>
        <v>0</v>
      </c>
      <c r="Y247" s="23">
        <f>$V247*'Cost inputs'!$B$60/1000000</f>
        <v>38.802331462666245</v>
      </c>
      <c r="AW247" s="23">
        <f>0.1*$Y247*'Cost inputs'!AC$10</f>
        <v>8.0892424465176074</v>
      </c>
      <c r="AX247" s="23">
        <f>0.9*$Y247*'Cost inputs'!AD$10</f>
        <v>75.060080661236867</v>
      </c>
      <c r="BO247" s="23"/>
      <c r="BP247" s="23" t="s">
        <v>449</v>
      </c>
      <c r="BQ247" s="175" t="str">
        <f t="shared" si="67"/>
        <v/>
      </c>
      <c r="BR247" s="23" t="str">
        <f>IFERROR(VLOOKUP(BQ247,'LTP '!$R$4:$S$86,2,0),"")</f>
        <v/>
      </c>
      <c r="CA247" s="23">
        <f t="shared" si="64"/>
        <v>83.149323107754469</v>
      </c>
      <c r="CB247" s="115">
        <f t="shared" si="65"/>
        <v>1484.8093412099013</v>
      </c>
      <c r="CE247" s="2">
        <f t="shared" si="73"/>
        <v>1</v>
      </c>
    </row>
    <row r="248" spans="1:88" ht="17.399999999999999" x14ac:dyDescent="0.3">
      <c r="A248" s="2" t="s">
        <v>139</v>
      </c>
      <c r="B248" s="2" t="s">
        <v>207</v>
      </c>
      <c r="D248" s="198" t="s">
        <v>262</v>
      </c>
      <c r="F248" s="105"/>
      <c r="G248" s="105">
        <v>2</v>
      </c>
      <c r="H248" s="105"/>
      <c r="I248" s="105"/>
      <c r="J248" s="105"/>
      <c r="K248" s="105">
        <f>G248</f>
        <v>2</v>
      </c>
      <c r="L248" s="105"/>
      <c r="M248" s="105"/>
      <c r="N248" s="105"/>
      <c r="O248" s="2">
        <v>2036</v>
      </c>
      <c r="P248" s="2">
        <v>2040</v>
      </c>
      <c r="Q248" s="2">
        <v>2044</v>
      </c>
      <c r="R248" s="2">
        <v>2046</v>
      </c>
      <c r="S248" s="2" t="s">
        <v>881</v>
      </c>
      <c r="T248" s="2">
        <v>2046</v>
      </c>
      <c r="U248" s="2" cm="1">
        <f t="array" ref="U248">INDEX($Z$11:$BN$11,MATCH(TRUE,INDEX(Z248:BN248&lt;&gt;0,),0))</f>
        <v>2048</v>
      </c>
      <c r="V248" s="174">
        <f t="shared" si="75"/>
        <v>60000</v>
      </c>
      <c r="X248" s="175">
        <f t="shared" si="74"/>
        <v>0</v>
      </c>
      <c r="Y248" s="23">
        <f>$V248*'Cost inputs'!$B$61/1000000</f>
        <v>7.8802318417489907</v>
      </c>
      <c r="AW248" s="23">
        <f>0.1*$Y248*'Cost inputs'!AC$10</f>
        <v>1.6428163849898572</v>
      </c>
      <c r="AX248" s="23">
        <f>0.1*$Y248*'Cost inputs'!AD$10</f>
        <v>1.6937436929245426</v>
      </c>
      <c r="AY248" s="23">
        <f>0.4*$Y248*'Cost inputs'!AE$10</f>
        <v>6.9849989896208129</v>
      </c>
      <c r="AZ248" s="23">
        <f>0.4*$Y248*'Cost inputs'!AF$10</f>
        <v>7.2015339582990565</v>
      </c>
      <c r="BO248" s="23"/>
      <c r="BP248" s="23" t="s">
        <v>449</v>
      </c>
      <c r="BQ248" s="175" t="str">
        <f t="shared" si="67"/>
        <v/>
      </c>
      <c r="BR248" s="23" t="str">
        <f>IFERROR(VLOOKUP(BQ248,'LTP '!$R$4:$S$86,2,0),"")</f>
        <v/>
      </c>
      <c r="CA248" s="23">
        <f t="shared" si="64"/>
        <v>17.523093025834267</v>
      </c>
      <c r="CB248" s="115">
        <f t="shared" si="65"/>
        <v>292.05155043057113</v>
      </c>
      <c r="CE248" s="2">
        <f t="shared" si="73"/>
        <v>1</v>
      </c>
    </row>
    <row r="249" spans="1:88" ht="17.399999999999999" x14ac:dyDescent="0.3">
      <c r="A249" s="2" t="s">
        <v>139</v>
      </c>
      <c r="B249" s="2" t="s">
        <v>207</v>
      </c>
      <c r="D249" s="198" t="s">
        <v>262</v>
      </c>
      <c r="F249" s="105"/>
      <c r="G249" s="105"/>
      <c r="H249" s="105"/>
      <c r="I249" s="105">
        <v>0.5</v>
      </c>
      <c r="J249" s="105"/>
      <c r="K249" s="105"/>
      <c r="L249" s="105"/>
      <c r="M249" s="105">
        <f>I249</f>
        <v>0.5</v>
      </c>
      <c r="N249" s="105"/>
      <c r="O249" s="2">
        <v>2036</v>
      </c>
      <c r="P249" s="2">
        <v>2040</v>
      </c>
      <c r="Q249" s="2">
        <v>2044</v>
      </c>
      <c r="R249" s="2">
        <v>2046</v>
      </c>
      <c r="S249" s="2" t="s">
        <v>881</v>
      </c>
      <c r="T249" s="2">
        <v>2046</v>
      </c>
      <c r="U249" s="2" cm="1">
        <f t="array" ref="U249">INDEX($Z$11:$BN$11,MATCH(TRUE,INDEX(Z249:BN249&lt;&gt;0,),0))</f>
        <v>2048</v>
      </c>
      <c r="V249" s="174">
        <f t="shared" si="75"/>
        <v>1000</v>
      </c>
      <c r="X249" s="175">
        <f t="shared" si="74"/>
        <v>0</v>
      </c>
      <c r="Y249" s="23">
        <f>$V249*'Cost inputs'!$B$60/1000000</f>
        <v>0.69289877611904005</v>
      </c>
      <c r="AW249" s="23">
        <f>0.1*$Y249*'Cost inputs'!AC$10</f>
        <v>0.14445075797352869</v>
      </c>
      <c r="AX249" s="23">
        <f>0.9*$Y249*'Cost inputs'!AD$10</f>
        <v>1.3403585832363727</v>
      </c>
      <c r="BO249" s="23"/>
      <c r="BP249" s="23" t="s">
        <v>449</v>
      </c>
      <c r="BQ249" s="175" t="str">
        <f t="shared" si="67"/>
        <v/>
      </c>
      <c r="BR249" s="23" t="str">
        <f>IFERROR(VLOOKUP(BQ249,'LTP '!$R$4:$S$86,2,0),"")</f>
        <v/>
      </c>
      <c r="CA249" s="23">
        <f t="shared" si="64"/>
        <v>1.4848093412099015</v>
      </c>
      <c r="CB249" s="115">
        <f t="shared" si="65"/>
        <v>1484.8093412099015</v>
      </c>
      <c r="CE249" s="2">
        <f t="shared" si="73"/>
        <v>1</v>
      </c>
    </row>
    <row r="250" spans="1:88" x14ac:dyDescent="0.3">
      <c r="A250" s="2" t="s">
        <v>139</v>
      </c>
      <c r="B250" s="2" t="s">
        <v>207</v>
      </c>
      <c r="D250" s="2" t="s">
        <v>261</v>
      </c>
      <c r="F250" s="105">
        <v>3</v>
      </c>
      <c r="G250" s="105"/>
      <c r="H250" s="105"/>
      <c r="I250" s="105"/>
      <c r="J250" s="105">
        <f>F250</f>
        <v>3</v>
      </c>
      <c r="K250" s="105"/>
      <c r="L250" s="105"/>
      <c r="M250" s="105"/>
      <c r="N250" s="105"/>
      <c r="O250" s="2">
        <v>2026</v>
      </c>
      <c r="P250" s="2">
        <v>2030</v>
      </c>
      <c r="Q250" s="2">
        <v>2034</v>
      </c>
      <c r="R250" s="2">
        <v>2041</v>
      </c>
      <c r="S250" s="2" t="s">
        <v>881</v>
      </c>
      <c r="T250" s="2">
        <v>2041</v>
      </c>
      <c r="U250" s="2" cm="1">
        <f t="array" ref="U250">INDEX($Z$11:$BN$11,MATCH(TRUE,INDEX(Z250:BN250&lt;&gt;0,),0))</f>
        <v>2043</v>
      </c>
      <c r="V250" s="174">
        <f t="shared" si="75"/>
        <v>12000</v>
      </c>
      <c r="X250" s="175">
        <f t="shared" si="74"/>
        <v>0</v>
      </c>
      <c r="Y250" s="23">
        <f>$V250*'Cost inputs'!$B$60/1000000</f>
        <v>8.3147853134284819</v>
      </c>
      <c r="AR250" s="23">
        <f>0.1*$Y250*'Cost inputs'!X$10</f>
        <v>1.4880164922301038</v>
      </c>
      <c r="AS250" s="23">
        <f>0.9*$Y250*'Cost inputs'!Y$10</f>
        <v>13.807305031403132</v>
      </c>
      <c r="BO250" s="23"/>
      <c r="BP250" s="23" t="s">
        <v>449</v>
      </c>
      <c r="BQ250" s="175" t="str">
        <f t="shared" si="67"/>
        <v/>
      </c>
      <c r="BR250" s="23" t="str">
        <f>IFERROR(VLOOKUP(BQ250,'LTP '!$R$4:$S$86,2,0),"")</f>
        <v/>
      </c>
      <c r="CA250" s="23">
        <f t="shared" si="64"/>
        <v>15.295321523633236</v>
      </c>
      <c r="CB250" s="115">
        <f t="shared" si="65"/>
        <v>1274.6101269694364</v>
      </c>
      <c r="CE250" s="2">
        <f t="shared" si="73"/>
        <v>1</v>
      </c>
    </row>
    <row r="251" spans="1:88" x14ac:dyDescent="0.3">
      <c r="A251" s="2" t="s">
        <v>139</v>
      </c>
      <c r="B251" s="2" t="s">
        <v>207</v>
      </c>
      <c r="D251" s="2" t="s">
        <v>261</v>
      </c>
      <c r="F251" s="105"/>
      <c r="G251" s="105">
        <v>1</v>
      </c>
      <c r="H251" s="105"/>
      <c r="I251" s="105"/>
      <c r="J251" s="105"/>
      <c r="K251" s="105">
        <f>G251</f>
        <v>1</v>
      </c>
      <c r="L251" s="105"/>
      <c r="M251" s="105"/>
      <c r="N251" s="105"/>
      <c r="O251" s="2">
        <v>2026</v>
      </c>
      <c r="P251" s="2">
        <v>2030</v>
      </c>
      <c r="Q251" s="2">
        <v>2034</v>
      </c>
      <c r="R251" s="2">
        <v>2041</v>
      </c>
      <c r="S251" s="2" t="s">
        <v>940</v>
      </c>
      <c r="T251" s="2">
        <v>2039</v>
      </c>
      <c r="U251" s="2" cm="1">
        <f t="array" ref="U251">INDEX($Z$11:$BN$11,MATCH(TRUE,INDEX(Z251:BN251&lt;&gt;0,),0))</f>
        <v>2039</v>
      </c>
      <c r="V251" s="174">
        <f t="shared" si="75"/>
        <v>30000</v>
      </c>
      <c r="X251" s="175">
        <f t="shared" si="74"/>
        <v>0</v>
      </c>
      <c r="Y251" s="23">
        <f>$V251*'Cost inputs'!$B$61/1000000</f>
        <v>3.9401159208744954</v>
      </c>
      <c r="AA251" s="201">
        <f>'sequential acq phasing'!AS44*$Y251*'Cost inputs'!G$10</f>
        <v>0</v>
      </c>
      <c r="AB251" s="201">
        <f>'sequential acq phasing'!AT44*$Y251*'Cost inputs'!H$10</f>
        <v>0</v>
      </c>
      <c r="AC251" s="201">
        <f>'sequential acq phasing'!AU44*$Y251*'Cost inputs'!I$10</f>
        <v>0</v>
      </c>
      <c r="AD251" s="201">
        <f>'sequential acq phasing'!AV44*$Y251*'Cost inputs'!J$10</f>
        <v>0</v>
      </c>
      <c r="AE251" s="201">
        <f>'sequential acq phasing'!AW44*$Y251*'Cost inputs'!K$10</f>
        <v>0</v>
      </c>
      <c r="AF251" s="201">
        <f>'sequential acq phasing'!AX44*$Y251*'Cost inputs'!L$10</f>
        <v>0</v>
      </c>
      <c r="AG251" s="201">
        <f>'sequential acq phasing'!AY44*$Y251*'Cost inputs'!M$10</f>
        <v>0</v>
      </c>
      <c r="AH251" s="201">
        <f>'sequential acq phasing'!AZ44*$Y251*'Cost inputs'!N$10</f>
        <v>0</v>
      </c>
      <c r="AI251" s="201">
        <f>'sequential acq phasing'!BA44*$Y251*'Cost inputs'!O$10</f>
        <v>0</v>
      </c>
      <c r="AJ251" s="201">
        <f>'sequential acq phasing'!BB44*$Y251*'Cost inputs'!P$10</f>
        <v>0</v>
      </c>
      <c r="AK251" s="201">
        <f>'sequential acq phasing'!BC44*$Y251*'Cost inputs'!Q$10</f>
        <v>0</v>
      </c>
      <c r="AL251" s="201">
        <f>'sequential acq phasing'!BD44*$Y251*'Cost inputs'!R$10</f>
        <v>0</v>
      </c>
      <c r="AM251" s="201">
        <f>'sequential acq phasing'!BE44*$Y251*'Cost inputs'!S$10</f>
        <v>0</v>
      </c>
      <c r="AN251" s="201">
        <f>'sequential acq phasing'!BF44*$Y251*'Cost inputs'!T$10</f>
        <v>0.62406674761359948</v>
      </c>
      <c r="AO251" s="201">
        <f>'sequential acq phasing'!BG44*$Y251*'Cost inputs'!U$10</f>
        <v>0.64341281678962103</v>
      </c>
      <c r="AP251" s="201">
        <f>'sequential acq phasing'!BH44*$Y251*'Cost inputs'!V$10</f>
        <v>2.6534344564403969</v>
      </c>
      <c r="AQ251" s="201">
        <f>'sequential acq phasing'!BI44*$Y251*'Cost inputs'!W$10</f>
        <v>2.7356909245900489</v>
      </c>
      <c r="AR251" s="201">
        <f>'sequential acq phasing'!BJ44*$Y251*'Cost inputs'!X$10</f>
        <v>0</v>
      </c>
      <c r="AS251" s="201">
        <f>'sequential acq phasing'!BK44*$Y251*'Cost inputs'!Y$10</f>
        <v>0</v>
      </c>
      <c r="AT251" s="201">
        <f>'sequential acq phasing'!BL44*$Y251*'Cost inputs'!Z$10</f>
        <v>0</v>
      </c>
      <c r="AU251" s="201">
        <f>'sequential acq phasing'!BM44*$Y251*'Cost inputs'!AA$10</f>
        <v>0</v>
      </c>
      <c r="BO251" s="23"/>
      <c r="BP251" s="23" t="s">
        <v>449</v>
      </c>
      <c r="BQ251" s="175" t="str">
        <f t="shared" si="67"/>
        <v/>
      </c>
      <c r="BR251" s="23" t="str">
        <f>IFERROR(VLOOKUP(BQ251,'LTP '!$R$4:$S$86,2,0),"")</f>
        <v/>
      </c>
      <c r="CA251" s="23">
        <f t="shared" si="64"/>
        <v>6.6566049454336662</v>
      </c>
      <c r="CB251" s="115">
        <f t="shared" si="65"/>
        <v>221.88683151445554</v>
      </c>
      <c r="CE251" s="2">
        <f t="shared" si="73"/>
        <v>1</v>
      </c>
      <c r="CH251" s="105">
        <f>J251</f>
        <v>0</v>
      </c>
      <c r="CI251" s="105">
        <f t="shared" ref="CI251" si="79">K251</f>
        <v>1</v>
      </c>
      <c r="CJ251" s="105">
        <f>M251</f>
        <v>0</v>
      </c>
    </row>
    <row r="252" spans="1:88" x14ac:dyDescent="0.3">
      <c r="A252" s="2" t="s">
        <v>139</v>
      </c>
      <c r="B252" s="2" t="s">
        <v>207</v>
      </c>
      <c r="D252" s="2" t="s">
        <v>263</v>
      </c>
      <c r="E252" s="2" t="s">
        <v>666</v>
      </c>
      <c r="F252" s="105">
        <v>11</v>
      </c>
      <c r="G252" s="105"/>
      <c r="H252" s="105"/>
      <c r="I252" s="105"/>
      <c r="J252" s="105">
        <f>F252</f>
        <v>11</v>
      </c>
      <c r="K252" s="105"/>
      <c r="L252" s="105"/>
      <c r="M252" s="105"/>
      <c r="N252" s="105"/>
      <c r="O252" s="2">
        <v>2031</v>
      </c>
      <c r="P252" s="2">
        <v>2035</v>
      </c>
      <c r="Q252" s="2">
        <v>2039</v>
      </c>
      <c r="R252" s="2">
        <v>2042</v>
      </c>
      <c r="S252" s="2" t="s">
        <v>881</v>
      </c>
      <c r="T252" s="2">
        <v>2042</v>
      </c>
      <c r="U252" s="2" cm="1">
        <f t="array" ref="U252">INDEX($Z$11:$BN$11,MATCH(TRUE,INDEX(Z252:BN252&lt;&gt;0,),0))</f>
        <v>2044</v>
      </c>
      <c r="V252" s="174">
        <f t="shared" si="75"/>
        <v>44000</v>
      </c>
      <c r="X252" s="175">
        <f t="shared" si="74"/>
        <v>0</v>
      </c>
      <c r="Y252" s="23">
        <f>$V252*'Cost inputs'!$B$60/1000000</f>
        <v>30.487546149237765</v>
      </c>
      <c r="AS252" s="23">
        <f>0.1*$Y252*'Cost inputs'!Y$10</f>
        <v>5.6251983461272017</v>
      </c>
      <c r="AT252" s="23">
        <f>0.9*$Y252*'Cost inputs'!Z$10</f>
        <v>52.196215453714295</v>
      </c>
      <c r="AU252" s="23"/>
      <c r="BO252" s="23"/>
      <c r="BP252" s="23" t="s">
        <v>449</v>
      </c>
      <c r="BQ252" s="175" t="str">
        <f t="shared" si="67"/>
        <v/>
      </c>
      <c r="BR252" s="23" t="str">
        <f>IFERROR(VLOOKUP(BQ252,'LTP '!$R$4:$S$86,2,0),"")</f>
        <v/>
      </c>
      <c r="CA252" s="23">
        <f t="shared" si="64"/>
        <v>57.821413799841494</v>
      </c>
      <c r="CB252" s="115">
        <f t="shared" si="65"/>
        <v>1314.1230409054886</v>
      </c>
      <c r="CE252" s="2">
        <f t="shared" si="73"/>
        <v>1</v>
      </c>
    </row>
    <row r="253" spans="1:88" x14ac:dyDescent="0.3">
      <c r="A253" s="2" t="s">
        <v>139</v>
      </c>
      <c r="B253" s="2" t="s">
        <v>207</v>
      </c>
      <c r="D253" s="2" t="s">
        <v>263</v>
      </c>
      <c r="F253" s="105"/>
      <c r="G253" s="105">
        <v>1</v>
      </c>
      <c r="H253" s="105"/>
      <c r="I253" s="105"/>
      <c r="J253" s="105"/>
      <c r="K253" s="105">
        <f>G253</f>
        <v>1</v>
      </c>
      <c r="L253" s="105"/>
      <c r="M253" s="105"/>
      <c r="N253" s="105"/>
      <c r="O253" s="2">
        <v>2031</v>
      </c>
      <c r="P253" s="2">
        <v>2035</v>
      </c>
      <c r="Q253" s="2">
        <v>2039</v>
      </c>
      <c r="R253" s="2">
        <v>2044</v>
      </c>
      <c r="S253" s="2" t="s">
        <v>881</v>
      </c>
      <c r="T253" s="2">
        <v>2044</v>
      </c>
      <c r="U253" s="2" cm="1">
        <f t="array" ref="U253">INDEX($Z$11:$BN$11,MATCH(TRUE,INDEX(Z253:BN253&lt;&gt;0,),0))</f>
        <v>2046</v>
      </c>
      <c r="V253" s="174">
        <f t="shared" si="75"/>
        <v>30000</v>
      </c>
      <c r="X253" s="175">
        <f t="shared" si="74"/>
        <v>0</v>
      </c>
      <c r="Y253" s="23">
        <f>$V253*'Cost inputs'!$B$61/1000000</f>
        <v>3.9401159208744954</v>
      </c>
      <c r="AU253" s="23">
        <f>0.1*$Y253*'Cost inputs'!AA$10</f>
        <v>0.77275477886293908</v>
      </c>
      <c r="AV253" s="23">
        <f>0.1*$Y253*'Cost inputs'!AB$10</f>
        <v>0.79671017700769009</v>
      </c>
      <c r="AW253" s="23">
        <f>0.4*$Y253*'Cost inputs'!AC$10</f>
        <v>3.2856327699797143</v>
      </c>
      <c r="AX253" s="23">
        <f>0.4*$Y253*'Cost inputs'!AD$10</f>
        <v>3.3874873858490853</v>
      </c>
      <c r="BO253" s="23"/>
      <c r="BP253" s="23" t="s">
        <v>449</v>
      </c>
      <c r="BQ253" s="175" t="str">
        <f t="shared" si="67"/>
        <v/>
      </c>
      <c r="BR253" s="23" t="str">
        <f>IFERROR(VLOOKUP(BQ253,'LTP '!$R$4:$S$86,2,0),"")</f>
        <v/>
      </c>
      <c r="CA253" s="23">
        <f t="shared" si="64"/>
        <v>8.2425851116994302</v>
      </c>
      <c r="CB253" s="115">
        <f t="shared" si="65"/>
        <v>274.75283705664771</v>
      </c>
      <c r="CE253" s="2">
        <f t="shared" si="73"/>
        <v>1</v>
      </c>
    </row>
    <row r="254" spans="1:88" x14ac:dyDescent="0.3">
      <c r="A254" s="2" t="s">
        <v>382</v>
      </c>
      <c r="B254" s="2" t="s">
        <v>207</v>
      </c>
      <c r="D254" s="2" t="s">
        <v>667</v>
      </c>
      <c r="E254" s="2" t="s">
        <v>385</v>
      </c>
      <c r="F254" s="105"/>
      <c r="G254" s="105"/>
      <c r="H254" s="105"/>
      <c r="I254" s="105"/>
      <c r="J254" s="105">
        <v>1</v>
      </c>
      <c r="K254" s="105"/>
      <c r="L254" s="105"/>
      <c r="M254" s="105"/>
      <c r="N254" s="105"/>
      <c r="V254" s="175"/>
      <c r="X254" s="175">
        <f t="shared" si="74"/>
        <v>0.38999999999999996</v>
      </c>
      <c r="Y254" s="175"/>
      <c r="Z254" s="181">
        <f>VLOOKUP($E254,'LTP '!$D$4:$N$86,2+Z$11-$Z$11,0)/1000000</f>
        <v>5.0000000000000001E-3</v>
      </c>
      <c r="AA254" s="181">
        <f>VLOOKUP($E254,'LTP '!$D$4:$N$86,2+AA$11-$Z$11,0)/1000000</f>
        <v>0.03</v>
      </c>
      <c r="AB254" s="181">
        <f>VLOOKUP($E254,'LTP '!$D$4:$N$86,2+AB$11-$Z$11,0)/1000000</f>
        <v>0.35499999999999998</v>
      </c>
      <c r="AC254" s="181">
        <f>VLOOKUP($E254,'LTP '!$D$4:$N$86,2+AC$11-$Z$11,0)/1000000</f>
        <v>0</v>
      </c>
      <c r="AD254" s="181">
        <f>VLOOKUP($E254,'LTP '!$D$4:$N$86,2+AD$11-$Z$11,0)/1000000</f>
        <v>0</v>
      </c>
      <c r="AE254" s="181">
        <f>VLOOKUP($E254,'LTP '!$D$4:$N$86,2+AE$11-$Z$11,0)/1000000</f>
        <v>0</v>
      </c>
      <c r="AF254" s="181">
        <f>VLOOKUP($E254,'LTP '!$D$4:$N$86,2+AF$11-$Z$11,0)/1000000</f>
        <v>0</v>
      </c>
      <c r="AG254" s="181">
        <f>VLOOKUP($E254,'LTP '!$D$4:$N$86,2+AG$11-$Z$11,0)/1000000</f>
        <v>0</v>
      </c>
      <c r="AH254" s="181">
        <f>VLOOKUP($E254,'LTP '!$D$4:$N$86,2+AH$11-$Z$11,0)/1000000</f>
        <v>0</v>
      </c>
      <c r="AI254" s="181">
        <f>VLOOKUP($E254,'LTP '!$D$4:$N$86,2+AI$11-$Z$11,0)/1000000</f>
        <v>0</v>
      </c>
      <c r="AP254" s="23"/>
      <c r="BO254" s="23"/>
      <c r="BP254" s="23" t="s">
        <v>451</v>
      </c>
      <c r="BQ254" s="175" t="str">
        <f t="shared" si="67"/>
        <v>N.009964.03.23 - P-P Paths-dvp Rte 4-PukeStd,ErniesRes</v>
      </c>
      <c r="BR254" s="23" t="str">
        <f>IFERROR(VLOOKUP(BQ254,'LTP '!$R$4:$S$86,2,0),"")</f>
        <v>PC3201527 - Locally driven initiatives (LDI Capex)</v>
      </c>
      <c r="CA254" s="23">
        <f t="shared" si="64"/>
        <v>0.38999999999999996</v>
      </c>
      <c r="CB254" s="115" t="str">
        <f t="shared" si="65"/>
        <v/>
      </c>
      <c r="CE254" s="2">
        <f t="shared" si="73"/>
        <v>1</v>
      </c>
    </row>
    <row r="255" spans="1:88" x14ac:dyDescent="0.3">
      <c r="A255" s="2" t="s">
        <v>382</v>
      </c>
      <c r="B255" s="2" t="s">
        <v>207</v>
      </c>
      <c r="D255" s="2" t="s">
        <v>668</v>
      </c>
      <c r="E255" s="2" t="s">
        <v>386</v>
      </c>
      <c r="F255" s="105"/>
      <c r="G255" s="105"/>
      <c r="H255" s="105"/>
      <c r="I255" s="105"/>
      <c r="J255" s="105">
        <v>1</v>
      </c>
      <c r="K255" s="105"/>
      <c r="L255" s="105"/>
      <c r="M255" s="105"/>
      <c r="N255" s="105"/>
      <c r="V255" s="175"/>
      <c r="X255" s="175">
        <f t="shared" si="74"/>
        <v>0.47500000000000003</v>
      </c>
      <c r="Y255" s="175"/>
      <c r="Z255" s="181">
        <f>VLOOKUP($E255,'LTP '!$D$4:$N$86,2+Z$11-$Z$11,0)/1000000</f>
        <v>1.4999999999999999E-2</v>
      </c>
      <c r="AA255" s="181">
        <f>VLOOKUP($E255,'LTP '!$D$4:$N$86,2+AA$11-$Z$11,0)/1000000</f>
        <v>0.46</v>
      </c>
      <c r="AB255" s="181">
        <f>VLOOKUP($E255,'LTP '!$D$4:$N$86,2+AB$11-$Z$11,0)/1000000</f>
        <v>0</v>
      </c>
      <c r="AC255" s="181">
        <f>VLOOKUP($E255,'LTP '!$D$4:$N$86,2+AC$11-$Z$11,0)/1000000</f>
        <v>0</v>
      </c>
      <c r="AD255" s="181">
        <f>VLOOKUP($E255,'LTP '!$D$4:$N$86,2+AD$11-$Z$11,0)/1000000</f>
        <v>0</v>
      </c>
      <c r="AE255" s="181">
        <f>VLOOKUP($E255,'LTP '!$D$4:$N$86,2+AE$11-$Z$11,0)/1000000</f>
        <v>0</v>
      </c>
      <c r="AF255" s="181">
        <f>VLOOKUP($E255,'LTP '!$D$4:$N$86,2+AF$11-$Z$11,0)/1000000</f>
        <v>0</v>
      </c>
      <c r="AG255" s="181">
        <f>VLOOKUP($E255,'LTP '!$D$4:$N$86,2+AG$11-$Z$11,0)/1000000</f>
        <v>0</v>
      </c>
      <c r="AH255" s="181">
        <f>VLOOKUP($E255,'LTP '!$D$4:$N$86,2+AH$11-$Z$11,0)/1000000</f>
        <v>0</v>
      </c>
      <c r="AI255" s="181">
        <f>VLOOKUP($E255,'LTP '!$D$4:$N$86,2+AI$11-$Z$11,0)/1000000</f>
        <v>0</v>
      </c>
      <c r="AP255" s="23"/>
      <c r="BO255" s="23"/>
      <c r="BP255" s="23" t="s">
        <v>451</v>
      </c>
      <c r="BQ255" s="175" t="str">
        <f t="shared" si="67"/>
        <v>N.009964.03.24 - P-P Paths-dvp Rte 5-Hickeys Rec res</v>
      </c>
      <c r="BR255" s="23" t="str">
        <f>IFERROR(VLOOKUP(BQ255,'LTP '!$R$4:$S$86,2,0),"")</f>
        <v>PC3201527 - Locally driven initiatives (LDI Capex)</v>
      </c>
      <c r="CA255" s="23">
        <f t="shared" si="64"/>
        <v>0.47500000000000003</v>
      </c>
      <c r="CB255" s="115" t="str">
        <f t="shared" si="65"/>
        <v/>
      </c>
      <c r="CE255" s="2">
        <f t="shared" si="73"/>
        <v>1</v>
      </c>
    </row>
    <row r="256" spans="1:88" x14ac:dyDescent="0.3">
      <c r="A256" s="2" t="s">
        <v>382</v>
      </c>
      <c r="B256" s="2" t="s">
        <v>207</v>
      </c>
      <c r="D256" s="2" t="s">
        <v>669</v>
      </c>
      <c r="E256" s="2" t="s">
        <v>387</v>
      </c>
      <c r="F256" s="105"/>
      <c r="G256" s="105"/>
      <c r="H256" s="105"/>
      <c r="I256" s="105"/>
      <c r="J256" s="105">
        <v>1</v>
      </c>
      <c r="K256" s="105"/>
      <c r="L256" s="105"/>
      <c r="M256" s="105"/>
      <c r="N256" s="105"/>
      <c r="V256" s="175"/>
      <c r="X256" s="175">
        <f t="shared" si="74"/>
        <v>0.29500000000000004</v>
      </c>
      <c r="Y256" s="175"/>
      <c r="Z256" s="181">
        <f>VLOOKUP($E256,'LTP '!$D$4:$N$86,2+Z$11-$Z$11,0)/1000000</f>
        <v>0</v>
      </c>
      <c r="AA256" s="181">
        <f>VLOOKUP($E256,'LTP '!$D$4:$N$86,2+AA$11-$Z$11,0)/1000000</f>
        <v>0.03</v>
      </c>
      <c r="AB256" s="181">
        <f>VLOOKUP($E256,'LTP '!$D$4:$N$86,2+AB$11-$Z$11,0)/1000000</f>
        <v>0.26500000000000001</v>
      </c>
      <c r="AC256" s="181">
        <f>VLOOKUP($E256,'LTP '!$D$4:$N$86,2+AC$11-$Z$11,0)/1000000</f>
        <v>0</v>
      </c>
      <c r="AD256" s="181">
        <f>VLOOKUP($E256,'LTP '!$D$4:$N$86,2+AD$11-$Z$11,0)/1000000</f>
        <v>0</v>
      </c>
      <c r="AE256" s="181">
        <f>VLOOKUP($E256,'LTP '!$D$4:$N$86,2+AE$11-$Z$11,0)/1000000</f>
        <v>0</v>
      </c>
      <c r="AF256" s="181">
        <f>VLOOKUP($E256,'LTP '!$D$4:$N$86,2+AF$11-$Z$11,0)/1000000</f>
        <v>0</v>
      </c>
      <c r="AG256" s="181">
        <f>VLOOKUP($E256,'LTP '!$D$4:$N$86,2+AG$11-$Z$11,0)/1000000</f>
        <v>0</v>
      </c>
      <c r="AH256" s="181">
        <f>VLOOKUP($E256,'LTP '!$D$4:$N$86,2+AH$11-$Z$11,0)/1000000</f>
        <v>0</v>
      </c>
      <c r="AI256" s="181">
        <f>VLOOKUP($E256,'LTP '!$D$4:$N$86,2+AI$11-$Z$11,0)/1000000</f>
        <v>0</v>
      </c>
      <c r="AP256" s="23"/>
      <c r="BO256" s="23"/>
      <c r="BP256" s="23" t="s">
        <v>451</v>
      </c>
      <c r="BQ256" s="175" t="str">
        <f t="shared" si="67"/>
        <v>N.009964.03.25 - P-P Paths-dvp Route 7-Bledisloe prk</v>
      </c>
      <c r="BR256" s="23" t="str">
        <f>IFERROR(VLOOKUP(BQ256,'LTP '!$R$4:$S$86,2,0),"")</f>
        <v>PC3201527 - Locally driven initiatives (LDI Capex)</v>
      </c>
      <c r="CA256" s="23">
        <f t="shared" si="64"/>
        <v>0.29500000000000004</v>
      </c>
      <c r="CB256" s="115" t="str">
        <f t="shared" si="65"/>
        <v/>
      </c>
      <c r="CE256" s="2">
        <f t="shared" si="73"/>
        <v>1</v>
      </c>
    </row>
    <row r="257" spans="1:83" x14ac:dyDescent="0.3">
      <c r="A257" s="2" t="s">
        <v>357</v>
      </c>
      <c r="B257" s="2" t="s">
        <v>207</v>
      </c>
      <c r="D257" s="2" t="s">
        <v>450</v>
      </c>
      <c r="E257" s="2" t="s">
        <v>358</v>
      </c>
      <c r="F257" s="105"/>
      <c r="G257" s="105"/>
      <c r="H257" s="105"/>
      <c r="I257" s="105"/>
      <c r="J257" s="105">
        <v>1</v>
      </c>
      <c r="K257" s="105"/>
      <c r="L257" s="105"/>
      <c r="M257" s="105"/>
      <c r="N257" s="105"/>
      <c r="V257" s="175"/>
      <c r="X257" s="175">
        <f t="shared" si="74"/>
        <v>1.562767</v>
      </c>
      <c r="Y257" s="175"/>
      <c r="Z257" s="181">
        <v>0.51276699999999997</v>
      </c>
      <c r="AA257" s="181">
        <v>0.1</v>
      </c>
      <c r="AB257" s="181">
        <v>0.45</v>
      </c>
      <c r="AC257" s="181">
        <v>0.5</v>
      </c>
      <c r="AD257" s="181">
        <f>VLOOKUP($E257,'LTP '!$D$4:$N$86,2+AD$11-$Z$11,0)/1000000</f>
        <v>0</v>
      </c>
      <c r="AE257" s="181">
        <f>VLOOKUP($E257,'LTP '!$D$4:$N$86,2+AE$11-$Z$11,0)/1000000</f>
        <v>0</v>
      </c>
      <c r="AF257" s="181">
        <f>VLOOKUP($E257,'LTP '!$D$4:$N$86,2+AF$11-$Z$11,0)/1000000</f>
        <v>0</v>
      </c>
      <c r="AG257" s="181">
        <f>VLOOKUP($E257,'LTP '!$D$4:$N$86,2+AG$11-$Z$11,0)/1000000</f>
        <v>0</v>
      </c>
      <c r="AH257" s="181">
        <f>VLOOKUP($E257,'LTP '!$D$4:$N$86,2+AH$11-$Z$11,0)/1000000</f>
        <v>0</v>
      </c>
      <c r="AI257" s="181">
        <f>VLOOKUP($E257,'LTP '!$D$4:$N$86,2+AI$11-$Z$11,0)/1000000</f>
        <v>0</v>
      </c>
      <c r="AP257" s="23"/>
      <c r="AR257" s="23"/>
      <c r="BO257" s="23"/>
      <c r="BP257" s="23" t="s">
        <v>451</v>
      </c>
      <c r="BQ257" s="175" t="str">
        <f t="shared" si="67"/>
        <v>N.007135.03.03 - Ray Faussett Nghbhd Park nw park dev PD</v>
      </c>
      <c r="BR257" s="23" t="str">
        <f>IFERROR(VLOOKUP(BQ257,'LTP '!$R$4:$S$86,2,0),"")</f>
        <v>PC3201502 - Playscape development</v>
      </c>
      <c r="CA257" s="23">
        <f t="shared" si="64"/>
        <v>1.562767</v>
      </c>
      <c r="CB257" s="115" t="str">
        <f t="shared" si="65"/>
        <v/>
      </c>
      <c r="CE257" s="2">
        <f t="shared" si="73"/>
        <v>1</v>
      </c>
    </row>
    <row r="258" spans="1:83" x14ac:dyDescent="0.3">
      <c r="A258" s="2" t="s">
        <v>382</v>
      </c>
      <c r="B258" s="2" t="s">
        <v>208</v>
      </c>
      <c r="D258" s="2" t="s">
        <v>450</v>
      </c>
      <c r="E258" s="2" t="s">
        <v>384</v>
      </c>
      <c r="G258" s="184"/>
      <c r="H258" s="105"/>
      <c r="I258" s="105"/>
      <c r="J258" s="105">
        <v>1</v>
      </c>
      <c r="K258" s="105"/>
      <c r="L258" s="105"/>
      <c r="M258" s="105"/>
      <c r="N258" s="105"/>
      <c r="V258" s="175"/>
      <c r="X258" s="175">
        <f t="shared" si="74"/>
        <v>4.9800000000000004E-2</v>
      </c>
      <c r="Y258" s="175"/>
      <c r="Z258" s="181">
        <f>VLOOKUP($E258,'LTP '!$D$4:$N$86,2+Z$11-$Z$11,0)/1000000</f>
        <v>3.5000000000000003E-2</v>
      </c>
      <c r="AA258" s="181">
        <f>VLOOKUP($E258,'LTP '!$D$4:$N$86,2+AA$11-$Z$11,0)/1000000</f>
        <v>1.4800000000000001E-2</v>
      </c>
      <c r="AB258" s="181">
        <f>VLOOKUP($E258,'LTP '!$D$4:$N$86,2+AB$11-$Z$11,0)/1000000</f>
        <v>0</v>
      </c>
      <c r="AC258" s="181">
        <f>VLOOKUP($E258,'LTP '!$D$4:$N$86,2+AC$11-$Z$11,0)/1000000</f>
        <v>0</v>
      </c>
      <c r="AD258" s="181">
        <f>VLOOKUP($E258,'LTP '!$D$4:$N$86,2+AD$11-$Z$11,0)/1000000</f>
        <v>0</v>
      </c>
      <c r="AE258" s="181">
        <f>VLOOKUP($E258,'LTP '!$D$4:$N$86,2+AE$11-$Z$11,0)/1000000</f>
        <v>0</v>
      </c>
      <c r="AF258" s="181">
        <f>VLOOKUP($E258,'LTP '!$D$4:$N$86,2+AF$11-$Z$11,0)/1000000</f>
        <v>0</v>
      </c>
      <c r="AG258" s="181">
        <f>VLOOKUP($E258,'LTP '!$D$4:$N$86,2+AG$11-$Z$11,0)/1000000</f>
        <v>0</v>
      </c>
      <c r="AH258" s="181">
        <f>VLOOKUP($E258,'LTP '!$D$4:$N$86,2+AH$11-$Z$11,0)/1000000</f>
        <v>0</v>
      </c>
      <c r="AI258" s="181">
        <f>VLOOKUP($E258,'LTP '!$D$4:$N$86,2+AI$11-$Z$11,0)/1000000</f>
        <v>0</v>
      </c>
      <c r="AP258" s="23"/>
      <c r="BO258" s="23"/>
      <c r="BP258" s="23" t="s">
        <v>451</v>
      </c>
      <c r="BQ258" s="175" t="str">
        <f t="shared" si="67"/>
        <v>N.009964.03.22 - Puke Clarks Beach,Trails-dvp delivry prg</v>
      </c>
      <c r="BR258" s="23" t="str">
        <f>IFERROR(VLOOKUP(BQ258,'LTP '!$R$4:$S$86,2,0),"")</f>
        <v>PC3201527 - Locally driven initiatives (LDI Capex)</v>
      </c>
      <c r="CA258" s="23">
        <f t="shared" si="64"/>
        <v>4.9800000000000004E-2</v>
      </c>
      <c r="CB258" s="115" t="str">
        <f t="shared" si="65"/>
        <v/>
      </c>
      <c r="CE258" s="2">
        <f t="shared" si="73"/>
        <v>1</v>
      </c>
    </row>
    <row r="259" spans="1:83" x14ac:dyDescent="0.3">
      <c r="A259" s="2" t="s">
        <v>139</v>
      </c>
      <c r="B259" s="2" t="s">
        <v>208</v>
      </c>
      <c r="D259" s="2" t="s">
        <v>670</v>
      </c>
      <c r="E259" s="2" t="s">
        <v>671</v>
      </c>
      <c r="F259" s="105">
        <v>1</v>
      </c>
      <c r="G259" s="105"/>
      <c r="H259" s="105"/>
      <c r="I259" s="105"/>
      <c r="J259" s="105">
        <f>F259</f>
        <v>1</v>
      </c>
      <c r="K259" s="105"/>
      <c r="L259" s="105"/>
      <c r="M259" s="105"/>
      <c r="N259" s="105"/>
      <c r="P259" s="2">
        <v>2022</v>
      </c>
      <c r="Q259" s="2">
        <v>2026</v>
      </c>
      <c r="R259" s="2">
        <v>2038</v>
      </c>
      <c r="S259" s="2" t="s">
        <v>881</v>
      </c>
      <c r="T259" s="2">
        <v>2038</v>
      </c>
      <c r="U259" s="2" cm="1">
        <f t="array" ref="U259">INDEX($Z$11:$BN$11,MATCH(TRUE,INDEX(Z259:BN259&lt;&gt;0,),0))</f>
        <v>2040</v>
      </c>
      <c r="V259" s="174">
        <f t="shared" ref="V259:V271" si="80">SUMPRODUCT(J259:M259,$J$8:$M$8)</f>
        <v>4000</v>
      </c>
      <c r="X259" s="175">
        <f t="shared" si="74"/>
        <v>0</v>
      </c>
      <c r="Y259" s="23">
        <f>$V259*'Cost inputs'!$B$60/1000000</f>
        <v>2.7715951044761602</v>
      </c>
      <c r="AH259" s="23"/>
      <c r="AI259" s="23"/>
      <c r="AO259" s="23">
        <f>0.1*$Y259*'Cost inputs'!U$10</f>
        <v>0.45259577357194541</v>
      </c>
      <c r="AP259" s="23">
        <f>0.9*$Y259*'Cost inputs'!V$10</f>
        <v>4.1996361829740803</v>
      </c>
      <c r="BO259" s="23"/>
      <c r="BP259" s="23" t="s">
        <v>449</v>
      </c>
      <c r="BQ259" s="175" t="str">
        <f t="shared" si="67"/>
        <v/>
      </c>
      <c r="BR259" s="23" t="str">
        <f>IFERROR(VLOOKUP(BQ259,'LTP '!$R$4:$S$86,2,0),"")</f>
        <v/>
      </c>
      <c r="CA259" s="23">
        <f t="shared" si="64"/>
        <v>4.6522319565460259</v>
      </c>
      <c r="CB259" s="115">
        <f t="shared" si="65"/>
        <v>1163.0579891365066</v>
      </c>
      <c r="CE259" s="2">
        <f t="shared" si="73"/>
        <v>1</v>
      </c>
    </row>
    <row r="260" spans="1:83" x14ac:dyDescent="0.3">
      <c r="A260" s="2" t="s">
        <v>139</v>
      </c>
      <c r="B260" s="2" t="s">
        <v>208</v>
      </c>
      <c r="D260" s="2" t="s">
        <v>670</v>
      </c>
      <c r="E260" s="177" t="s">
        <v>672</v>
      </c>
      <c r="F260" s="178">
        <f>5/4</f>
        <v>1.25</v>
      </c>
      <c r="G260" s="178"/>
      <c r="H260" s="178"/>
      <c r="I260" s="178"/>
      <c r="J260" s="178">
        <f t="shared" ref="J260" si="81">F260</f>
        <v>1.25</v>
      </c>
      <c r="K260" s="178"/>
      <c r="L260" s="178"/>
      <c r="M260" s="178"/>
      <c r="N260" s="178"/>
      <c r="O260" s="177"/>
      <c r="P260" s="177"/>
      <c r="Q260" s="177" t="s">
        <v>673</v>
      </c>
      <c r="R260" s="177">
        <v>2035</v>
      </c>
      <c r="S260" s="177" t="s">
        <v>881</v>
      </c>
      <c r="T260" s="177">
        <v>2035</v>
      </c>
      <c r="U260" s="177" cm="1">
        <f t="array" ref="U260">INDEX($Z$11:$BN$11,MATCH(TRUE,INDEX(Z260:BN260&lt;&gt;0,),0))</f>
        <v>2037</v>
      </c>
      <c r="V260" s="179">
        <f t="shared" si="80"/>
        <v>5000</v>
      </c>
      <c r="W260" s="177"/>
      <c r="X260" s="187">
        <f t="shared" si="74"/>
        <v>0</v>
      </c>
      <c r="Y260" s="180">
        <f>$V260*'Cost inputs'!$B$60/1000000</f>
        <v>3.4644938805952008</v>
      </c>
      <c r="Z260" s="177"/>
      <c r="AA260" s="177"/>
      <c r="AB260" s="177"/>
      <c r="AC260" s="177"/>
      <c r="AD260" s="177"/>
      <c r="AE260" s="177"/>
      <c r="AF260" s="177"/>
      <c r="AG260" s="177"/>
      <c r="AH260" s="180"/>
      <c r="AI260" s="180"/>
      <c r="AJ260" s="177"/>
      <c r="AK260" s="177"/>
      <c r="AL260" s="180">
        <f>0.1*$Y260*'Cost inputs'!R$10</f>
        <v>0.51623151186026428</v>
      </c>
      <c r="AM260" s="180">
        <f>0.9*$Y260*'Cost inputs'!S$10</f>
        <v>4.7901121985513928</v>
      </c>
      <c r="AN260" s="177"/>
      <c r="AO260" s="177"/>
      <c r="AP260" s="177"/>
      <c r="AQ260" s="177"/>
      <c r="AR260" s="177"/>
      <c r="AS260" s="177"/>
      <c r="AT260" s="177"/>
      <c r="AU260" s="177"/>
      <c r="AV260" s="177"/>
      <c r="AW260" s="177"/>
      <c r="AX260" s="177"/>
      <c r="AY260" s="177"/>
      <c r="AZ260" s="177"/>
      <c r="BA260" s="177"/>
      <c r="BB260" s="177"/>
      <c r="BC260" s="177"/>
      <c r="BD260" s="177"/>
      <c r="BE260" s="177"/>
      <c r="BF260" s="177"/>
      <c r="BG260" s="177"/>
      <c r="BH260" s="177"/>
      <c r="BI260" s="177"/>
      <c r="BJ260" s="177"/>
      <c r="BO260" s="23"/>
      <c r="BP260" s="23" t="s">
        <v>449</v>
      </c>
      <c r="BQ260" s="175" t="str">
        <f t="shared" si="67"/>
        <v/>
      </c>
      <c r="BR260" s="23" t="str">
        <f>IFERROR(VLOOKUP(BQ260,'LTP '!$R$4:$S$86,2,0),"")</f>
        <v/>
      </c>
      <c r="CA260" s="23">
        <f t="shared" si="64"/>
        <v>5.3063437104116566</v>
      </c>
      <c r="CB260" s="115">
        <f t="shared" si="65"/>
        <v>1061.2687420823313</v>
      </c>
      <c r="CE260" s="2">
        <f t="shared" si="73"/>
        <v>1</v>
      </c>
    </row>
    <row r="261" spans="1:83" x14ac:dyDescent="0.3">
      <c r="A261" s="2" t="s">
        <v>471</v>
      </c>
      <c r="B261" s="2" t="s">
        <v>208</v>
      </c>
      <c r="D261" s="2" t="s">
        <v>674</v>
      </c>
      <c r="E261" s="2" t="s">
        <v>675</v>
      </c>
      <c r="H261" s="105"/>
      <c r="I261" s="105"/>
      <c r="J261" s="105">
        <f>6601/4000</f>
        <v>1.65025</v>
      </c>
      <c r="K261" s="105"/>
      <c r="L261" s="105"/>
      <c r="M261" s="105"/>
      <c r="N261" s="105" t="s">
        <v>676</v>
      </c>
      <c r="Q261" s="2" t="s">
        <v>471</v>
      </c>
      <c r="V261" s="174">
        <f t="shared" si="80"/>
        <v>6601</v>
      </c>
      <c r="X261" s="175">
        <f t="shared" si="74"/>
        <v>3.6136533802503248</v>
      </c>
      <c r="Y261" s="23">
        <f>$V261*'Cost inputs'!$B$60/1000000*0.7</f>
        <v>3.2016773748132485</v>
      </c>
      <c r="AB261" s="23">
        <f>0.1*$Y261*'Cost inputs'!H$10</f>
        <v>0.35155690050105309</v>
      </c>
      <c r="AC261" s="23">
        <f>0.9*$Y261*'Cost inputs'!I$10</f>
        <v>3.2620964797492715</v>
      </c>
      <c r="BO261" s="23"/>
      <c r="BP261" s="23" t="s">
        <v>449</v>
      </c>
      <c r="BQ261" s="175" t="str">
        <f t="shared" si="67"/>
        <v/>
      </c>
      <c r="BR261" s="23" t="str">
        <f>IFERROR(VLOOKUP(BQ261,'LTP '!$R$4:$S$86,2,0),"")</f>
        <v/>
      </c>
      <c r="CA261" s="23">
        <f t="shared" si="64"/>
        <v>3.6136533802503248</v>
      </c>
      <c r="CB261" s="115">
        <f t="shared" si="65"/>
        <v>547.44029393278674</v>
      </c>
      <c r="CC261" s="2" t="s">
        <v>677</v>
      </c>
      <c r="CE261" s="2">
        <f t="shared" si="73"/>
        <v>1</v>
      </c>
    </row>
    <row r="262" spans="1:83" x14ac:dyDescent="0.3">
      <c r="A262" s="2" t="s">
        <v>471</v>
      </c>
      <c r="B262" s="2" t="s">
        <v>208</v>
      </c>
      <c r="D262" s="2" t="s">
        <v>674</v>
      </c>
      <c r="E262" s="2" t="s">
        <v>678</v>
      </c>
      <c r="H262" s="105"/>
      <c r="I262" s="105"/>
      <c r="J262" s="105"/>
      <c r="K262" s="105">
        <v>1</v>
      </c>
      <c r="L262" s="105"/>
      <c r="M262" s="105"/>
      <c r="N262" s="105" t="s">
        <v>664</v>
      </c>
      <c r="Q262" s="2" t="s">
        <v>471</v>
      </c>
      <c r="V262" s="174">
        <f t="shared" si="80"/>
        <v>30000</v>
      </c>
      <c r="X262" s="175">
        <f t="shared" si="74"/>
        <v>4.6147566032463114</v>
      </c>
      <c r="Y262" s="23">
        <f>$V262*'Cost inputs'!$B$61/1000000</f>
        <v>3.9401159208744954</v>
      </c>
      <c r="AB262" s="23">
        <f>0.1*$Y262*'Cost inputs'!H$10</f>
        <v>0.43264038770873547</v>
      </c>
      <c r="AC262" s="23">
        <f>0.1*$Y262*'Cost inputs'!I$10</f>
        <v>0.44605223972770625</v>
      </c>
      <c r="AD262" s="23">
        <f>0.4*$Y262*'Cost inputs'!J$10</f>
        <v>1.8395194366370604</v>
      </c>
      <c r="AE262" s="23">
        <f>0.4*$Y262*'Cost inputs'!K$10</f>
        <v>1.8965445391728091</v>
      </c>
      <c r="BO262" s="23"/>
      <c r="BP262" s="23" t="s">
        <v>449</v>
      </c>
      <c r="BQ262" s="175" t="str">
        <f t="shared" si="67"/>
        <v/>
      </c>
      <c r="BR262" s="23" t="str">
        <f>IFERROR(VLOOKUP(BQ262,'LTP '!$R$4:$S$86,2,0),"")</f>
        <v/>
      </c>
      <c r="CA262" s="23">
        <f t="shared" si="64"/>
        <v>4.6147566032463114</v>
      </c>
      <c r="CB262" s="115">
        <f t="shared" si="65"/>
        <v>153.82522010821037</v>
      </c>
      <c r="CE262" s="2">
        <f t="shared" si="73"/>
        <v>1</v>
      </c>
    </row>
    <row r="263" spans="1:83" x14ac:dyDescent="0.3">
      <c r="A263" s="2" t="s">
        <v>142</v>
      </c>
      <c r="B263" s="2" t="s">
        <v>208</v>
      </c>
      <c r="D263" s="2" t="s">
        <v>674</v>
      </c>
      <c r="E263" s="177" t="s">
        <v>679</v>
      </c>
      <c r="F263" s="178">
        <f>3400/4000</f>
        <v>0.85</v>
      </c>
      <c r="G263" s="178"/>
      <c r="H263" s="178"/>
      <c r="I263" s="178"/>
      <c r="J263" s="178">
        <f t="shared" ref="J263:J269" si="82">F263</f>
        <v>0.85</v>
      </c>
      <c r="K263" s="105"/>
      <c r="L263" s="105"/>
      <c r="M263" s="105"/>
      <c r="N263" s="105"/>
      <c r="O263" s="2">
        <v>2022</v>
      </c>
      <c r="P263" s="2">
        <v>2026</v>
      </c>
      <c r="Q263" s="2">
        <v>2030</v>
      </c>
      <c r="R263" s="2">
        <v>2039</v>
      </c>
      <c r="S263" s="2" t="s">
        <v>881</v>
      </c>
      <c r="T263" s="2">
        <v>2039</v>
      </c>
      <c r="U263" s="2" cm="1">
        <f t="array" ref="U263">INDEX($Z$11:$BN$11,MATCH(TRUE,INDEX(Z263:BN263&lt;&gt;0,),0))</f>
        <v>2041</v>
      </c>
      <c r="V263" s="179">
        <f t="shared" si="80"/>
        <v>3400</v>
      </c>
      <c r="X263" s="175">
        <f t="shared" si="74"/>
        <v>0</v>
      </c>
      <c r="Y263" s="23">
        <f>$V263*'Cost inputs'!$B$60/1000000</f>
        <v>2.3558558388047364</v>
      </c>
      <c r="AP263" s="23">
        <f>0.1*$Y263*'Cost inputs'!V$10</f>
        <v>0.3966323061697743</v>
      </c>
      <c r="AQ263" s="23">
        <f>0.9*$Y263*'Cost inputs'!W$10</f>
        <v>3.6803511689493353</v>
      </c>
      <c r="BO263" s="23"/>
      <c r="BP263" s="23" t="s">
        <v>449</v>
      </c>
      <c r="BQ263" s="175" t="str">
        <f t="shared" si="67"/>
        <v/>
      </c>
      <c r="BR263" s="23" t="str">
        <f>IFERROR(VLOOKUP(BQ263,'LTP '!$R$4:$S$86,2,0),"")</f>
        <v/>
      </c>
      <c r="CA263" s="23">
        <f t="shared" si="64"/>
        <v>4.0769834751191096</v>
      </c>
      <c r="CB263" s="115">
        <f t="shared" si="65"/>
        <v>1199.1127867997382</v>
      </c>
      <c r="CE263" s="2">
        <f t="shared" si="73"/>
        <v>1</v>
      </c>
    </row>
    <row r="264" spans="1:83" x14ac:dyDescent="0.3">
      <c r="A264" s="2" t="s">
        <v>142</v>
      </c>
      <c r="B264" s="2" t="s">
        <v>208</v>
      </c>
      <c r="D264" s="2" t="s">
        <v>674</v>
      </c>
      <c r="E264" s="2" t="s">
        <v>680</v>
      </c>
      <c r="F264" s="105">
        <v>2</v>
      </c>
      <c r="G264" s="105"/>
      <c r="H264" s="105"/>
      <c r="I264" s="105"/>
      <c r="J264" s="105">
        <f t="shared" si="82"/>
        <v>2</v>
      </c>
      <c r="K264" s="105"/>
      <c r="L264" s="105"/>
      <c r="M264" s="105"/>
      <c r="N264" s="105"/>
      <c r="O264" s="2">
        <v>2022</v>
      </c>
      <c r="P264" s="2">
        <v>2026</v>
      </c>
      <c r="Q264" s="2">
        <v>2030</v>
      </c>
      <c r="R264" s="2">
        <v>2040</v>
      </c>
      <c r="S264" s="2" t="s">
        <v>881</v>
      </c>
      <c r="T264" s="2">
        <v>2040</v>
      </c>
      <c r="U264" s="2" cm="1">
        <f t="array" ref="U264">INDEX($Z$11:$BN$11,MATCH(TRUE,INDEX(Z264:BN264&lt;&gt;0,),0))</f>
        <v>2042</v>
      </c>
      <c r="V264" s="174">
        <f t="shared" si="80"/>
        <v>8000</v>
      </c>
      <c r="X264" s="175">
        <f t="shared" si="74"/>
        <v>0</v>
      </c>
      <c r="Y264" s="23">
        <f>$V264*'Cost inputs'!$B$60/1000000</f>
        <v>5.5431902089523204</v>
      </c>
      <c r="AB264" s="23"/>
      <c r="AC264" s="23"/>
      <c r="AQ264" s="23">
        <f>0.1*$Y264*'Cost inputs'!W$10</f>
        <v>0.96218331214361719</v>
      </c>
      <c r="AR264" s="23">
        <f>0.9*$Y264*'Cost inputs'!X$10</f>
        <v>8.9280989533806228</v>
      </c>
      <c r="BO264" s="23"/>
      <c r="BP264" s="23" t="s">
        <v>449</v>
      </c>
      <c r="BQ264" s="175" t="str">
        <f t="shared" si="67"/>
        <v/>
      </c>
      <c r="BR264" s="23" t="str">
        <f>IFERROR(VLOOKUP(BQ264,'LTP '!$R$4:$S$86,2,0),"")</f>
        <v/>
      </c>
      <c r="CA264" s="23">
        <f t="shared" si="64"/>
        <v>9.8902822655242399</v>
      </c>
      <c r="CB264" s="115">
        <f t="shared" si="65"/>
        <v>1236.28528319053</v>
      </c>
      <c r="CE264" s="2">
        <f t="shared" si="73"/>
        <v>1</v>
      </c>
    </row>
    <row r="265" spans="1:83" x14ac:dyDescent="0.3">
      <c r="A265" s="2" t="s">
        <v>142</v>
      </c>
      <c r="B265" s="2" t="s">
        <v>208</v>
      </c>
      <c r="D265" s="2" t="s">
        <v>674</v>
      </c>
      <c r="E265" s="2" t="s">
        <v>932</v>
      </c>
      <c r="F265" s="105"/>
      <c r="G265" s="105"/>
      <c r="H265" s="105"/>
      <c r="I265" s="105"/>
      <c r="J265" s="105"/>
      <c r="K265" s="105"/>
      <c r="L265" s="105"/>
      <c r="M265" s="105"/>
      <c r="N265" s="105"/>
      <c r="V265" s="174"/>
      <c r="X265" s="175"/>
      <c r="Y265" s="23"/>
      <c r="AB265" s="23"/>
      <c r="AC265" s="23"/>
      <c r="AQ265" s="23"/>
      <c r="AR265" s="23"/>
      <c r="BO265" s="23"/>
      <c r="BP265" s="23"/>
      <c r="BQ265" s="175"/>
      <c r="BR265" s="23"/>
      <c r="CA265" s="23"/>
      <c r="CB265" s="115"/>
    </row>
    <row r="266" spans="1:83" x14ac:dyDescent="0.3">
      <c r="A266" s="2" t="s">
        <v>681</v>
      </c>
      <c r="B266" s="2" t="s">
        <v>208</v>
      </c>
      <c r="D266" s="2" t="s">
        <v>269</v>
      </c>
      <c r="E266" s="2" t="s">
        <v>682</v>
      </c>
      <c r="G266" s="105"/>
      <c r="H266" s="105"/>
      <c r="I266" s="105"/>
      <c r="J266" s="105">
        <f>6000/4000</f>
        <v>1.5</v>
      </c>
      <c r="K266" s="105"/>
      <c r="L266" s="105"/>
      <c r="M266" s="105"/>
      <c r="N266" s="105" t="s">
        <v>664</v>
      </c>
      <c r="O266" s="2">
        <v>2021</v>
      </c>
      <c r="P266" s="2">
        <v>2025</v>
      </c>
      <c r="Q266" s="2">
        <v>2029</v>
      </c>
      <c r="U266" s="2" cm="1">
        <f t="array" ref="U266">INDEX($Z$11:$BN$11,MATCH(TRUE,INDEX(Z266:BN266&lt;&gt;0,),0))</f>
        <v>2028</v>
      </c>
      <c r="V266" s="174">
        <f t="shared" si="80"/>
        <v>6000</v>
      </c>
      <c r="X266" s="175">
        <f t="shared" si="74"/>
        <v>4.8378080832403114</v>
      </c>
      <c r="Y266" s="23">
        <f>$V266*'Cost inputs'!$B$60/1000000</f>
        <v>4.157392656714241</v>
      </c>
      <c r="AC266" s="23">
        <f>0.1*$Y266*'Cost inputs'!I$10</f>
        <v>0.47064968219090497</v>
      </c>
      <c r="AD266" s="23">
        <f>0.9*$Y266*'Cost inputs'!J$10</f>
        <v>4.3671584010494069</v>
      </c>
      <c r="BO266" s="23"/>
      <c r="BP266" s="23" t="s">
        <v>449</v>
      </c>
      <c r="BQ266" s="175" t="str">
        <f t="shared" si="67"/>
        <v/>
      </c>
      <c r="BR266" s="23" t="str">
        <f>IFERROR(VLOOKUP(BQ266,'LTP '!$R$4:$S$86,2,0),"")</f>
        <v/>
      </c>
      <c r="CA266" s="23">
        <f t="shared" si="64"/>
        <v>4.8378080832403114</v>
      </c>
      <c r="CB266" s="115">
        <f t="shared" si="65"/>
        <v>806.30134720671856</v>
      </c>
      <c r="CE266" s="2">
        <f t="shared" ref="CE266:CE276" si="83">COUNTIF($B$291:$B$319,B266)</f>
        <v>1</v>
      </c>
    </row>
    <row r="267" spans="1:83" x14ac:dyDescent="0.3">
      <c r="A267" s="2" t="s">
        <v>142</v>
      </c>
      <c r="B267" s="2" t="s">
        <v>208</v>
      </c>
      <c r="D267" s="2" t="s">
        <v>269</v>
      </c>
      <c r="E267" s="2" t="s">
        <v>683</v>
      </c>
      <c r="F267" s="105">
        <v>2</v>
      </c>
      <c r="G267" s="105"/>
      <c r="H267" s="105"/>
      <c r="I267" s="105"/>
      <c r="J267" s="105">
        <f t="shared" si="82"/>
        <v>2</v>
      </c>
      <c r="K267" s="105"/>
      <c r="L267" s="105"/>
      <c r="M267" s="105"/>
      <c r="N267" s="105"/>
      <c r="O267" s="2">
        <v>2021</v>
      </c>
      <c r="P267" s="2">
        <v>2025</v>
      </c>
      <c r="Q267" s="2">
        <v>2029</v>
      </c>
      <c r="R267" s="2">
        <v>2040</v>
      </c>
      <c r="S267" s="2" t="s">
        <v>881</v>
      </c>
      <c r="T267" s="2">
        <v>2040</v>
      </c>
      <c r="U267" s="2" cm="1">
        <f t="array" ref="U267">INDEX($Z$11:$BN$11,MATCH(TRUE,INDEX(Z267:BN267&lt;&gt;0,),0))</f>
        <v>2042</v>
      </c>
      <c r="V267" s="174">
        <f t="shared" si="80"/>
        <v>8000</v>
      </c>
      <c r="X267" s="175">
        <f t="shared" si="74"/>
        <v>0</v>
      </c>
      <c r="Y267" s="23">
        <f>$V267*'Cost inputs'!$B$60/1000000</f>
        <v>5.5431902089523204</v>
      </c>
      <c r="AQ267" s="23">
        <f>0.1*$Y267*'Cost inputs'!W$10</f>
        <v>0.96218331214361719</v>
      </c>
      <c r="AR267" s="23">
        <f>0.9*$Y267*'Cost inputs'!X$10</f>
        <v>8.9280989533806228</v>
      </c>
      <c r="BO267" s="23"/>
      <c r="BP267" s="23" t="s">
        <v>449</v>
      </c>
      <c r="BQ267" s="175" t="str">
        <f t="shared" si="67"/>
        <v/>
      </c>
      <c r="BR267" s="23" t="str">
        <f>IFERROR(VLOOKUP(BQ267,'LTP '!$R$4:$S$86,2,0),"")</f>
        <v/>
      </c>
      <c r="CA267" s="23">
        <f t="shared" si="64"/>
        <v>9.8902822655242399</v>
      </c>
      <c r="CB267" s="115">
        <f t="shared" si="65"/>
        <v>1236.28528319053</v>
      </c>
      <c r="CE267" s="2">
        <f t="shared" si="83"/>
        <v>1</v>
      </c>
    </row>
    <row r="268" spans="1:83" x14ac:dyDescent="0.3">
      <c r="A268" s="2" t="s">
        <v>471</v>
      </c>
      <c r="B268" s="2" t="s">
        <v>208</v>
      </c>
      <c r="D268" s="2" t="s">
        <v>270</v>
      </c>
      <c r="E268" s="2" t="s">
        <v>684</v>
      </c>
      <c r="F268" s="105"/>
      <c r="G268" s="105"/>
      <c r="H268" s="105"/>
      <c r="I268" s="105"/>
      <c r="J268" s="105">
        <f>3671/4000</f>
        <v>0.91774999999999995</v>
      </c>
      <c r="K268" s="105"/>
      <c r="L268" s="105"/>
      <c r="M268" s="105"/>
      <c r="N268" s="105" t="s">
        <v>664</v>
      </c>
      <c r="V268" s="174">
        <f t="shared" si="80"/>
        <v>3671</v>
      </c>
      <c r="X268" s="175">
        <f t="shared" si="74"/>
        <v>2.8709333128960859</v>
      </c>
      <c r="Y268" s="23">
        <f>$V268*'Cost inputs'!$B$60/1000000</f>
        <v>2.5436314071329962</v>
      </c>
      <c r="AB268" s="23">
        <f>0.1*$Y268*'Cost inputs'!H$10</f>
        <v>0.27930083791186744</v>
      </c>
      <c r="AC268" s="23">
        <f>0.9*$Y268*'Cost inputs'!I$10</f>
        <v>2.5916324749842183</v>
      </c>
      <c r="BO268" s="23"/>
      <c r="BP268" s="23" t="s">
        <v>449</v>
      </c>
      <c r="BQ268" s="175" t="str">
        <f t="shared" si="67"/>
        <v/>
      </c>
      <c r="BR268" s="23" t="str">
        <f>IFERROR(VLOOKUP(BQ268,'LTP '!$R$4:$S$86,2,0),"")</f>
        <v/>
      </c>
      <c r="CA268" s="23">
        <f t="shared" si="64"/>
        <v>2.8709333128960859</v>
      </c>
      <c r="CB268" s="115">
        <f t="shared" si="65"/>
        <v>782.0575627611239</v>
      </c>
      <c r="CE268" s="2">
        <f t="shared" si="83"/>
        <v>1</v>
      </c>
    </row>
    <row r="269" spans="1:83" x14ac:dyDescent="0.3">
      <c r="A269" s="2" t="s">
        <v>142</v>
      </c>
      <c r="B269" s="2" t="s">
        <v>208</v>
      </c>
      <c r="D269" s="2" t="s">
        <v>270</v>
      </c>
      <c r="E269" s="177" t="s">
        <v>685</v>
      </c>
      <c r="F269" s="178">
        <f>5/4</f>
        <v>1.25</v>
      </c>
      <c r="G269" s="178"/>
      <c r="H269" s="178"/>
      <c r="I269" s="178"/>
      <c r="J269" s="178">
        <f t="shared" si="82"/>
        <v>1.25</v>
      </c>
      <c r="K269" s="105"/>
      <c r="L269" s="105"/>
      <c r="M269" s="105"/>
      <c r="N269" s="105"/>
      <c r="O269" s="2">
        <v>2026</v>
      </c>
      <c r="P269" s="2">
        <v>2030</v>
      </c>
      <c r="Q269" s="2">
        <v>2034</v>
      </c>
      <c r="R269" s="2">
        <v>2043</v>
      </c>
      <c r="S269" s="2" t="s">
        <v>881</v>
      </c>
      <c r="T269" s="2">
        <v>2043</v>
      </c>
      <c r="U269" s="2" cm="1">
        <f t="array" ref="U269">INDEX($Z$11:$BN$11,MATCH(TRUE,INDEX(Z269:BN269&lt;&gt;0,),0))</f>
        <v>2045</v>
      </c>
      <c r="V269" s="179">
        <f t="shared" si="80"/>
        <v>5000</v>
      </c>
      <c r="X269" s="175">
        <f t="shared" si="74"/>
        <v>0</v>
      </c>
      <c r="Y269" s="23">
        <f>$V269*'Cost inputs'!$B$60/1000000</f>
        <v>3.4644938805952008</v>
      </c>
      <c r="AT269" s="23">
        <f>0.1*$Y269*'Cost inputs'!Z$10</f>
        <v>0.65904312441558455</v>
      </c>
      <c r="AU269" s="23">
        <f>0.9*$Y269*'Cost inputs'!AA$10</f>
        <v>6.1152611514522093</v>
      </c>
      <c r="BO269" s="23"/>
      <c r="BP269" s="23" t="s">
        <v>449</v>
      </c>
      <c r="BQ269" s="175" t="str">
        <f t="shared" si="67"/>
        <v/>
      </c>
      <c r="BR269" s="23" t="str">
        <f>IFERROR(VLOOKUP(BQ269,'LTP '!$R$4:$S$86,2,0),"")</f>
        <v/>
      </c>
      <c r="CA269" s="23">
        <f t="shared" si="64"/>
        <v>6.7743042758677934</v>
      </c>
      <c r="CB269" s="115">
        <f t="shared" si="65"/>
        <v>1354.8608551735588</v>
      </c>
      <c r="CE269" s="2">
        <f t="shared" si="83"/>
        <v>1</v>
      </c>
    </row>
    <row r="270" spans="1:83" x14ac:dyDescent="0.3">
      <c r="A270" s="2" t="s">
        <v>120</v>
      </c>
      <c r="B270" s="2" t="s">
        <v>209</v>
      </c>
      <c r="D270" s="2" t="s">
        <v>120</v>
      </c>
      <c r="F270" s="105">
        <v>2</v>
      </c>
      <c r="G270" s="105"/>
      <c r="H270" s="105"/>
      <c r="I270" s="105"/>
      <c r="J270" s="105">
        <f>F270</f>
        <v>2</v>
      </c>
      <c r="K270" s="105"/>
      <c r="L270" s="105"/>
      <c r="M270" s="105"/>
      <c r="N270" s="105"/>
      <c r="O270" s="2">
        <v>2031</v>
      </c>
      <c r="P270" s="2">
        <v>2035</v>
      </c>
      <c r="Q270" s="2">
        <v>2039</v>
      </c>
      <c r="R270" s="2">
        <v>2043</v>
      </c>
      <c r="S270" s="2" t="s">
        <v>881</v>
      </c>
      <c r="T270" s="2">
        <v>2043</v>
      </c>
      <c r="U270" s="2" cm="1">
        <f t="array" ref="U270">INDEX($Z$11:$BN$11,MATCH(TRUE,INDEX(Z270:BN270&lt;&gt;0,),0))</f>
        <v>2045</v>
      </c>
      <c r="V270" s="174">
        <f t="shared" si="80"/>
        <v>8000</v>
      </c>
      <c r="X270" s="175">
        <f t="shared" si="74"/>
        <v>0</v>
      </c>
      <c r="Y270" s="23">
        <f>$V270*'Cost inputs'!$B$60/1000000</f>
        <v>5.5431902089523204</v>
      </c>
      <c r="AP270" s="23"/>
      <c r="AQ270" s="23"/>
      <c r="AT270" s="23">
        <f>0.1*$Y270*'Cost inputs'!Z$10</f>
        <v>1.0544689990649352</v>
      </c>
      <c r="AU270" s="23">
        <f>0.9*$Y270*'Cost inputs'!AA$10</f>
        <v>9.7844178423235331</v>
      </c>
      <c r="BO270" s="23"/>
      <c r="BP270" s="23" t="s">
        <v>449</v>
      </c>
      <c r="BQ270" s="175" t="str">
        <f t="shared" si="67"/>
        <v/>
      </c>
      <c r="BR270" s="23" t="str">
        <f>IFERROR(VLOOKUP(BQ270,'LTP '!$R$4:$S$86,2,0),"")</f>
        <v/>
      </c>
      <c r="CA270" s="23">
        <f t="shared" si="64"/>
        <v>10.838886841388469</v>
      </c>
      <c r="CB270" s="115">
        <f t="shared" si="65"/>
        <v>1354.8608551735585</v>
      </c>
      <c r="CE270" s="2">
        <f t="shared" si="83"/>
        <v>1</v>
      </c>
    </row>
    <row r="271" spans="1:83" x14ac:dyDescent="0.3">
      <c r="A271" s="2" t="s">
        <v>120</v>
      </c>
      <c r="B271" s="2" t="s">
        <v>209</v>
      </c>
      <c r="D271" s="2" t="s">
        <v>686</v>
      </c>
      <c r="E271" s="2" t="s">
        <v>687</v>
      </c>
      <c r="F271" s="105">
        <v>2</v>
      </c>
      <c r="G271" s="105"/>
      <c r="H271" s="105"/>
      <c r="I271" s="105"/>
      <c r="J271" s="105">
        <f t="shared" ref="J271" si="84">F271</f>
        <v>2</v>
      </c>
      <c r="K271" s="105"/>
      <c r="L271" s="105"/>
      <c r="M271" s="105"/>
      <c r="N271" s="105"/>
      <c r="O271" s="2">
        <v>2022</v>
      </c>
      <c r="P271" s="2">
        <v>2026</v>
      </c>
      <c r="Q271" s="2">
        <v>2030</v>
      </c>
      <c r="R271" s="2">
        <v>2040</v>
      </c>
      <c r="S271" s="2" t="s">
        <v>881</v>
      </c>
      <c r="T271" s="2">
        <v>2040</v>
      </c>
      <c r="U271" s="2" cm="1">
        <f t="array" ref="U271">INDEX($Z$11:$BN$11,MATCH(TRUE,INDEX(Z271:BN271&lt;&gt;0,),0))</f>
        <v>2042</v>
      </c>
      <c r="V271" s="174">
        <f t="shared" si="80"/>
        <v>8000</v>
      </c>
      <c r="X271" s="175">
        <f t="shared" si="74"/>
        <v>0</v>
      </c>
      <c r="Y271" s="23">
        <f>$V271*'Cost inputs'!$B$60/1000000</f>
        <v>5.5431902089523204</v>
      </c>
      <c r="AQ271" s="23">
        <f>0.1*$Y271*'Cost inputs'!W$10</f>
        <v>0.96218331214361719</v>
      </c>
      <c r="AR271" s="23">
        <f>0.9*$Y271*'Cost inputs'!X$10</f>
        <v>8.9280989533806228</v>
      </c>
      <c r="BO271" s="23"/>
      <c r="BP271" s="23" t="s">
        <v>449</v>
      </c>
      <c r="BQ271" s="175" t="str">
        <f t="shared" si="67"/>
        <v/>
      </c>
      <c r="BR271" s="23" t="str">
        <f>IFERROR(VLOOKUP(BQ271,'LTP '!$R$4:$S$86,2,0),"")</f>
        <v/>
      </c>
      <c r="CA271" s="23">
        <f t="shared" si="64"/>
        <v>9.8902822655242399</v>
      </c>
      <c r="CB271" s="115">
        <f t="shared" si="65"/>
        <v>1236.28528319053</v>
      </c>
      <c r="CE271" s="2">
        <f t="shared" si="83"/>
        <v>1</v>
      </c>
    </row>
    <row r="272" spans="1:83" x14ac:dyDescent="0.3">
      <c r="A272" s="2" t="s">
        <v>322</v>
      </c>
      <c r="B272" s="2" t="s">
        <v>209</v>
      </c>
      <c r="D272" s="2" t="s">
        <v>450</v>
      </c>
      <c r="E272" s="2" t="s">
        <v>324</v>
      </c>
      <c r="F272" s="184"/>
      <c r="G272" s="184"/>
      <c r="H272" s="184"/>
      <c r="I272" s="184"/>
      <c r="J272" s="184">
        <v>1</v>
      </c>
      <c r="K272" s="184"/>
      <c r="L272" s="184"/>
      <c r="M272" s="184"/>
      <c r="N272" s="184" t="s">
        <v>768</v>
      </c>
      <c r="O272" s="184"/>
      <c r="V272" s="175"/>
      <c r="X272" s="175">
        <f t="shared" si="74"/>
        <v>0.15</v>
      </c>
      <c r="Y272" s="175"/>
      <c r="Z272" s="181">
        <f>VLOOKUP($E272,'LTP '!$D$4:$N$86,2+Z$11-$Z$11,0)/1000000</f>
        <v>0</v>
      </c>
      <c r="AA272" s="181">
        <f>VLOOKUP($E272,'LTP '!$D$4:$N$86,2+AA$11-$Z$11,0)/1000000</f>
        <v>0.02</v>
      </c>
      <c r="AB272" s="181">
        <f>VLOOKUP($E272,'LTP '!$D$4:$N$86,2+AB$11-$Z$11,0)/1000000</f>
        <v>0.13</v>
      </c>
      <c r="AC272" s="181">
        <f>VLOOKUP($E272,'LTP '!$D$4:$N$86,2+AC$11-$Z$11,0)/1000000</f>
        <v>0</v>
      </c>
      <c r="AD272" s="181">
        <f>VLOOKUP($E272,'LTP '!$D$4:$N$86,2+AD$11-$Z$11,0)/1000000</f>
        <v>0</v>
      </c>
      <c r="AE272" s="181">
        <f>VLOOKUP($E272,'LTP '!$D$4:$N$86,2+AE$11-$Z$11,0)/1000000</f>
        <v>0</v>
      </c>
      <c r="AF272" s="181">
        <f>VLOOKUP($E272,'LTP '!$D$4:$N$86,2+AF$11-$Z$11,0)/1000000</f>
        <v>0</v>
      </c>
      <c r="AG272" s="181">
        <f>VLOOKUP($E272,'LTP '!$D$4:$N$86,2+AG$11-$Z$11,0)/1000000</f>
        <v>0</v>
      </c>
      <c r="AH272" s="181">
        <f>VLOOKUP($E272,'LTP '!$D$4:$N$86,2+AH$11-$Z$11,0)/1000000</f>
        <v>0</v>
      </c>
      <c r="AI272" s="181">
        <f>VLOOKUP($E272,'LTP '!$D$4:$N$86,2+AI$11-$Z$11,0)/1000000</f>
        <v>0</v>
      </c>
      <c r="BO272" s="23"/>
      <c r="BP272" s="23" t="s">
        <v>451</v>
      </c>
      <c r="BQ272" s="175" t="str">
        <f t="shared" si="67"/>
        <v>N.009960.03.01 - Beachlands, 6 Angiangi Crescent - develo</v>
      </c>
      <c r="BR272" s="23" t="str">
        <f>IFERROR(VLOOKUP(BQ272,'LTP '!$R$4:$S$86,2,0),"")</f>
        <v>PC3201501 - General park development</v>
      </c>
      <c r="CA272" s="23">
        <f t="shared" si="64"/>
        <v>0.15</v>
      </c>
      <c r="CB272" s="115" t="str">
        <f t="shared" si="65"/>
        <v/>
      </c>
      <c r="CE272" s="2">
        <f t="shared" si="83"/>
        <v>1</v>
      </c>
    </row>
    <row r="273" spans="1:83" x14ac:dyDescent="0.3">
      <c r="A273" s="2" t="s">
        <v>322</v>
      </c>
      <c r="B273" s="2" t="s">
        <v>209</v>
      </c>
      <c r="D273" s="2" t="s">
        <v>450</v>
      </c>
      <c r="E273" s="2" t="s">
        <v>325</v>
      </c>
      <c r="J273" s="2">
        <v>1</v>
      </c>
      <c r="N273" s="2" t="s">
        <v>790</v>
      </c>
      <c r="X273" s="175">
        <f t="shared" si="74"/>
        <v>0.69000000000000006</v>
      </c>
      <c r="Y273" s="175"/>
      <c r="Z273" s="181">
        <v>0.54</v>
      </c>
      <c r="AA273" s="181">
        <v>0.15</v>
      </c>
      <c r="AB273" s="181">
        <f>VLOOKUP($E273,'LTP '!$D$4:$N$86,2+AB$11-$Z$11,0)/1000000</f>
        <v>0</v>
      </c>
      <c r="AC273" s="181">
        <f>VLOOKUP($E273,'LTP '!$D$4:$N$86,2+AC$11-$Z$11,0)/1000000</f>
        <v>0</v>
      </c>
      <c r="AD273" s="181">
        <f>VLOOKUP($E273,'LTP '!$D$4:$N$86,2+AD$11-$Z$11,0)/1000000</f>
        <v>0</v>
      </c>
      <c r="AE273" s="181">
        <f>VLOOKUP($E273,'LTP '!$D$4:$N$86,2+AE$11-$Z$11,0)/1000000</f>
        <v>0</v>
      </c>
      <c r="AF273" s="181">
        <f>VLOOKUP($E273,'LTP '!$D$4:$N$86,2+AF$11-$Z$11,0)/1000000</f>
        <v>0</v>
      </c>
      <c r="AG273" s="181">
        <f>VLOOKUP($E273,'LTP '!$D$4:$N$86,2+AG$11-$Z$11,0)/1000000</f>
        <v>0</v>
      </c>
      <c r="AH273" s="181">
        <f>VLOOKUP($E273,'LTP '!$D$4:$N$86,2+AH$11-$Z$11,0)/1000000</f>
        <v>0</v>
      </c>
      <c r="AI273" s="181">
        <f>VLOOKUP($E273,'LTP '!$D$4:$N$86,2+AI$11-$Z$11,0)/1000000</f>
        <v>0</v>
      </c>
      <c r="BO273" s="23"/>
      <c r="BP273" s="23" t="s">
        <v>451</v>
      </c>
      <c r="BQ273" s="175" t="str">
        <f t="shared" si="67"/>
        <v>N.009960.03.03 - Kahawairahi Drive Res - install O S asts</v>
      </c>
      <c r="BR273" s="23" t="str">
        <f>IFERROR(VLOOKUP(BQ273,'LTP '!$R$4:$S$86,2,0),"")</f>
        <v>PC3201501 - General park development</v>
      </c>
      <c r="CA273" s="23">
        <f t="shared" si="64"/>
        <v>0.69000000000000006</v>
      </c>
      <c r="CB273" s="115" t="str">
        <f t="shared" si="65"/>
        <v/>
      </c>
      <c r="CE273" s="2">
        <f t="shared" si="83"/>
        <v>1</v>
      </c>
    </row>
    <row r="274" spans="1:83" x14ac:dyDescent="0.3">
      <c r="A274" s="2" t="s">
        <v>382</v>
      </c>
      <c r="B274" s="2" t="s">
        <v>209</v>
      </c>
      <c r="D274" s="2" t="s">
        <v>450</v>
      </c>
      <c r="E274" s="2" t="s">
        <v>383</v>
      </c>
      <c r="F274" s="184"/>
      <c r="G274" s="184"/>
      <c r="H274" s="184"/>
      <c r="I274" s="184"/>
      <c r="J274" s="184">
        <v>1</v>
      </c>
      <c r="K274" s="184"/>
      <c r="L274" s="184"/>
      <c r="M274" s="184"/>
      <c r="N274" s="184"/>
      <c r="O274" s="184"/>
      <c r="P274" s="174"/>
      <c r="X274" s="175">
        <f t="shared" si="74"/>
        <v>9.406123999999999E-2</v>
      </c>
      <c r="Y274" s="175"/>
      <c r="Z274" s="181">
        <f>VLOOKUP($E274,'LTP '!$D$4:$N$86,2+Z$11-$Z$11,0)/1000000</f>
        <v>0.03</v>
      </c>
      <c r="AA274" s="181">
        <f>VLOOKUP($E274,'LTP '!$D$4:$N$86,2+AA$11-$Z$11,0)/1000000</f>
        <v>1.072E-2</v>
      </c>
      <c r="AB274" s="181">
        <f>VLOOKUP($E274,'LTP '!$D$4:$N$86,2+AB$11-$Z$11,0)/1000000</f>
        <v>5.3341239999999998E-2</v>
      </c>
      <c r="AC274" s="181">
        <f>VLOOKUP($E274,'LTP '!$D$4:$N$86,2+AC$11-$Z$11,0)/1000000</f>
        <v>0</v>
      </c>
      <c r="AD274" s="181">
        <f>VLOOKUP($E274,'LTP '!$D$4:$N$86,2+AD$11-$Z$11,0)/1000000</f>
        <v>0</v>
      </c>
      <c r="AE274" s="181">
        <f>VLOOKUP($E274,'LTP '!$D$4:$N$86,2+AE$11-$Z$11,0)/1000000</f>
        <v>0</v>
      </c>
      <c r="AF274" s="181">
        <f>VLOOKUP($E274,'LTP '!$D$4:$N$86,2+AF$11-$Z$11,0)/1000000</f>
        <v>0</v>
      </c>
      <c r="AG274" s="181">
        <f>VLOOKUP($E274,'LTP '!$D$4:$N$86,2+AG$11-$Z$11,0)/1000000</f>
        <v>0</v>
      </c>
      <c r="AH274" s="181">
        <f>VLOOKUP($E274,'LTP '!$D$4:$N$86,2+AH$11-$Z$11,0)/1000000</f>
        <v>0</v>
      </c>
      <c r="AI274" s="181">
        <f>VLOOKUP($E274,'LTP '!$D$4:$N$86,2+AI$11-$Z$11,0)/1000000</f>
        <v>0</v>
      </c>
      <c r="BO274" s="23"/>
      <c r="BP274" s="23" t="s">
        <v>451</v>
      </c>
      <c r="BQ274" s="175" t="str">
        <f t="shared" si="67"/>
        <v>N.009964.03.02 - Pohutukawa Coast Trails - implement plan</v>
      </c>
      <c r="BR274" s="23" t="str">
        <f>IFERROR(VLOOKUP(BQ274,'LTP '!$R$4:$S$86,2,0),"")</f>
        <v>PC3201527 - Locally driven initiatives (LDI Capex)</v>
      </c>
      <c r="CA274" s="23">
        <f t="shared" si="64"/>
        <v>9.406123999999999E-2</v>
      </c>
      <c r="CB274" s="115" t="str">
        <f t="shared" si="65"/>
        <v/>
      </c>
      <c r="CE274" s="2">
        <f t="shared" si="83"/>
        <v>1</v>
      </c>
    </row>
    <row r="275" spans="1:83" x14ac:dyDescent="0.3">
      <c r="A275" s="2" t="s">
        <v>382</v>
      </c>
      <c r="B275" s="2" t="s">
        <v>209</v>
      </c>
      <c r="D275" s="2" t="s">
        <v>450</v>
      </c>
      <c r="E275" s="2" t="s">
        <v>388</v>
      </c>
      <c r="G275" s="184"/>
      <c r="H275" s="184"/>
      <c r="I275" s="184"/>
      <c r="J275" s="184">
        <v>1</v>
      </c>
      <c r="K275" s="184"/>
      <c r="L275" s="184"/>
      <c r="M275" s="184"/>
      <c r="N275" s="184"/>
      <c r="O275" s="184"/>
      <c r="P275" s="174"/>
      <c r="X275" s="175">
        <f t="shared" si="74"/>
        <v>0.45</v>
      </c>
      <c r="Y275" s="175"/>
      <c r="Z275" s="181">
        <f>VLOOKUP($E275,'LTP '!$D$4:$N$86,2+Z$11-$Z$11,0)/1000000</f>
        <v>5.0000000000000001E-3</v>
      </c>
      <c r="AA275" s="181">
        <f>VLOOKUP($E275,'LTP '!$D$4:$N$86,2+AA$11-$Z$11,0)/1000000</f>
        <v>2.5000000000000001E-2</v>
      </c>
      <c r="AB275" s="181">
        <f>VLOOKUP($E275,'LTP '!$D$4:$N$86,2+AB$11-$Z$11,0)/1000000</f>
        <v>0.15</v>
      </c>
      <c r="AC275" s="181">
        <f>VLOOKUP($E275,'LTP '!$D$4:$N$86,2+AC$11-$Z$11,0)/1000000</f>
        <v>0.27</v>
      </c>
      <c r="AD275" s="181">
        <f>VLOOKUP($E275,'LTP '!$D$4:$N$86,2+AD$11-$Z$11,0)/1000000</f>
        <v>0</v>
      </c>
      <c r="AE275" s="181">
        <f>VLOOKUP($E275,'LTP '!$D$4:$N$86,2+AE$11-$Z$11,0)/1000000</f>
        <v>0</v>
      </c>
      <c r="AF275" s="181">
        <f>VLOOKUP($E275,'LTP '!$D$4:$N$86,2+AF$11-$Z$11,0)/1000000</f>
        <v>0</v>
      </c>
      <c r="AG275" s="181">
        <f>VLOOKUP($E275,'LTP '!$D$4:$N$86,2+AG$11-$Z$11,0)/1000000</f>
        <v>0</v>
      </c>
      <c r="AH275" s="181">
        <f>VLOOKUP($E275,'LTP '!$D$4:$N$86,2+AH$11-$Z$11,0)/1000000</f>
        <v>0</v>
      </c>
      <c r="AI275" s="181">
        <f>VLOOKUP($E275,'LTP '!$D$4:$N$86,2+AI$11-$Z$11,0)/1000000</f>
        <v>0</v>
      </c>
      <c r="BO275" s="23"/>
      <c r="BP275" s="23" t="s">
        <v>451</v>
      </c>
      <c r="BQ275" s="175" t="str">
        <f t="shared" si="67"/>
        <v>N.009964.03.26 - Clevedon Scenic Res-dvp Nikau Pa tracks</v>
      </c>
      <c r="BR275" s="23" t="str">
        <f>IFERROR(VLOOKUP(BQ275,'LTP '!$R$4:$S$86,2,0),"")</f>
        <v>PC3201527 - Locally driven initiatives (LDI Capex)</v>
      </c>
      <c r="CA275" s="23">
        <f t="shared" si="64"/>
        <v>0.45</v>
      </c>
      <c r="CB275" s="115" t="str">
        <f t="shared" si="65"/>
        <v/>
      </c>
      <c r="CE275" s="2">
        <f t="shared" si="83"/>
        <v>1</v>
      </c>
    </row>
    <row r="276" spans="1:83" x14ac:dyDescent="0.3">
      <c r="B276" s="2" t="s">
        <v>208</v>
      </c>
      <c r="D276" s="2" t="s">
        <v>796</v>
      </c>
      <c r="E276" s="2" t="s">
        <v>797</v>
      </c>
      <c r="G276" s="184"/>
      <c r="H276" s="184"/>
      <c r="I276" s="184"/>
      <c r="J276" s="184">
        <v>1</v>
      </c>
      <c r="K276" s="184"/>
      <c r="L276" s="184"/>
      <c r="M276" s="184"/>
      <c r="N276" s="184"/>
      <c r="O276" s="184"/>
      <c r="P276" s="174"/>
      <c r="X276" s="175">
        <f t="shared" si="74"/>
        <v>1.8</v>
      </c>
      <c r="Y276" s="175"/>
      <c r="Z276" s="181"/>
      <c r="AA276" s="181"/>
      <c r="AB276" s="181">
        <v>0.05</v>
      </c>
      <c r="AC276" s="181">
        <v>0.6</v>
      </c>
      <c r="AD276" s="181">
        <f>(1.8-SUM(AB276:AC276))/2</f>
        <v>0.57499999999999996</v>
      </c>
      <c r="AE276" s="181">
        <f>AD276</f>
        <v>0.57499999999999996</v>
      </c>
      <c r="AF276" s="181"/>
      <c r="AG276" s="181"/>
      <c r="AH276" s="181"/>
      <c r="AI276" s="181"/>
      <c r="BO276" s="23"/>
      <c r="BP276" s="23" t="s">
        <v>451</v>
      </c>
      <c r="BQ276" s="175" t="str">
        <f t="shared" si="67"/>
        <v>27 Trevor McMiken Dr, develop NHP`</v>
      </c>
      <c r="BR276" s="23"/>
      <c r="CA276" s="23"/>
      <c r="CB276" s="115"/>
      <c r="CE276" s="2">
        <f t="shared" si="83"/>
        <v>1</v>
      </c>
    </row>
    <row r="277" spans="1:83" x14ac:dyDescent="0.3">
      <c r="G277" s="184"/>
      <c r="H277" s="184"/>
      <c r="I277" s="184"/>
      <c r="J277" s="184"/>
      <c r="K277" s="184"/>
      <c r="L277" s="184"/>
      <c r="M277" s="184"/>
      <c r="N277" s="184"/>
      <c r="O277" s="184"/>
      <c r="P277" s="174"/>
      <c r="W277" s="26">
        <f>SUM(Z277:BJ277)</f>
        <v>2312.6385329434133</v>
      </c>
      <c r="X277" s="175"/>
      <c r="Y277" s="175"/>
      <c r="Z277" s="199">
        <f>SUM(Z12:Z276)</f>
        <v>18.545789399999997</v>
      </c>
      <c r="AA277" s="199">
        <f t="shared" ref="AA277:BJ277" si="85">SUM(AA12:AA276)</f>
        <v>32.664498000000002</v>
      </c>
      <c r="AB277" s="199">
        <f t="shared" si="85"/>
        <v>35.546515078137453</v>
      </c>
      <c r="AC277" s="199">
        <f t="shared" si="85"/>
        <v>46.194405692428326</v>
      </c>
      <c r="AD277" s="199">
        <f t="shared" si="85"/>
        <v>37.564719738540049</v>
      </c>
      <c r="AE277" s="199">
        <f t="shared" si="85"/>
        <v>35.113888179999954</v>
      </c>
      <c r="AF277" s="199">
        <f t="shared" si="85"/>
        <v>46.385629579999957</v>
      </c>
      <c r="AG277" s="199">
        <f t="shared" si="85"/>
        <v>49.894121588829641</v>
      </c>
      <c r="AH277" s="199">
        <f t="shared" si="85"/>
        <v>31.464220862533161</v>
      </c>
      <c r="AI277" s="199">
        <f t="shared" si="85"/>
        <v>27.894107374396821</v>
      </c>
      <c r="AJ277" s="199">
        <f t="shared" si="85"/>
        <v>22.427680423815037</v>
      </c>
      <c r="AK277" s="199">
        <f t="shared" si="85"/>
        <v>30.439232939617803</v>
      </c>
      <c r="AL277" s="199">
        <f t="shared" si="85"/>
        <v>62.010442777742341</v>
      </c>
      <c r="AM277" s="199">
        <f t="shared" si="85"/>
        <v>89.357695220268354</v>
      </c>
      <c r="AN277" s="199">
        <f t="shared" si="85"/>
        <v>29.809656282918002</v>
      </c>
      <c r="AO277" s="199">
        <f t="shared" si="85"/>
        <v>36.567227953998881</v>
      </c>
      <c r="AP277" s="199">
        <f t="shared" si="85"/>
        <v>37.621894580396727</v>
      </c>
      <c r="AQ277" s="199">
        <f t="shared" si="85"/>
        <v>38.691954981174646</v>
      </c>
      <c r="AR277" s="199">
        <f t="shared" si="85"/>
        <v>64.091875560284834</v>
      </c>
      <c r="AS277" s="199">
        <f t="shared" si="85"/>
        <v>127.74030398765935</v>
      </c>
      <c r="AT277" s="199">
        <f t="shared" si="85"/>
        <v>65.705464425013659</v>
      </c>
      <c r="AU277" s="199">
        <f t="shared" si="85"/>
        <v>34.440079651575736</v>
      </c>
      <c r="AV277" s="199">
        <f t="shared" si="85"/>
        <v>58.249059799783211</v>
      </c>
      <c r="AW277" s="199">
        <f t="shared" si="85"/>
        <v>109.61851402236641</v>
      </c>
      <c r="AX277" s="199">
        <f t="shared" si="85"/>
        <v>124.65961032492933</v>
      </c>
      <c r="AY277" s="199">
        <f t="shared" si="85"/>
        <v>27.060417498704144</v>
      </c>
      <c r="AZ277" s="199">
        <f t="shared" si="85"/>
        <v>17.096989503715381</v>
      </c>
      <c r="BA277" s="199">
        <f t="shared" si="85"/>
        <v>25.959295647284264</v>
      </c>
      <c r="BB277" s="199">
        <f t="shared" si="85"/>
        <v>34.062491301880883</v>
      </c>
      <c r="BC277" s="199">
        <f t="shared" si="85"/>
        <v>51.937880685914749</v>
      </c>
      <c r="BD277" s="199">
        <f t="shared" si="85"/>
        <v>8.13691302829214</v>
      </c>
      <c r="BE277" s="199">
        <f t="shared" si="85"/>
        <v>8.3891573321691961</v>
      </c>
      <c r="BF277" s="199">
        <f t="shared" si="85"/>
        <v>0</v>
      </c>
      <c r="BG277" s="199">
        <f t="shared" si="85"/>
        <v>81.799578791589553</v>
      </c>
      <c r="BH277" s="199">
        <f t="shared" si="85"/>
        <v>621.11151921662474</v>
      </c>
      <c r="BI277" s="199">
        <f t="shared" si="85"/>
        <v>71.090941167320693</v>
      </c>
      <c r="BJ277" s="199">
        <f t="shared" si="85"/>
        <v>73.294760343507633</v>
      </c>
    </row>
    <row r="278" spans="1:83" x14ac:dyDescent="0.3">
      <c r="G278" s="184"/>
      <c r="H278" s="184"/>
      <c r="I278" s="184"/>
      <c r="J278" s="184"/>
      <c r="K278" s="184"/>
      <c r="L278" s="184"/>
      <c r="M278" s="184"/>
      <c r="N278" s="184"/>
      <c r="O278" s="184"/>
      <c r="P278" s="174"/>
      <c r="X278" s="175"/>
      <c r="Y278" s="175"/>
      <c r="Z278" s="181"/>
      <c r="AA278" s="181"/>
      <c r="AB278" s="181"/>
      <c r="AC278" s="181"/>
      <c r="AD278" s="181"/>
      <c r="AE278" s="181"/>
      <c r="AF278" s="181"/>
      <c r="AG278" s="181"/>
      <c r="AH278" s="181"/>
      <c r="AI278" s="181"/>
    </row>
    <row r="279" spans="1:83" x14ac:dyDescent="0.3">
      <c r="A279" s="2" t="s">
        <v>305</v>
      </c>
      <c r="B279" s="2" t="s">
        <v>211</v>
      </c>
      <c r="C279" s="2" t="s">
        <v>688</v>
      </c>
      <c r="D279" s="2" t="s">
        <v>450</v>
      </c>
      <c r="E279" s="2" t="s">
        <v>307</v>
      </c>
      <c r="G279" s="184"/>
      <c r="H279" s="184"/>
      <c r="I279" s="184"/>
      <c r="J279" s="184"/>
      <c r="K279" s="184"/>
      <c r="L279" s="184"/>
      <c r="M279" s="184"/>
      <c r="N279" s="184"/>
      <c r="O279" s="184"/>
      <c r="P279" s="174"/>
      <c r="X279" s="200">
        <f t="shared" si="74"/>
        <v>444.13495281000002</v>
      </c>
      <c r="Y279" s="200"/>
      <c r="Z279" s="105">
        <f>VLOOKUP($E279,'LTP '!$D$4:$N$86,2+Z$11-$Z$11,0)/1000000</f>
        <v>5.2114635400000004</v>
      </c>
      <c r="AA279" s="105">
        <f>VLOOKUP($E279,'LTP '!$D$4:$N$86,2+AA$11-$Z$11,0)/1000000</f>
        <v>10.048681310000001</v>
      </c>
      <c r="AB279" s="105">
        <f>VLOOKUP($E279,'LTP '!$D$4:$N$86,2+AB$11-$Z$11,0)/1000000</f>
        <v>16.246111599999999</v>
      </c>
      <c r="AC279" s="105">
        <f>VLOOKUP($E279,'LTP '!$D$4:$N$86,2+AC$11-$Z$11,0)/1000000</f>
        <v>25.240733039999999</v>
      </c>
      <c r="AD279" s="105">
        <f>VLOOKUP($E279,'LTP '!$D$4:$N$86,2+AD$11-$Z$11,0)/1000000</f>
        <v>27.15725432</v>
      </c>
      <c r="AE279" s="105">
        <f>VLOOKUP($E279,'LTP '!$D$4:$N$86,2+AE$11-$Z$11,0)/1000000</f>
        <v>28.526848179999998</v>
      </c>
      <c r="AF279" s="105">
        <f>VLOOKUP($E279,'LTP '!$D$4:$N$86,2+AF$11-$Z$11,0)/1000000</f>
        <v>43.38562958</v>
      </c>
      <c r="AG279" s="105">
        <f>VLOOKUP($E279,'LTP '!$D$4:$N$86,2+AG$11-$Z$11,0)/1000000</f>
        <v>82.456004640000003</v>
      </c>
      <c r="AH279" s="105">
        <f>VLOOKUP($E279,'LTP '!$D$4:$N$86,2+AH$11-$Z$11,0)/1000000</f>
        <v>101.66233800000001</v>
      </c>
      <c r="AI279" s="105">
        <f>VLOOKUP($E279,'LTP '!$D$4:$N$86,2+AI$11-$Z$11,0)/1000000</f>
        <v>104.19988859999999</v>
      </c>
    </row>
    <row r="280" spans="1:83" x14ac:dyDescent="0.3">
      <c r="A280" s="2" t="s">
        <v>311</v>
      </c>
      <c r="B280" s="2" t="s">
        <v>211</v>
      </c>
      <c r="C280" s="2" t="s">
        <v>415</v>
      </c>
      <c r="D280" s="2" t="s">
        <v>450</v>
      </c>
      <c r="E280" s="2" t="s">
        <v>313</v>
      </c>
      <c r="F280" s="184"/>
      <c r="G280" s="184"/>
      <c r="H280" s="184"/>
      <c r="I280" s="184"/>
      <c r="J280" s="184"/>
      <c r="K280" s="184"/>
      <c r="L280" s="184"/>
      <c r="M280" s="184"/>
      <c r="N280" s="184"/>
      <c r="O280" s="184"/>
      <c r="P280" s="174"/>
      <c r="X280" s="200">
        <f t="shared" si="74"/>
        <v>396.73458321999999</v>
      </c>
      <c r="Y280" s="200"/>
      <c r="Z280" s="105">
        <f>VLOOKUP($E280,'LTP '!$D$4:$N$86,2+Z$11-$Z$11,0)/1000000</f>
        <v>33.453160579999995</v>
      </c>
      <c r="AA280" s="105">
        <f>VLOOKUP($E280,'LTP '!$D$4:$N$86,2+AA$11-$Z$11,0)/1000000</f>
        <v>24.039469839999999</v>
      </c>
      <c r="AB280" s="105">
        <f>VLOOKUP($E280,'LTP '!$D$4:$N$86,2+AB$11-$Z$11,0)/1000000</f>
        <v>25.906675280000002</v>
      </c>
      <c r="AC280" s="105">
        <f>VLOOKUP($E280,'LTP '!$D$4:$N$86,2+AC$11-$Z$11,0)/1000000</f>
        <v>30.168247409999999</v>
      </c>
      <c r="AD280" s="105">
        <f>VLOOKUP($E280,'LTP '!$D$4:$N$86,2+AD$11-$Z$11,0)/1000000</f>
        <v>37.667599000000003</v>
      </c>
      <c r="AE280" s="105">
        <f>VLOOKUP($E280,'LTP '!$D$4:$N$86,2+AE$11-$Z$11,0)/1000000</f>
        <v>61.372845659999996</v>
      </c>
      <c r="AF280" s="105">
        <f>VLOOKUP($E280,'LTP '!$D$4:$N$86,2+AF$11-$Z$11,0)/1000000</f>
        <v>51.77722181</v>
      </c>
      <c r="AG280" s="105">
        <f>VLOOKUP($E280,'LTP '!$D$4:$N$86,2+AG$11-$Z$11,0)/1000000</f>
        <v>50.05862192</v>
      </c>
      <c r="AH280" s="105">
        <f>VLOOKUP($E280,'LTP '!$D$4:$N$86,2+AH$11-$Z$11,0)/1000000</f>
        <v>45.234551759999995</v>
      </c>
      <c r="AI280" s="105">
        <f>VLOOKUP($E280,'LTP '!$D$4:$N$86,2+AI$11-$Z$11,0)/1000000</f>
        <v>37.056189959999998</v>
      </c>
    </row>
    <row r="281" spans="1:83" x14ac:dyDescent="0.3">
      <c r="A281" s="2" t="s">
        <v>314</v>
      </c>
      <c r="B281" s="2" t="s">
        <v>211</v>
      </c>
      <c r="C281" s="2" t="s">
        <v>689</v>
      </c>
      <c r="D281" s="2" t="s">
        <v>450</v>
      </c>
      <c r="E281" s="2" t="s">
        <v>315</v>
      </c>
      <c r="F281" s="184"/>
      <c r="G281" s="184"/>
      <c r="H281" s="184"/>
      <c r="I281" s="184"/>
      <c r="J281" s="184"/>
      <c r="K281" s="184"/>
      <c r="L281" s="184"/>
      <c r="M281" s="184"/>
      <c r="N281" s="184"/>
      <c r="O281" s="184"/>
      <c r="P281" s="174"/>
      <c r="X281" s="200">
        <f t="shared" si="74"/>
        <v>2.7999999199999999</v>
      </c>
      <c r="Y281" s="200"/>
      <c r="Z281" s="105">
        <f>VLOOKUP($E281,'LTP '!$D$4:$N$86,2+Z$11-$Z$11,0)/1000000</f>
        <v>1</v>
      </c>
      <c r="AA281" s="105">
        <f>VLOOKUP($E281,'LTP '!$D$4:$N$86,2+AA$11-$Z$11,0)/1000000</f>
        <v>0.99999996999999996</v>
      </c>
      <c r="AB281" s="105">
        <f>VLOOKUP($E281,'LTP '!$D$4:$N$86,2+AB$11-$Z$11,0)/1000000</f>
        <v>0.7999999499999999</v>
      </c>
      <c r="AC281" s="105">
        <f>VLOOKUP($E281,'LTP '!$D$4:$N$86,2+AC$11-$Z$11,0)/1000000</f>
        <v>0</v>
      </c>
      <c r="AD281" s="105">
        <f>VLOOKUP($E281,'LTP '!$D$4:$N$86,2+AD$11-$Z$11,0)/1000000</f>
        <v>0</v>
      </c>
      <c r="AE281" s="105">
        <f>VLOOKUP($E281,'LTP '!$D$4:$N$86,2+AE$11-$Z$11,0)/1000000</f>
        <v>0</v>
      </c>
      <c r="AF281" s="105">
        <f>VLOOKUP($E281,'LTP '!$D$4:$N$86,2+AF$11-$Z$11,0)/1000000</f>
        <v>0</v>
      </c>
      <c r="AG281" s="105">
        <f>VLOOKUP($E281,'LTP '!$D$4:$N$86,2+AG$11-$Z$11,0)/1000000</f>
        <v>0</v>
      </c>
      <c r="AH281" s="105">
        <f>VLOOKUP($E281,'LTP '!$D$4:$N$86,2+AH$11-$Z$11,0)/1000000</f>
        <v>0</v>
      </c>
      <c r="AI281" s="105">
        <f>VLOOKUP($E281,'LTP '!$D$4:$N$86,2+AI$11-$Z$11,0)/1000000</f>
        <v>0</v>
      </c>
    </row>
    <row r="282" spans="1:83" x14ac:dyDescent="0.3">
      <c r="A282" s="2" t="s">
        <v>322</v>
      </c>
      <c r="B282" s="2" t="s">
        <v>211</v>
      </c>
      <c r="C282" s="2" t="s">
        <v>688</v>
      </c>
      <c r="D282" s="2" t="s">
        <v>450</v>
      </c>
      <c r="E282" s="2" t="s">
        <v>356</v>
      </c>
      <c r="F282" s="184"/>
      <c r="G282" s="184"/>
      <c r="H282" s="184"/>
      <c r="I282" s="184"/>
      <c r="J282" s="184"/>
      <c r="K282" s="184"/>
      <c r="L282" s="184"/>
      <c r="M282" s="184"/>
      <c r="N282" s="184"/>
      <c r="O282" s="184"/>
      <c r="P282" s="174"/>
      <c r="X282" s="200">
        <f t="shared" si="74"/>
        <v>-3.9999999756901161E-8</v>
      </c>
      <c r="Y282" s="200"/>
      <c r="Z282" s="105">
        <f>VLOOKUP($E282,'LTP '!$D$4:$N$86,2+Z$11-$Z$11,0)/1000000</f>
        <v>-7</v>
      </c>
      <c r="AA282" s="105">
        <f>VLOOKUP($E282,'LTP '!$D$4:$N$86,2+AA$11-$Z$11,0)/1000000</f>
        <v>-11.00000004</v>
      </c>
      <c r="AB282" s="105">
        <f>VLOOKUP($E282,'LTP '!$D$4:$N$86,2+AB$11-$Z$11,0)/1000000</f>
        <v>2.0000000400000002</v>
      </c>
      <c r="AC282" s="105">
        <f>VLOOKUP($E282,'LTP '!$D$4:$N$86,2+AC$11-$Z$11,0)/1000000</f>
        <v>5.1999999599999995</v>
      </c>
      <c r="AD282" s="105">
        <f>VLOOKUP($E282,'LTP '!$D$4:$N$86,2+AD$11-$Z$11,0)/1000000</f>
        <v>3.9999999599999998</v>
      </c>
      <c r="AE282" s="105">
        <f>VLOOKUP($E282,'LTP '!$D$4:$N$86,2+AE$11-$Z$11,0)/1000000</f>
        <v>6.8000000400000005</v>
      </c>
      <c r="AF282" s="105">
        <f>VLOOKUP($E282,'LTP '!$D$4:$N$86,2+AF$11-$Z$11,0)/1000000</f>
        <v>0</v>
      </c>
      <c r="AG282" s="105">
        <f>VLOOKUP($E282,'LTP '!$D$4:$N$86,2+AG$11-$Z$11,0)/1000000</f>
        <v>0</v>
      </c>
      <c r="AH282" s="105">
        <f>VLOOKUP($E282,'LTP '!$D$4:$N$86,2+AH$11-$Z$11,0)/1000000</f>
        <v>0</v>
      </c>
      <c r="AI282" s="105">
        <f>VLOOKUP($E282,'LTP '!$D$4:$N$86,2+AI$11-$Z$11,0)/1000000</f>
        <v>0</v>
      </c>
    </row>
    <row r="283" spans="1:83" x14ac:dyDescent="0.3">
      <c r="A283" s="2" t="s">
        <v>320</v>
      </c>
      <c r="B283" s="2" t="s">
        <v>211</v>
      </c>
      <c r="C283" s="2" t="s">
        <v>688</v>
      </c>
      <c r="D283" s="2" t="s">
        <v>450</v>
      </c>
      <c r="E283" s="2" t="s">
        <v>321</v>
      </c>
      <c r="F283" s="184"/>
      <c r="G283" s="184"/>
      <c r="H283" s="184"/>
      <c r="I283" s="184"/>
      <c r="J283" s="184"/>
      <c r="K283" s="184"/>
      <c r="L283" s="184"/>
      <c r="M283" s="184"/>
      <c r="N283" s="184"/>
      <c r="O283" s="184"/>
      <c r="P283" s="174"/>
      <c r="X283" s="200">
        <f t="shared" si="74"/>
        <v>16.543793999999998</v>
      </c>
      <c r="Y283" s="200"/>
      <c r="Z283" s="105">
        <f>VLOOKUP($E283,'LTP '!$D$4:$N$86,2+Z$11-$Z$11,0)/1000000</f>
        <v>0</v>
      </c>
      <c r="AA283" s="105">
        <f>VLOOKUP($E283,'LTP '!$D$4:$N$86,2+AA$11-$Z$11,0)/1000000</f>
        <v>0</v>
      </c>
      <c r="AB283" s="105">
        <f>VLOOKUP($E283,'LTP '!$D$4:$N$86,2+AB$11-$Z$11,0)/1000000</f>
        <v>0</v>
      </c>
      <c r="AC283" s="105">
        <f>VLOOKUP($E283,'LTP '!$D$4:$N$86,2+AC$11-$Z$11,0)/1000000</f>
        <v>0</v>
      </c>
      <c r="AD283" s="105">
        <f>VLOOKUP($E283,'LTP '!$D$4:$N$86,2+AD$11-$Z$11,0)/1000000</f>
        <v>0</v>
      </c>
      <c r="AE283" s="105">
        <f>VLOOKUP($E283,'LTP '!$D$4:$N$86,2+AE$11-$Z$11,0)/1000000</f>
        <v>0</v>
      </c>
      <c r="AF283" s="105">
        <f>VLOOKUP($E283,'LTP '!$D$4:$N$86,2+AF$11-$Z$11,0)/1000000</f>
        <v>0</v>
      </c>
      <c r="AG283" s="105">
        <f>VLOOKUP($E283,'LTP '!$D$4:$N$86,2+AG$11-$Z$11,0)/1000000</f>
        <v>4.5</v>
      </c>
      <c r="AH283" s="105">
        <f>VLOOKUP($E283,'LTP '!$D$4:$N$86,2+AH$11-$Z$11,0)/1000000</f>
        <v>5.4999999600000002</v>
      </c>
      <c r="AI283" s="105">
        <f>VLOOKUP($E283,'LTP '!$D$4:$N$86,2+AI$11-$Z$11,0)/1000000</f>
        <v>6.5437940399999999</v>
      </c>
    </row>
    <row r="285" spans="1:83" x14ac:dyDescent="0.3">
      <c r="BO285" s="201">
        <f t="shared" ref="BO285:BO300" si="86">BQ285-BP285</f>
        <v>0</v>
      </c>
      <c r="BP285" s="2">
        <f>'LTP '!A94/1000000</f>
        <v>1.7036519999999999</v>
      </c>
      <c r="BQ285" s="202">
        <f t="shared" ref="BQ285:BQ300" si="87">SUMIF($BR$12:$BR$275,BR285,$X$12:$X$275)</f>
        <v>1.7036519999999999</v>
      </c>
      <c r="BR285" s="219" t="s">
        <v>301</v>
      </c>
    </row>
    <row r="286" spans="1:83" x14ac:dyDescent="0.3">
      <c r="BO286" s="201">
        <f t="shared" si="86"/>
        <v>0</v>
      </c>
      <c r="BP286" s="2">
        <f>'LTP '!A95/1000000</f>
        <v>5.1999219999999999</v>
      </c>
      <c r="BQ286" s="202">
        <f t="shared" si="87"/>
        <v>5.1999219999999999</v>
      </c>
      <c r="BR286" s="219" t="s">
        <v>303</v>
      </c>
    </row>
    <row r="287" spans="1:83" x14ac:dyDescent="0.3">
      <c r="BO287" s="201">
        <f t="shared" si="86"/>
        <v>-444.13495280999996</v>
      </c>
      <c r="BP287" s="2">
        <f>'LTP '!A96/1000000</f>
        <v>444.13495280999996</v>
      </c>
      <c r="BQ287" s="202">
        <f t="shared" si="87"/>
        <v>0</v>
      </c>
      <c r="BR287" s="219" t="s">
        <v>305</v>
      </c>
    </row>
    <row r="288" spans="1:83" x14ac:dyDescent="0.3">
      <c r="BO288" s="201">
        <f t="shared" si="86"/>
        <v>0</v>
      </c>
      <c r="BP288" s="2">
        <f>'LTP '!A97/1000000</f>
        <v>1.3644799999999999</v>
      </c>
      <c r="BQ288" s="202">
        <f t="shared" si="87"/>
        <v>1.3644800000000001</v>
      </c>
      <c r="BR288" s="219" t="s">
        <v>308</v>
      </c>
    </row>
    <row r="289" spans="1:70" x14ac:dyDescent="0.3">
      <c r="BO289" s="201">
        <f t="shared" si="86"/>
        <v>-396.73458321999999</v>
      </c>
      <c r="BP289" s="2">
        <f>'LTP '!A98/1000000</f>
        <v>396.73458321999999</v>
      </c>
      <c r="BQ289" s="202">
        <f t="shared" si="87"/>
        <v>0</v>
      </c>
      <c r="BR289" s="219" t="s">
        <v>311</v>
      </c>
    </row>
    <row r="290" spans="1:70" ht="26.25" customHeight="1" x14ac:dyDescent="0.3">
      <c r="A290" s="5" t="s">
        <v>690</v>
      </c>
      <c r="E290" s="2" t="s">
        <v>765</v>
      </c>
      <c r="F290" s="220" t="s">
        <v>774</v>
      </c>
      <c r="G290" s="2" t="s">
        <v>775</v>
      </c>
      <c r="BO290" s="201">
        <f t="shared" si="86"/>
        <v>-2.7999999199999999</v>
      </c>
      <c r="BP290" s="2">
        <f>'LTP '!A99/1000000</f>
        <v>2.7999999199999999</v>
      </c>
      <c r="BQ290" s="202">
        <f t="shared" si="87"/>
        <v>0</v>
      </c>
      <c r="BR290" s="219" t="s">
        <v>314</v>
      </c>
    </row>
    <row r="291" spans="1:70" x14ac:dyDescent="0.3">
      <c r="B291" s="2" t="s">
        <v>187</v>
      </c>
      <c r="C291" s="2" t="str">
        <f>B291</f>
        <v>Rural North</v>
      </c>
      <c r="E291" s="2" t="s">
        <v>766</v>
      </c>
      <c r="W291" s="203">
        <f>SUM(Z291:BJ291)</f>
        <v>22.227112126475816</v>
      </c>
      <c r="X291" s="204">
        <f>SUM(Z291:AI291)</f>
        <v>0</v>
      </c>
      <c r="Z291" s="199">
        <f t="shared" ref="Z291:AI300" si="88">SUMIF($B$12:$B$276,$B291,Z$12:Z$276)</f>
        <v>0</v>
      </c>
      <c r="AA291" s="199">
        <f t="shared" si="88"/>
        <v>0</v>
      </c>
      <c r="AB291" s="199">
        <f t="shared" si="88"/>
        <v>0</v>
      </c>
      <c r="AC291" s="199">
        <f t="shared" si="88"/>
        <v>0</v>
      </c>
      <c r="AD291" s="199">
        <f t="shared" si="88"/>
        <v>0</v>
      </c>
      <c r="AE291" s="199">
        <f t="shared" si="88"/>
        <v>0</v>
      </c>
      <c r="AF291" s="199">
        <f t="shared" si="88"/>
        <v>0</v>
      </c>
      <c r="AG291" s="199">
        <f t="shared" si="88"/>
        <v>0</v>
      </c>
      <c r="AH291" s="199">
        <f t="shared" si="88"/>
        <v>0</v>
      </c>
      <c r="AI291" s="199">
        <f t="shared" si="88"/>
        <v>0</v>
      </c>
      <c r="AJ291" s="199">
        <f t="shared" ref="AJ291:AS300" si="89">SUMIF($B$12:$B$276,$B291,AJ$12:AJ$276)</f>
        <v>0</v>
      </c>
      <c r="AK291" s="199">
        <f t="shared" si="89"/>
        <v>0</v>
      </c>
      <c r="AL291" s="199">
        <f t="shared" si="89"/>
        <v>0</v>
      </c>
      <c r="AM291" s="199">
        <f t="shared" si="89"/>
        <v>0</v>
      </c>
      <c r="AN291" s="199">
        <f t="shared" si="89"/>
        <v>0</v>
      </c>
      <c r="AO291" s="199">
        <f t="shared" si="89"/>
        <v>0</v>
      </c>
      <c r="AP291" s="199">
        <f t="shared" si="89"/>
        <v>0</v>
      </c>
      <c r="AQ291" s="199">
        <f t="shared" si="89"/>
        <v>0.48109165607180859</v>
      </c>
      <c r="AR291" s="199">
        <f t="shared" si="89"/>
        <v>4.4640494766903114</v>
      </c>
      <c r="AS291" s="199">
        <f t="shared" si="89"/>
        <v>0</v>
      </c>
      <c r="AT291" s="199">
        <f t="shared" ref="AT291:BC300" si="90">SUMIF($B$12:$B$276,$B291,AT$12:AT$276)</f>
        <v>0</v>
      </c>
      <c r="AU291" s="199">
        <f t="shared" si="90"/>
        <v>0</v>
      </c>
      <c r="AV291" s="199">
        <f t="shared" si="90"/>
        <v>1.681289132572594</v>
      </c>
      <c r="AW291" s="199">
        <f t="shared" si="90"/>
        <v>15.600681861141101</v>
      </c>
      <c r="AX291" s="199">
        <f t="shared" si="90"/>
        <v>0</v>
      </c>
      <c r="AY291" s="199">
        <f t="shared" si="90"/>
        <v>0</v>
      </c>
      <c r="AZ291" s="199">
        <f t="shared" si="90"/>
        <v>0</v>
      </c>
      <c r="BA291" s="199">
        <f t="shared" si="90"/>
        <v>0</v>
      </c>
      <c r="BB291" s="199">
        <f t="shared" si="90"/>
        <v>0</v>
      </c>
      <c r="BC291" s="199">
        <f t="shared" si="90"/>
        <v>0</v>
      </c>
      <c r="BD291" s="199">
        <f t="shared" ref="BD291:BJ300" si="91">SUMIF($B$12:$B$276,$B291,BD$12:BD$276)</f>
        <v>0</v>
      </c>
      <c r="BE291" s="199">
        <f t="shared" si="91"/>
        <v>0</v>
      </c>
      <c r="BF291" s="199">
        <f t="shared" si="91"/>
        <v>0</v>
      </c>
      <c r="BG291" s="199">
        <f t="shared" si="91"/>
        <v>0</v>
      </c>
      <c r="BH291" s="199">
        <f t="shared" si="91"/>
        <v>0</v>
      </c>
      <c r="BI291" s="199">
        <f t="shared" si="91"/>
        <v>0</v>
      </c>
      <c r="BJ291" s="199">
        <f t="shared" si="91"/>
        <v>0</v>
      </c>
      <c r="BO291" s="201">
        <f t="shared" si="86"/>
        <v>0</v>
      </c>
      <c r="BP291" s="2">
        <f>'LTP '!A100/1000000</f>
        <v>0.60484300000000002</v>
      </c>
      <c r="BQ291" s="202">
        <f t="shared" si="87"/>
        <v>0.60484300000000002</v>
      </c>
      <c r="BR291" s="219" t="s">
        <v>316</v>
      </c>
    </row>
    <row r="292" spans="1:70" x14ac:dyDescent="0.3">
      <c r="B292" s="2" t="s">
        <v>88</v>
      </c>
      <c r="C292" s="2" t="str">
        <f t="shared" ref="C292:C319" si="92">B292</f>
        <v>Warkworth</v>
      </c>
      <c r="E292" s="2" t="s">
        <v>767</v>
      </c>
      <c r="F292" s="3">
        <v>0.8</v>
      </c>
      <c r="G292" s="116" t="s">
        <v>784</v>
      </c>
      <c r="W292" s="203">
        <f>SUM(Z292:BJ292)</f>
        <v>132.46994300587949</v>
      </c>
      <c r="X292" s="204">
        <f>SUM(Z292:AI292)</f>
        <v>1.0601</v>
      </c>
      <c r="Z292" s="199">
        <f t="shared" si="88"/>
        <v>0.45</v>
      </c>
      <c r="AA292" s="199">
        <f t="shared" si="88"/>
        <v>0.61009999999999998</v>
      </c>
      <c r="AB292" s="199">
        <f t="shared" si="88"/>
        <v>0</v>
      </c>
      <c r="AC292" s="199">
        <f t="shared" si="88"/>
        <v>0</v>
      </c>
      <c r="AD292" s="199">
        <f t="shared" si="88"/>
        <v>0</v>
      </c>
      <c r="AE292" s="199">
        <f t="shared" si="88"/>
        <v>0</v>
      </c>
      <c r="AF292" s="199">
        <f t="shared" si="88"/>
        <v>0</v>
      </c>
      <c r="AG292" s="199">
        <f t="shared" si="88"/>
        <v>0</v>
      </c>
      <c r="AH292" s="199">
        <f t="shared" si="88"/>
        <v>0</v>
      </c>
      <c r="AI292" s="199">
        <f t="shared" si="88"/>
        <v>0</v>
      </c>
      <c r="AJ292" s="199">
        <f t="shared" si="89"/>
        <v>0</v>
      </c>
      <c r="AK292" s="199">
        <f t="shared" si="89"/>
        <v>0</v>
      </c>
      <c r="AL292" s="199">
        <f t="shared" si="89"/>
        <v>0</v>
      </c>
      <c r="AM292" s="199">
        <f t="shared" si="89"/>
        <v>0.425787750982346</v>
      </c>
      <c r="AN292" s="199">
        <f t="shared" si="89"/>
        <v>3.9508845413651876</v>
      </c>
      <c r="AO292" s="199">
        <f t="shared" si="89"/>
        <v>0</v>
      </c>
      <c r="AP292" s="199">
        <f t="shared" si="89"/>
        <v>0.46662624255267565</v>
      </c>
      <c r="AQ292" s="199">
        <f t="shared" si="89"/>
        <v>4.3298249046462765</v>
      </c>
      <c r="AR292" s="199">
        <f t="shared" si="89"/>
        <v>0</v>
      </c>
      <c r="AS292" s="199">
        <f t="shared" si="89"/>
        <v>0</v>
      </c>
      <c r="AT292" s="199">
        <f t="shared" si="90"/>
        <v>1.0544689990649352</v>
      </c>
      <c r="AU292" s="199">
        <f t="shared" si="90"/>
        <v>9.7844178423235331</v>
      </c>
      <c r="AV292" s="199">
        <f t="shared" si="90"/>
        <v>0</v>
      </c>
      <c r="AW292" s="199">
        <f t="shared" si="90"/>
        <v>3.4668181913646889</v>
      </c>
      <c r="AX292" s="199">
        <f t="shared" si="90"/>
        <v>32.168605997672948</v>
      </c>
      <c r="AY292" s="199">
        <f t="shared" si="90"/>
        <v>0</v>
      </c>
      <c r="AZ292" s="199">
        <f t="shared" si="90"/>
        <v>0</v>
      </c>
      <c r="BA292" s="199">
        <f t="shared" si="90"/>
        <v>0</v>
      </c>
      <c r="BB292" s="199">
        <f t="shared" si="90"/>
        <v>7.2984574895308061</v>
      </c>
      <c r="BC292" s="199">
        <f t="shared" si="90"/>
        <v>51.937880685914749</v>
      </c>
      <c r="BD292" s="199">
        <f t="shared" si="91"/>
        <v>8.13691302829214</v>
      </c>
      <c r="BE292" s="199">
        <f t="shared" si="91"/>
        <v>8.3891573321691961</v>
      </c>
      <c r="BF292" s="199">
        <f t="shared" si="91"/>
        <v>0</v>
      </c>
      <c r="BG292" s="199">
        <f t="shared" si="91"/>
        <v>0</v>
      </c>
      <c r="BH292" s="199">
        <f t="shared" si="91"/>
        <v>0</v>
      </c>
      <c r="BI292" s="199">
        <f t="shared" si="91"/>
        <v>0</v>
      </c>
      <c r="BJ292" s="199">
        <f t="shared" si="91"/>
        <v>0</v>
      </c>
      <c r="BO292" s="201">
        <f t="shared" si="86"/>
        <v>0</v>
      </c>
      <c r="BP292" s="2">
        <f>'LTP '!A101/1000000</f>
        <v>6.3481750799999999</v>
      </c>
      <c r="BQ292" s="202">
        <f t="shared" si="87"/>
        <v>6.3481750799999999</v>
      </c>
      <c r="BR292" s="219" t="s">
        <v>318</v>
      </c>
    </row>
    <row r="293" spans="1:70" x14ac:dyDescent="0.3">
      <c r="B293" s="2" t="s">
        <v>190</v>
      </c>
      <c r="C293" s="2" t="str">
        <f t="shared" si="92"/>
        <v>Hibiscus</v>
      </c>
      <c r="E293" s="2" t="s">
        <v>773</v>
      </c>
      <c r="F293" s="3">
        <v>0.7</v>
      </c>
      <c r="G293" s="116">
        <f>(F293*X26)/SUM(X26:X33)</f>
        <v>0</v>
      </c>
      <c r="W293" s="203">
        <f t="shared" ref="W293:W319" si="93">SUM(Z293:BJ293)</f>
        <v>34.831306491905465</v>
      </c>
      <c r="X293" s="204">
        <f t="shared" ref="X293:X319" si="94">SUM(Z293:AI293)</f>
        <v>29.732865984027722</v>
      </c>
      <c r="Z293" s="199">
        <f t="shared" si="88"/>
        <v>0.33360499999999998</v>
      </c>
      <c r="AA293" s="199">
        <f t="shared" si="88"/>
        <v>0.63512599999999997</v>
      </c>
      <c r="AB293" s="199">
        <f t="shared" si="88"/>
        <v>2</v>
      </c>
      <c r="AC293" s="199">
        <f t="shared" si="88"/>
        <v>6.8330544426291198</v>
      </c>
      <c r="AD293" s="199">
        <f t="shared" si="88"/>
        <v>3.6097845564931323</v>
      </c>
      <c r="AE293" s="199">
        <f t="shared" si="88"/>
        <v>10.056943223151913</v>
      </c>
      <c r="AF293" s="199">
        <f t="shared" si="88"/>
        <v>2.620238063520314</v>
      </c>
      <c r="AG293" s="199">
        <f t="shared" si="88"/>
        <v>0.35452035200245563</v>
      </c>
      <c r="AH293" s="199">
        <f t="shared" si="88"/>
        <v>3.2895943462307855</v>
      </c>
      <c r="AI293" s="199">
        <f t="shared" si="88"/>
        <v>0</v>
      </c>
      <c r="AJ293" s="199">
        <f t="shared" si="89"/>
        <v>0</v>
      </c>
      <c r="AK293" s="199">
        <f t="shared" si="89"/>
        <v>0</v>
      </c>
      <c r="AL293" s="199">
        <f t="shared" si="89"/>
        <v>0</v>
      </c>
      <c r="AM293" s="199">
        <f t="shared" si="89"/>
        <v>0</v>
      </c>
      <c r="AN293" s="199">
        <f t="shared" si="89"/>
        <v>0</v>
      </c>
      <c r="AO293" s="199">
        <f t="shared" si="89"/>
        <v>0</v>
      </c>
      <c r="AP293" s="199">
        <f t="shared" si="89"/>
        <v>0</v>
      </c>
      <c r="AQ293" s="199">
        <f t="shared" si="89"/>
        <v>0</v>
      </c>
      <c r="AR293" s="199">
        <f t="shared" si="89"/>
        <v>0.49600549741003458</v>
      </c>
      <c r="AS293" s="199">
        <f t="shared" si="89"/>
        <v>4.6024350104677101</v>
      </c>
      <c r="AT293" s="199">
        <f t="shared" si="90"/>
        <v>0</v>
      </c>
      <c r="AU293" s="199">
        <f t="shared" si="90"/>
        <v>0</v>
      </c>
      <c r="AV293" s="199">
        <f t="shared" si="90"/>
        <v>0</v>
      </c>
      <c r="AW293" s="199">
        <f t="shared" si="90"/>
        <v>0</v>
      </c>
      <c r="AX293" s="199">
        <f t="shared" si="90"/>
        <v>0</v>
      </c>
      <c r="AY293" s="199">
        <f t="shared" si="90"/>
        <v>0</v>
      </c>
      <c r="AZ293" s="199">
        <f t="shared" si="90"/>
        <v>0</v>
      </c>
      <c r="BA293" s="199">
        <f t="shared" si="90"/>
        <v>0</v>
      </c>
      <c r="BB293" s="199">
        <f t="shared" si="90"/>
        <v>0</v>
      </c>
      <c r="BC293" s="199">
        <f t="shared" si="90"/>
        <v>0</v>
      </c>
      <c r="BD293" s="199">
        <f t="shared" si="91"/>
        <v>0</v>
      </c>
      <c r="BE293" s="199">
        <f t="shared" si="91"/>
        <v>0</v>
      </c>
      <c r="BF293" s="199">
        <f t="shared" si="91"/>
        <v>0</v>
      </c>
      <c r="BG293" s="199">
        <f t="shared" si="91"/>
        <v>0</v>
      </c>
      <c r="BH293" s="199">
        <f t="shared" si="91"/>
        <v>0</v>
      </c>
      <c r="BI293" s="199">
        <f t="shared" si="91"/>
        <v>0</v>
      </c>
      <c r="BJ293" s="199">
        <f t="shared" si="91"/>
        <v>0</v>
      </c>
      <c r="BO293" s="201">
        <f t="shared" si="86"/>
        <v>-16.543793999999998</v>
      </c>
      <c r="BP293" s="2">
        <f>'LTP '!A102/1000000</f>
        <v>16.543793999999998</v>
      </c>
      <c r="BQ293" s="202">
        <f t="shared" si="87"/>
        <v>0</v>
      </c>
      <c r="BR293" s="219" t="s">
        <v>320</v>
      </c>
    </row>
    <row r="294" spans="1:70" x14ac:dyDescent="0.3">
      <c r="B294" s="2" t="s">
        <v>191</v>
      </c>
      <c r="C294" s="2" t="str">
        <f t="shared" si="92"/>
        <v>Wainui east MD</v>
      </c>
      <c r="E294" s="2" t="s">
        <v>768</v>
      </c>
      <c r="F294" s="3">
        <v>0.7</v>
      </c>
      <c r="G294" s="116">
        <f>F294*X40/SUM(X39:X40,X34)</f>
        <v>4.8810946123313236E-2</v>
      </c>
      <c r="W294" s="203">
        <f t="shared" si="93"/>
        <v>43.143985601049025</v>
      </c>
      <c r="X294" s="204">
        <f t="shared" si="94"/>
        <v>13.985652179787039</v>
      </c>
      <c r="Z294" s="199">
        <f t="shared" si="88"/>
        <v>5.921001E-2</v>
      </c>
      <c r="AA294" s="199">
        <f t="shared" si="88"/>
        <v>0.66570200000000002</v>
      </c>
      <c r="AB294" s="199">
        <f t="shared" si="88"/>
        <v>1.2569129999999999</v>
      </c>
      <c r="AC294" s="199">
        <f t="shared" si="88"/>
        <v>2.0166104547939363</v>
      </c>
      <c r="AD294" s="199">
        <f t="shared" si="88"/>
        <v>3.2349321489254859</v>
      </c>
      <c r="AE294" s="199">
        <f t="shared" si="88"/>
        <v>0.70225693978775527</v>
      </c>
      <c r="AF294" s="199">
        <f t="shared" si="88"/>
        <v>1.2354355161854855</v>
      </c>
      <c r="AG294" s="199">
        <f t="shared" si="88"/>
        <v>1.5249977638635888</v>
      </c>
      <c r="AH294" s="199">
        <f t="shared" si="88"/>
        <v>3.2895943462307864</v>
      </c>
      <c r="AI294" s="199">
        <f t="shared" si="88"/>
        <v>0</v>
      </c>
      <c r="AJ294" s="199">
        <f t="shared" si="89"/>
        <v>0.38852338842931355</v>
      </c>
      <c r="AK294" s="199">
        <f t="shared" si="89"/>
        <v>3.6051085212356</v>
      </c>
      <c r="AL294" s="199">
        <f t="shared" si="89"/>
        <v>0.41298520948821144</v>
      </c>
      <c r="AM294" s="199">
        <f t="shared" si="89"/>
        <v>3.8320897588411142</v>
      </c>
      <c r="AN294" s="199">
        <f t="shared" si="89"/>
        <v>1.0630539188763981</v>
      </c>
      <c r="AO294" s="199">
        <f t="shared" si="89"/>
        <v>5.1693705525090756</v>
      </c>
      <c r="AP294" s="199">
        <f t="shared" si="89"/>
        <v>6.8530706394144776</v>
      </c>
      <c r="AQ294" s="199">
        <f t="shared" si="89"/>
        <v>2.7356909245900489</v>
      </c>
      <c r="AR294" s="199">
        <f t="shared" si="89"/>
        <v>0.49600549741003458</v>
      </c>
      <c r="AS294" s="199">
        <f t="shared" si="89"/>
        <v>4.602435010467711</v>
      </c>
      <c r="AT294" s="199">
        <f t="shared" si="90"/>
        <v>0</v>
      </c>
      <c r="AU294" s="199">
        <f t="shared" si="90"/>
        <v>0</v>
      </c>
      <c r="AV294" s="199">
        <f t="shared" si="90"/>
        <v>0</v>
      </c>
      <c r="AW294" s="199">
        <f t="shared" si="90"/>
        <v>0</v>
      </c>
      <c r="AX294" s="199">
        <f t="shared" si="90"/>
        <v>0</v>
      </c>
      <c r="AY294" s="199">
        <f t="shared" si="90"/>
        <v>0</v>
      </c>
      <c r="AZ294" s="199">
        <f t="shared" si="90"/>
        <v>0</v>
      </c>
      <c r="BA294" s="199">
        <f t="shared" si="90"/>
        <v>0</v>
      </c>
      <c r="BB294" s="199">
        <f t="shared" si="90"/>
        <v>0</v>
      </c>
      <c r="BC294" s="199">
        <f t="shared" si="90"/>
        <v>0</v>
      </c>
      <c r="BD294" s="199">
        <f t="shared" si="91"/>
        <v>0</v>
      </c>
      <c r="BE294" s="199">
        <f t="shared" si="91"/>
        <v>0</v>
      </c>
      <c r="BF294" s="199">
        <f t="shared" si="91"/>
        <v>0</v>
      </c>
      <c r="BG294" s="199">
        <f t="shared" si="91"/>
        <v>0</v>
      </c>
      <c r="BH294" s="199">
        <f t="shared" si="91"/>
        <v>0</v>
      </c>
      <c r="BI294" s="199">
        <f t="shared" si="91"/>
        <v>0</v>
      </c>
      <c r="BJ294" s="199">
        <f t="shared" si="91"/>
        <v>0</v>
      </c>
      <c r="BN294" s="2" t="s">
        <v>691</v>
      </c>
      <c r="BO294" s="201">
        <f t="shared" si="86"/>
        <v>5.9895859999997469E-2</v>
      </c>
      <c r="BP294" s="2">
        <f>'LTP '!A103/1000000</f>
        <v>53.768187140000002</v>
      </c>
      <c r="BQ294" s="202">
        <f t="shared" si="87"/>
        <v>53.828082999999999</v>
      </c>
      <c r="BR294" s="219" t="s">
        <v>322</v>
      </c>
    </row>
    <row r="295" spans="1:70" x14ac:dyDescent="0.3">
      <c r="B295" s="2" t="s">
        <v>193</v>
      </c>
      <c r="C295" s="2" t="str">
        <f t="shared" si="92"/>
        <v>Dairy Flat (incl W.East new)</v>
      </c>
      <c r="E295" s="2" t="s">
        <v>768</v>
      </c>
      <c r="W295" s="203">
        <f t="shared" si="93"/>
        <v>472.35268990363676</v>
      </c>
      <c r="X295" s="204">
        <f t="shared" si="94"/>
        <v>0.27336199999999999</v>
      </c>
      <c r="Z295" s="199">
        <f t="shared" si="88"/>
        <v>0</v>
      </c>
      <c r="AA295" s="199">
        <f t="shared" si="88"/>
        <v>7.3361999999999997E-2</v>
      </c>
      <c r="AB295" s="199">
        <f t="shared" si="88"/>
        <v>0.2</v>
      </c>
      <c r="AC295" s="199">
        <f t="shared" si="88"/>
        <v>0</v>
      </c>
      <c r="AD295" s="199">
        <f t="shared" si="88"/>
        <v>0</v>
      </c>
      <c r="AE295" s="199">
        <f t="shared" si="88"/>
        <v>0</v>
      </c>
      <c r="AF295" s="199">
        <f t="shared" si="88"/>
        <v>0</v>
      </c>
      <c r="AG295" s="199">
        <f t="shared" si="88"/>
        <v>0</v>
      </c>
      <c r="AH295" s="199">
        <f t="shared" si="88"/>
        <v>0</v>
      </c>
      <c r="AI295" s="199">
        <f t="shared" si="88"/>
        <v>0</v>
      </c>
      <c r="AJ295" s="199">
        <f t="shared" si="89"/>
        <v>0</v>
      </c>
      <c r="AK295" s="199">
        <f t="shared" si="89"/>
        <v>0</v>
      </c>
      <c r="AL295" s="199">
        <f t="shared" si="89"/>
        <v>0</v>
      </c>
      <c r="AM295" s="199">
        <f t="shared" si="89"/>
        <v>0</v>
      </c>
      <c r="AN295" s="199">
        <f t="shared" si="89"/>
        <v>0</v>
      </c>
      <c r="AO295" s="199">
        <f t="shared" si="89"/>
        <v>0</v>
      </c>
      <c r="AP295" s="199">
        <f t="shared" si="89"/>
        <v>0</v>
      </c>
      <c r="AQ295" s="199">
        <f t="shared" si="89"/>
        <v>0</v>
      </c>
      <c r="AR295" s="199">
        <f t="shared" si="89"/>
        <v>0</v>
      </c>
      <c r="AS295" s="199">
        <f t="shared" si="89"/>
        <v>0</v>
      </c>
      <c r="AT295" s="199">
        <f t="shared" si="90"/>
        <v>0</v>
      </c>
      <c r="AU295" s="199">
        <f t="shared" si="90"/>
        <v>3.2614726141078449</v>
      </c>
      <c r="AV295" s="199">
        <f t="shared" si="90"/>
        <v>30.263204386306693</v>
      </c>
      <c r="AW295" s="199">
        <f t="shared" si="90"/>
        <v>0.82140819249492858</v>
      </c>
      <c r="AX295" s="199">
        <f t="shared" si="90"/>
        <v>0.84687184646227132</v>
      </c>
      <c r="AY295" s="199">
        <f t="shared" si="90"/>
        <v>3.4924994948104064</v>
      </c>
      <c r="AZ295" s="199">
        <f t="shared" si="90"/>
        <v>3.6007669791495283</v>
      </c>
      <c r="BA295" s="199">
        <f t="shared" si="90"/>
        <v>0</v>
      </c>
      <c r="BB295" s="199">
        <f t="shared" si="90"/>
        <v>0</v>
      </c>
      <c r="BC295" s="199">
        <f t="shared" si="90"/>
        <v>0</v>
      </c>
      <c r="BD295" s="199">
        <f t="shared" si="91"/>
        <v>0</v>
      </c>
      <c r="BE295" s="199">
        <f t="shared" si="91"/>
        <v>0</v>
      </c>
      <c r="BF295" s="199">
        <f t="shared" si="91"/>
        <v>0</v>
      </c>
      <c r="BG295" s="199">
        <f t="shared" si="91"/>
        <v>41.51859170485146</v>
      </c>
      <c r="BH295" s="199">
        <f t="shared" si="91"/>
        <v>320.89451864706712</v>
      </c>
      <c r="BI295" s="199">
        <f t="shared" si="91"/>
        <v>33.175772544749655</v>
      </c>
      <c r="BJ295" s="199">
        <f t="shared" si="91"/>
        <v>34.204221493636894</v>
      </c>
      <c r="BN295" s="2" t="s">
        <v>692</v>
      </c>
      <c r="BO295" s="201">
        <f t="shared" si="86"/>
        <v>-3.4590533800000003</v>
      </c>
      <c r="BP295" s="2">
        <f>'LTP '!A105/1000000</f>
        <v>5.4491533800000003</v>
      </c>
      <c r="BQ295" s="202">
        <f t="shared" si="87"/>
        <v>1.9901</v>
      </c>
      <c r="BR295" s="219" t="s">
        <v>362</v>
      </c>
    </row>
    <row r="296" spans="1:70" x14ac:dyDescent="0.3">
      <c r="B296" s="2" t="s">
        <v>96</v>
      </c>
      <c r="C296" s="2" t="str">
        <f t="shared" si="92"/>
        <v>North Shore</v>
      </c>
      <c r="E296" s="2" t="s">
        <v>769</v>
      </c>
      <c r="F296" s="3">
        <v>0.85</v>
      </c>
      <c r="G296" s="2" t="s">
        <v>785</v>
      </c>
      <c r="W296" s="203">
        <f t="shared" si="93"/>
        <v>7.4084405078777449</v>
      </c>
      <c r="X296" s="204">
        <f t="shared" si="94"/>
        <v>2.31</v>
      </c>
      <c r="Z296" s="199">
        <f t="shared" si="88"/>
        <v>0.08</v>
      </c>
      <c r="AA296" s="199">
        <f t="shared" si="88"/>
        <v>0.35</v>
      </c>
      <c r="AB296" s="199">
        <f t="shared" si="88"/>
        <v>1.88</v>
      </c>
      <c r="AC296" s="199">
        <f t="shared" si="88"/>
        <v>0</v>
      </c>
      <c r="AD296" s="199">
        <f t="shared" si="88"/>
        <v>0</v>
      </c>
      <c r="AE296" s="199">
        <f t="shared" si="88"/>
        <v>0</v>
      </c>
      <c r="AF296" s="199">
        <f t="shared" si="88"/>
        <v>0</v>
      </c>
      <c r="AG296" s="199">
        <f t="shared" si="88"/>
        <v>0</v>
      </c>
      <c r="AH296" s="199">
        <f t="shared" si="88"/>
        <v>0</v>
      </c>
      <c r="AI296" s="199">
        <f t="shared" si="88"/>
        <v>0</v>
      </c>
      <c r="AJ296" s="199">
        <f t="shared" si="89"/>
        <v>0</v>
      </c>
      <c r="AK296" s="199">
        <f t="shared" si="89"/>
        <v>0</v>
      </c>
      <c r="AL296" s="199">
        <f t="shared" si="89"/>
        <v>0</v>
      </c>
      <c r="AM296" s="199">
        <f t="shared" si="89"/>
        <v>0</v>
      </c>
      <c r="AN296" s="199">
        <f t="shared" si="89"/>
        <v>0</v>
      </c>
      <c r="AO296" s="199">
        <f t="shared" si="89"/>
        <v>0</v>
      </c>
      <c r="AP296" s="199">
        <f t="shared" si="89"/>
        <v>0</v>
      </c>
      <c r="AQ296" s="199">
        <f t="shared" si="89"/>
        <v>0</v>
      </c>
      <c r="AR296" s="199">
        <f t="shared" si="89"/>
        <v>0.49600549741003458</v>
      </c>
      <c r="AS296" s="199">
        <f t="shared" si="89"/>
        <v>4.6024350104677101</v>
      </c>
      <c r="AT296" s="199">
        <f t="shared" si="90"/>
        <v>0</v>
      </c>
      <c r="AU296" s="199">
        <f t="shared" si="90"/>
        <v>0</v>
      </c>
      <c r="AV296" s="199">
        <f t="shared" si="90"/>
        <v>0</v>
      </c>
      <c r="AW296" s="199">
        <f t="shared" si="90"/>
        <v>0</v>
      </c>
      <c r="AX296" s="199">
        <f t="shared" si="90"/>
        <v>0</v>
      </c>
      <c r="AY296" s="199">
        <f t="shared" si="90"/>
        <v>0</v>
      </c>
      <c r="AZ296" s="199">
        <f t="shared" si="90"/>
        <v>0</v>
      </c>
      <c r="BA296" s="199">
        <f t="shared" si="90"/>
        <v>0</v>
      </c>
      <c r="BB296" s="199">
        <f t="shared" si="90"/>
        <v>0</v>
      </c>
      <c r="BC296" s="199">
        <f t="shared" si="90"/>
        <v>0</v>
      </c>
      <c r="BD296" s="199">
        <f t="shared" si="91"/>
        <v>0</v>
      </c>
      <c r="BE296" s="199">
        <f t="shared" si="91"/>
        <v>0</v>
      </c>
      <c r="BF296" s="199">
        <f t="shared" si="91"/>
        <v>0</v>
      </c>
      <c r="BG296" s="199">
        <f t="shared" si="91"/>
        <v>0</v>
      </c>
      <c r="BH296" s="199">
        <f t="shared" si="91"/>
        <v>0</v>
      </c>
      <c r="BI296" s="199">
        <f t="shared" si="91"/>
        <v>0</v>
      </c>
      <c r="BJ296" s="199">
        <f t="shared" si="91"/>
        <v>0</v>
      </c>
      <c r="BN296" s="2" t="s">
        <v>693</v>
      </c>
      <c r="BO296" s="201">
        <f t="shared" si="86"/>
        <v>-9.9999520000000786E-2</v>
      </c>
      <c r="BP296" s="2">
        <f>'LTP '!A106/1000000</f>
        <v>19.72439052</v>
      </c>
      <c r="BQ296" s="202">
        <f t="shared" si="87"/>
        <v>19.624390999999999</v>
      </c>
      <c r="BR296" s="219" t="s">
        <v>368</v>
      </c>
    </row>
    <row r="297" spans="1:70" x14ac:dyDescent="0.3">
      <c r="B297" s="2" t="s">
        <v>188</v>
      </c>
      <c r="C297" s="2" t="str">
        <f t="shared" si="92"/>
        <v>Rural NW</v>
      </c>
      <c r="E297" s="2" t="s">
        <v>770</v>
      </c>
      <c r="F297" s="2">
        <f>1446/1542</f>
        <v>0.9377431906614786</v>
      </c>
      <c r="G297" s="25">
        <f>F297</f>
        <v>0.9377431906614786</v>
      </c>
      <c r="H297" s="2" t="s">
        <v>786</v>
      </c>
      <c r="W297" s="203">
        <f t="shared" si="93"/>
        <v>17.37533850020727</v>
      </c>
      <c r="X297" s="204">
        <f t="shared" si="94"/>
        <v>0.61299999999999999</v>
      </c>
      <c r="Z297" s="199">
        <f t="shared" si="88"/>
        <v>0.61299999999999999</v>
      </c>
      <c r="AA297" s="199">
        <f t="shared" si="88"/>
        <v>0</v>
      </c>
      <c r="AB297" s="199">
        <f t="shared" si="88"/>
        <v>0</v>
      </c>
      <c r="AC297" s="199">
        <f t="shared" si="88"/>
        <v>0</v>
      </c>
      <c r="AD297" s="199">
        <f t="shared" si="88"/>
        <v>0</v>
      </c>
      <c r="AE297" s="199">
        <f t="shared" si="88"/>
        <v>0</v>
      </c>
      <c r="AF297" s="199">
        <f t="shared" si="88"/>
        <v>0</v>
      </c>
      <c r="AG297" s="199">
        <f t="shared" si="88"/>
        <v>0</v>
      </c>
      <c r="AH297" s="199">
        <f t="shared" si="88"/>
        <v>0</v>
      </c>
      <c r="AI297" s="199">
        <f t="shared" si="88"/>
        <v>0</v>
      </c>
      <c r="AJ297" s="199">
        <f t="shared" si="89"/>
        <v>0</v>
      </c>
      <c r="AK297" s="199">
        <f t="shared" si="89"/>
        <v>0</v>
      </c>
      <c r="AL297" s="199">
        <f t="shared" si="89"/>
        <v>0</v>
      </c>
      <c r="AM297" s="199">
        <f t="shared" si="89"/>
        <v>0</v>
      </c>
      <c r="AN297" s="199">
        <f t="shared" si="89"/>
        <v>0</v>
      </c>
      <c r="AO297" s="199">
        <f t="shared" si="89"/>
        <v>0</v>
      </c>
      <c r="AP297" s="199">
        <f t="shared" si="89"/>
        <v>0</v>
      </c>
      <c r="AQ297" s="199">
        <f t="shared" si="89"/>
        <v>0</v>
      </c>
      <c r="AR297" s="199">
        <f t="shared" si="89"/>
        <v>0</v>
      </c>
      <c r="AS297" s="199">
        <f t="shared" si="89"/>
        <v>0</v>
      </c>
      <c r="AT297" s="199">
        <f t="shared" si="90"/>
        <v>0</v>
      </c>
      <c r="AU297" s="199">
        <f t="shared" si="90"/>
        <v>1.6307363070539225</v>
      </c>
      <c r="AV297" s="199">
        <f t="shared" si="90"/>
        <v>15.131602193153347</v>
      </c>
      <c r="AW297" s="199">
        <f t="shared" si="90"/>
        <v>0</v>
      </c>
      <c r="AX297" s="199">
        <f t="shared" si="90"/>
        <v>0</v>
      </c>
      <c r="AY297" s="199">
        <f t="shared" si="90"/>
        <v>0</v>
      </c>
      <c r="AZ297" s="199">
        <f t="shared" si="90"/>
        <v>0</v>
      </c>
      <c r="BA297" s="199">
        <f t="shared" si="90"/>
        <v>0</v>
      </c>
      <c r="BB297" s="199">
        <f t="shared" si="90"/>
        <v>0</v>
      </c>
      <c r="BC297" s="199">
        <f t="shared" si="90"/>
        <v>0</v>
      </c>
      <c r="BD297" s="199">
        <f t="shared" si="91"/>
        <v>0</v>
      </c>
      <c r="BE297" s="199">
        <f t="shared" si="91"/>
        <v>0</v>
      </c>
      <c r="BF297" s="199">
        <f t="shared" si="91"/>
        <v>0</v>
      </c>
      <c r="BG297" s="199">
        <f t="shared" si="91"/>
        <v>0</v>
      </c>
      <c r="BH297" s="199">
        <f t="shared" si="91"/>
        <v>0</v>
      </c>
      <c r="BI297" s="199">
        <f t="shared" si="91"/>
        <v>0</v>
      </c>
      <c r="BJ297" s="199">
        <f t="shared" si="91"/>
        <v>0</v>
      </c>
      <c r="BO297" s="201">
        <f t="shared" si="86"/>
        <v>0</v>
      </c>
      <c r="BP297" s="2">
        <f>'LTP '!A107/1000000</f>
        <v>0.62975999999999999</v>
      </c>
      <c r="BQ297" s="202">
        <f t="shared" si="87"/>
        <v>0.62975999999999999</v>
      </c>
      <c r="BR297" s="219" t="s">
        <v>378</v>
      </c>
    </row>
    <row r="298" spans="1:70" x14ac:dyDescent="0.3">
      <c r="B298" s="2" t="s">
        <v>195</v>
      </c>
      <c r="C298" s="2" t="str">
        <f t="shared" si="92"/>
        <v>Kumeu-Huapai-RH</v>
      </c>
      <c r="E298" s="2" t="s">
        <v>768</v>
      </c>
      <c r="G298" s="2">
        <f>0.3*X61/SUM(X59:X61)</f>
        <v>0.10152006097901933</v>
      </c>
      <c r="H298" s="2" t="s">
        <v>777</v>
      </c>
      <c r="W298" s="203">
        <f t="shared" si="93"/>
        <v>5.0387339999999998</v>
      </c>
      <c r="X298" s="204">
        <f t="shared" si="94"/>
        <v>5.0387339999999998</v>
      </c>
      <c r="Z298" s="199">
        <f t="shared" si="88"/>
        <v>0.99873400000000001</v>
      </c>
      <c r="AA298" s="199">
        <f t="shared" si="88"/>
        <v>2.04</v>
      </c>
      <c r="AB298" s="199">
        <f t="shared" si="88"/>
        <v>2</v>
      </c>
      <c r="AC298" s="199">
        <f t="shared" si="88"/>
        <v>0</v>
      </c>
      <c r="AD298" s="199">
        <f t="shared" si="88"/>
        <v>0</v>
      </c>
      <c r="AE298" s="199">
        <f t="shared" si="88"/>
        <v>0</v>
      </c>
      <c r="AF298" s="199">
        <f t="shared" si="88"/>
        <v>0</v>
      </c>
      <c r="AG298" s="199">
        <f t="shared" si="88"/>
        <v>0</v>
      </c>
      <c r="AH298" s="199">
        <f t="shared" si="88"/>
        <v>0</v>
      </c>
      <c r="AI298" s="199">
        <f t="shared" si="88"/>
        <v>0</v>
      </c>
      <c r="AJ298" s="199">
        <f t="shared" si="89"/>
        <v>0</v>
      </c>
      <c r="AK298" s="199">
        <f t="shared" si="89"/>
        <v>0</v>
      </c>
      <c r="AL298" s="199">
        <f t="shared" si="89"/>
        <v>0</v>
      </c>
      <c r="AM298" s="199">
        <f t="shared" si="89"/>
        <v>0</v>
      </c>
      <c r="AN298" s="199">
        <f t="shared" si="89"/>
        <v>0</v>
      </c>
      <c r="AO298" s="199">
        <f t="shared" si="89"/>
        <v>0</v>
      </c>
      <c r="AP298" s="199">
        <f t="shared" si="89"/>
        <v>0</v>
      </c>
      <c r="AQ298" s="199">
        <f t="shared" si="89"/>
        <v>0</v>
      </c>
      <c r="AR298" s="199">
        <f t="shared" si="89"/>
        <v>0</v>
      </c>
      <c r="AS298" s="199">
        <f t="shared" si="89"/>
        <v>0</v>
      </c>
      <c r="AT298" s="199">
        <f t="shared" si="90"/>
        <v>0</v>
      </c>
      <c r="AU298" s="199">
        <f t="shared" si="90"/>
        <v>0</v>
      </c>
      <c r="AV298" s="199">
        <f t="shared" si="90"/>
        <v>0</v>
      </c>
      <c r="AW298" s="199">
        <f t="shared" si="90"/>
        <v>0</v>
      </c>
      <c r="AX298" s="199">
        <f t="shared" si="90"/>
        <v>0</v>
      </c>
      <c r="AY298" s="199">
        <f t="shared" si="90"/>
        <v>0</v>
      </c>
      <c r="AZ298" s="199">
        <f t="shared" si="90"/>
        <v>0</v>
      </c>
      <c r="BA298" s="199">
        <f t="shared" si="90"/>
        <v>0</v>
      </c>
      <c r="BB298" s="199">
        <f t="shared" si="90"/>
        <v>0</v>
      </c>
      <c r="BC298" s="199">
        <f t="shared" si="90"/>
        <v>0</v>
      </c>
      <c r="BD298" s="199">
        <f t="shared" si="91"/>
        <v>0</v>
      </c>
      <c r="BE298" s="199">
        <f t="shared" si="91"/>
        <v>0</v>
      </c>
      <c r="BF298" s="199">
        <f t="shared" si="91"/>
        <v>0</v>
      </c>
      <c r="BG298" s="199">
        <f t="shared" si="91"/>
        <v>0</v>
      </c>
      <c r="BH298" s="199">
        <f t="shared" si="91"/>
        <v>0</v>
      </c>
      <c r="BI298" s="199">
        <f t="shared" si="91"/>
        <v>0</v>
      </c>
      <c r="BJ298" s="199">
        <f t="shared" si="91"/>
        <v>0</v>
      </c>
      <c r="BO298" s="201">
        <f t="shared" si="86"/>
        <v>0</v>
      </c>
      <c r="BP298" s="2">
        <f>'LTP '!A108/1000000</f>
        <v>3.0108190000000001</v>
      </c>
      <c r="BQ298" s="202">
        <f t="shared" si="87"/>
        <v>3.0108190000000001</v>
      </c>
      <c r="BR298" s="219" t="s">
        <v>380</v>
      </c>
    </row>
    <row r="299" spans="1:70" x14ac:dyDescent="0.3">
      <c r="B299" s="2" t="s">
        <v>194</v>
      </c>
      <c r="C299" s="2" t="str">
        <f t="shared" si="92"/>
        <v>Kumeu-Huapai-RH RedFlag</v>
      </c>
      <c r="E299" s="2" t="s">
        <v>768</v>
      </c>
      <c r="G299" s="2" t="s">
        <v>402</v>
      </c>
      <c r="W299" s="203">
        <f t="shared" si="93"/>
        <v>228.70112387913082</v>
      </c>
      <c r="X299" s="204">
        <f t="shared" si="94"/>
        <v>0</v>
      </c>
      <c r="Z299" s="199">
        <f t="shared" si="88"/>
        <v>0</v>
      </c>
      <c r="AA299" s="199">
        <f t="shared" si="88"/>
        <v>0</v>
      </c>
      <c r="AB299" s="199">
        <f t="shared" si="88"/>
        <v>0</v>
      </c>
      <c r="AC299" s="199">
        <f t="shared" si="88"/>
        <v>0</v>
      </c>
      <c r="AD299" s="199">
        <f t="shared" si="88"/>
        <v>0</v>
      </c>
      <c r="AE299" s="199">
        <f t="shared" si="88"/>
        <v>0</v>
      </c>
      <c r="AF299" s="199">
        <f t="shared" si="88"/>
        <v>0</v>
      </c>
      <c r="AG299" s="199">
        <f t="shared" si="88"/>
        <v>0</v>
      </c>
      <c r="AH299" s="199">
        <f t="shared" si="88"/>
        <v>0</v>
      </c>
      <c r="AI299" s="199">
        <f t="shared" si="88"/>
        <v>0</v>
      </c>
      <c r="AJ299" s="199">
        <f t="shared" si="89"/>
        <v>0</v>
      </c>
      <c r="AK299" s="199">
        <f t="shared" si="89"/>
        <v>0</v>
      </c>
      <c r="AL299" s="199">
        <f t="shared" si="89"/>
        <v>0</v>
      </c>
      <c r="AM299" s="199">
        <f t="shared" si="89"/>
        <v>0</v>
      </c>
      <c r="AN299" s="199">
        <f t="shared" si="89"/>
        <v>0</v>
      </c>
      <c r="AO299" s="199">
        <f t="shared" si="89"/>
        <v>0</v>
      </c>
      <c r="AP299" s="199">
        <f t="shared" si="89"/>
        <v>0</v>
      </c>
      <c r="AQ299" s="199">
        <f t="shared" si="89"/>
        <v>0</v>
      </c>
      <c r="AR299" s="199">
        <f t="shared" si="89"/>
        <v>0</v>
      </c>
      <c r="AS299" s="199">
        <f t="shared" si="89"/>
        <v>0</v>
      </c>
      <c r="AT299" s="199">
        <f t="shared" si="90"/>
        <v>0</v>
      </c>
      <c r="AU299" s="199">
        <f t="shared" si="90"/>
        <v>0</v>
      </c>
      <c r="AV299" s="199">
        <f t="shared" si="90"/>
        <v>0</v>
      </c>
      <c r="AW299" s="199">
        <f t="shared" si="90"/>
        <v>0</v>
      </c>
      <c r="AX299" s="199">
        <f t="shared" si="90"/>
        <v>0</v>
      </c>
      <c r="AY299" s="199">
        <f t="shared" si="90"/>
        <v>0</v>
      </c>
      <c r="AZ299" s="199">
        <f t="shared" si="90"/>
        <v>0</v>
      </c>
      <c r="BA299" s="199">
        <f t="shared" si="90"/>
        <v>0</v>
      </c>
      <c r="BB299" s="199">
        <f t="shared" si="90"/>
        <v>0</v>
      </c>
      <c r="BC299" s="199">
        <f t="shared" si="90"/>
        <v>0</v>
      </c>
      <c r="BD299" s="199">
        <f t="shared" si="91"/>
        <v>0</v>
      </c>
      <c r="BE299" s="199">
        <f t="shared" si="91"/>
        <v>0</v>
      </c>
      <c r="BF299" s="199">
        <f t="shared" si="91"/>
        <v>0</v>
      </c>
      <c r="BG299" s="199">
        <f t="shared" si="91"/>
        <v>22.039252927233484</v>
      </c>
      <c r="BH299" s="199">
        <f t="shared" si="91"/>
        <v>158.53330378162121</v>
      </c>
      <c r="BI299" s="199">
        <f t="shared" si="91"/>
        <v>23.696980389106894</v>
      </c>
      <c r="BJ299" s="199">
        <f t="shared" si="91"/>
        <v>24.431586781169209</v>
      </c>
      <c r="BO299" s="201">
        <f t="shared" si="86"/>
        <v>-0.16950000000000021</v>
      </c>
      <c r="BP299" s="2">
        <f>'LTP '!A109/1000000</f>
        <v>2.8186825600000001</v>
      </c>
      <c r="BQ299" s="202">
        <f t="shared" si="87"/>
        <v>2.6491825599999999</v>
      </c>
      <c r="BR299" s="219" t="s">
        <v>382</v>
      </c>
    </row>
    <row r="300" spans="1:70" x14ac:dyDescent="0.3">
      <c r="B300" s="2" t="s">
        <v>210</v>
      </c>
      <c r="C300" s="2" t="str">
        <f t="shared" si="92"/>
        <v>Reg Sportsfield</v>
      </c>
      <c r="E300" s="2" t="s">
        <v>771</v>
      </c>
      <c r="G300" s="2" t="s">
        <v>787</v>
      </c>
      <c r="W300" s="203">
        <f t="shared" si="93"/>
        <v>308.41398389361035</v>
      </c>
      <c r="X300" s="203">
        <f t="shared" si="94"/>
        <v>101.12921785417709</v>
      </c>
      <c r="Z300" s="199">
        <f t="shared" si="88"/>
        <v>9.2519203900000004</v>
      </c>
      <c r="AA300" s="199">
        <f t="shared" si="88"/>
        <v>11.834240000000001</v>
      </c>
      <c r="AB300" s="199">
        <f t="shared" si="88"/>
        <v>13.439603</v>
      </c>
      <c r="AC300" s="199">
        <f t="shared" si="88"/>
        <v>12.408587261576649</v>
      </c>
      <c r="AD300" s="199">
        <f t="shared" si="88"/>
        <v>9.2766850819995792</v>
      </c>
      <c r="AE300" s="199">
        <f t="shared" si="88"/>
        <v>10.626807741242715</v>
      </c>
      <c r="AF300" s="199">
        <f t="shared" si="88"/>
        <v>8.184345421816106</v>
      </c>
      <c r="AG300" s="199">
        <f t="shared" si="88"/>
        <v>8.4380601298924027</v>
      </c>
      <c r="AH300" s="199">
        <f t="shared" si="88"/>
        <v>8.6996399939190674</v>
      </c>
      <c r="AI300" s="199">
        <f t="shared" si="88"/>
        <v>8.9693288337305574</v>
      </c>
      <c r="AJ300" s="199">
        <f t="shared" si="89"/>
        <v>13.327838741585213</v>
      </c>
      <c r="AK300" s="199">
        <f t="shared" si="89"/>
        <v>13.741001742574351</v>
      </c>
      <c r="AL300" s="199">
        <f t="shared" si="89"/>
        <v>56.667891186376622</v>
      </c>
      <c r="AM300" s="199">
        <f t="shared" si="89"/>
        <v>58.424595813154298</v>
      </c>
      <c r="AN300" s="199">
        <f t="shared" si="89"/>
        <v>0</v>
      </c>
      <c r="AO300" s="199">
        <f t="shared" si="89"/>
        <v>0</v>
      </c>
      <c r="AP300" s="199">
        <f t="shared" si="89"/>
        <v>0</v>
      </c>
      <c r="AQ300" s="199">
        <f t="shared" si="89"/>
        <v>0</v>
      </c>
      <c r="AR300" s="199">
        <f t="shared" si="89"/>
        <v>0</v>
      </c>
      <c r="AS300" s="199">
        <f t="shared" si="89"/>
        <v>0</v>
      </c>
      <c r="AT300" s="199">
        <f t="shared" si="90"/>
        <v>0</v>
      </c>
      <c r="AU300" s="199">
        <f t="shared" si="90"/>
        <v>0</v>
      </c>
      <c r="AV300" s="199">
        <f t="shared" si="90"/>
        <v>0</v>
      </c>
      <c r="AW300" s="199">
        <f t="shared" si="90"/>
        <v>0</v>
      </c>
      <c r="AX300" s="199">
        <f t="shared" si="90"/>
        <v>0</v>
      </c>
      <c r="AY300" s="199">
        <f t="shared" si="90"/>
        <v>6.1054205298417035</v>
      </c>
      <c r="AZ300" s="199">
        <f t="shared" si="90"/>
        <v>6.294688566266796</v>
      </c>
      <c r="BA300" s="199">
        <f t="shared" si="90"/>
        <v>25.959295647284264</v>
      </c>
      <c r="BB300" s="199">
        <f t="shared" si="90"/>
        <v>26.764033812350075</v>
      </c>
      <c r="BC300" s="199">
        <f t="shared" si="90"/>
        <v>0</v>
      </c>
      <c r="BD300" s="199">
        <f t="shared" si="91"/>
        <v>0</v>
      </c>
      <c r="BE300" s="199">
        <f t="shared" si="91"/>
        <v>0</v>
      </c>
      <c r="BF300" s="199">
        <f t="shared" si="91"/>
        <v>0</v>
      </c>
      <c r="BG300" s="199">
        <f t="shared" si="91"/>
        <v>0</v>
      </c>
      <c r="BH300" s="199">
        <f t="shared" si="91"/>
        <v>0</v>
      </c>
      <c r="BI300" s="199">
        <f t="shared" si="91"/>
        <v>0</v>
      </c>
      <c r="BJ300" s="199">
        <f t="shared" si="91"/>
        <v>0</v>
      </c>
      <c r="BO300" s="201">
        <f t="shared" si="86"/>
        <v>-356.57206110999999</v>
      </c>
      <c r="BP300" s="2">
        <f>'LTP '!A110/1000000</f>
        <v>356.57206110999999</v>
      </c>
      <c r="BQ300" s="202">
        <f t="shared" si="87"/>
        <v>0</v>
      </c>
      <c r="BR300" s="219" t="s">
        <v>395</v>
      </c>
    </row>
    <row r="301" spans="1:70" x14ac:dyDescent="0.3">
      <c r="B301" s="2" t="s">
        <v>104</v>
      </c>
      <c r="C301" s="2" t="str">
        <f t="shared" si="92"/>
        <v>Whenuapai</v>
      </c>
      <c r="E301" s="2" t="s">
        <v>768</v>
      </c>
      <c r="W301" s="203">
        <f t="shared" si="93"/>
        <v>28.351283857241505</v>
      </c>
      <c r="X301" s="204">
        <f t="shared" si="94"/>
        <v>1.7672719196087494</v>
      </c>
      <c r="Z301" s="199">
        <f t="shared" ref="Z301:AI310" si="95">SUMIF($B$12:$B$276,$B301,Z$12:Z$276)</f>
        <v>0</v>
      </c>
      <c r="AA301" s="199">
        <f t="shared" si="95"/>
        <v>0</v>
      </c>
      <c r="AB301" s="199">
        <f t="shared" si="95"/>
        <v>0</v>
      </c>
      <c r="AC301" s="199">
        <f t="shared" si="95"/>
        <v>0</v>
      </c>
      <c r="AD301" s="199">
        <f t="shared" si="95"/>
        <v>0</v>
      </c>
      <c r="AE301" s="199">
        <f t="shared" si="95"/>
        <v>0</v>
      </c>
      <c r="AF301" s="199">
        <f t="shared" si="95"/>
        <v>0.17193033559769919</v>
      </c>
      <c r="AG301" s="199">
        <f t="shared" si="95"/>
        <v>1.5953415840110503</v>
      </c>
      <c r="AH301" s="199">
        <f t="shared" si="95"/>
        <v>0</v>
      </c>
      <c r="AI301" s="199">
        <f t="shared" si="95"/>
        <v>0</v>
      </c>
      <c r="AJ301" s="199">
        <f t="shared" ref="AJ301:AS310" si="96">SUMIF($B$12:$B$276,$B301,AJ$12:AJ$276)</f>
        <v>0.38852338842931355</v>
      </c>
      <c r="AK301" s="199">
        <f t="shared" si="96"/>
        <v>3.6051085212355996</v>
      </c>
      <c r="AL301" s="199">
        <f t="shared" si="96"/>
        <v>0</v>
      </c>
      <c r="AM301" s="199">
        <f t="shared" si="96"/>
        <v>0</v>
      </c>
      <c r="AN301" s="199">
        <f t="shared" si="96"/>
        <v>0</v>
      </c>
      <c r="AO301" s="199">
        <f t="shared" si="96"/>
        <v>0</v>
      </c>
      <c r="AP301" s="199">
        <f t="shared" si="96"/>
        <v>0</v>
      </c>
      <c r="AQ301" s="199">
        <f t="shared" si="96"/>
        <v>0.68392273114751223</v>
      </c>
      <c r="AR301" s="199">
        <f t="shared" si="96"/>
        <v>2.1931408280431888</v>
      </c>
      <c r="AS301" s="199">
        <f t="shared" si="96"/>
        <v>16.715237792296293</v>
      </c>
      <c r="AT301" s="199">
        <f t="shared" ref="AT301:BC310" si="97">SUMIF($B$12:$B$276,$B301,AT$12:AT$276)</f>
        <v>2.99807867648085</v>
      </c>
      <c r="AU301" s="199">
        <f t="shared" si="97"/>
        <v>0</v>
      </c>
      <c r="AV301" s="199">
        <f t="shared" si="97"/>
        <v>0</v>
      </c>
      <c r="AW301" s="199">
        <f t="shared" si="97"/>
        <v>0</v>
      </c>
      <c r="AX301" s="199">
        <f t="shared" si="97"/>
        <v>0</v>
      </c>
      <c r="AY301" s="199">
        <f t="shared" si="97"/>
        <v>0</v>
      </c>
      <c r="AZ301" s="199">
        <f t="shared" si="97"/>
        <v>0</v>
      </c>
      <c r="BA301" s="199">
        <f t="shared" si="97"/>
        <v>0</v>
      </c>
      <c r="BB301" s="199">
        <f t="shared" si="97"/>
        <v>0</v>
      </c>
      <c r="BC301" s="199">
        <f t="shared" si="97"/>
        <v>0</v>
      </c>
      <c r="BD301" s="199">
        <f t="shared" ref="BD301:BJ310" si="98">SUMIF($B$12:$B$276,$B301,BD$12:BD$276)</f>
        <v>0</v>
      </c>
      <c r="BE301" s="199">
        <f t="shared" si="98"/>
        <v>0</v>
      </c>
      <c r="BF301" s="199">
        <f t="shared" si="98"/>
        <v>0</v>
      </c>
      <c r="BG301" s="199">
        <f t="shared" si="98"/>
        <v>0</v>
      </c>
      <c r="BH301" s="199">
        <f t="shared" si="98"/>
        <v>0</v>
      </c>
      <c r="BI301" s="199">
        <f t="shared" si="98"/>
        <v>0</v>
      </c>
      <c r="BJ301" s="199">
        <f t="shared" si="98"/>
        <v>0</v>
      </c>
      <c r="BQ301" s="25">
        <f>SUM(BQ285:BQ300)</f>
        <v>96.953407639999995</v>
      </c>
      <c r="BR301" s="219" t="s">
        <v>413</v>
      </c>
    </row>
    <row r="302" spans="1:70" x14ac:dyDescent="0.3">
      <c r="B302" s="2" t="s">
        <v>196</v>
      </c>
      <c r="C302" s="2" t="str">
        <f t="shared" si="92"/>
        <v>ScottPt-BombPt</v>
      </c>
      <c r="E302" s="2" t="s">
        <v>768</v>
      </c>
      <c r="W302" s="203">
        <f t="shared" si="93"/>
        <v>11.055749157186479</v>
      </c>
      <c r="X302" s="204">
        <f t="shared" si="94"/>
        <v>3.5345438392174988</v>
      </c>
      <c r="Z302" s="199">
        <f t="shared" si="95"/>
        <v>0</v>
      </c>
      <c r="AA302" s="199">
        <f t="shared" si="95"/>
        <v>0</v>
      </c>
      <c r="AB302" s="199">
        <f t="shared" si="95"/>
        <v>0</v>
      </c>
      <c r="AC302" s="199">
        <f t="shared" si="95"/>
        <v>0</v>
      </c>
      <c r="AD302" s="199">
        <f t="shared" si="95"/>
        <v>0</v>
      </c>
      <c r="AE302" s="199">
        <f t="shared" si="95"/>
        <v>0</v>
      </c>
      <c r="AF302" s="199">
        <f t="shared" si="95"/>
        <v>0.34386067119539837</v>
      </c>
      <c r="AG302" s="199">
        <f t="shared" si="95"/>
        <v>3.1906831680221006</v>
      </c>
      <c r="AH302" s="199">
        <f t="shared" si="95"/>
        <v>0</v>
      </c>
      <c r="AI302" s="199">
        <f t="shared" si="95"/>
        <v>0</v>
      </c>
      <c r="AJ302" s="199">
        <f t="shared" si="96"/>
        <v>0</v>
      </c>
      <c r="AK302" s="199">
        <f t="shared" si="96"/>
        <v>0</v>
      </c>
      <c r="AL302" s="199">
        <f t="shared" si="96"/>
        <v>0</v>
      </c>
      <c r="AM302" s="199">
        <f t="shared" si="96"/>
        <v>0</v>
      </c>
      <c r="AN302" s="199">
        <f t="shared" si="96"/>
        <v>0</v>
      </c>
      <c r="AO302" s="199">
        <f t="shared" si="96"/>
        <v>0</v>
      </c>
      <c r="AP302" s="199">
        <f t="shared" si="96"/>
        <v>0</v>
      </c>
      <c r="AQ302" s="199">
        <f t="shared" si="96"/>
        <v>0</v>
      </c>
      <c r="AR302" s="199">
        <f t="shared" si="96"/>
        <v>0.70512433581308498</v>
      </c>
      <c r="AS302" s="199">
        <f t="shared" si="96"/>
        <v>0.72698319022329061</v>
      </c>
      <c r="AT302" s="199">
        <f t="shared" si="97"/>
        <v>2.99807867648085</v>
      </c>
      <c r="AU302" s="199">
        <f t="shared" si="97"/>
        <v>3.0910191154517563</v>
      </c>
      <c r="AV302" s="199">
        <f t="shared" si="97"/>
        <v>0</v>
      </c>
      <c r="AW302" s="199">
        <f t="shared" si="97"/>
        <v>0</v>
      </c>
      <c r="AX302" s="199">
        <f t="shared" si="97"/>
        <v>0</v>
      </c>
      <c r="AY302" s="199">
        <f t="shared" si="97"/>
        <v>0</v>
      </c>
      <c r="AZ302" s="199">
        <f t="shared" si="97"/>
        <v>0</v>
      </c>
      <c r="BA302" s="199">
        <f t="shared" si="97"/>
        <v>0</v>
      </c>
      <c r="BB302" s="199">
        <f t="shared" si="97"/>
        <v>0</v>
      </c>
      <c r="BC302" s="199">
        <f t="shared" si="97"/>
        <v>0</v>
      </c>
      <c r="BD302" s="199">
        <f t="shared" si="98"/>
        <v>0</v>
      </c>
      <c r="BE302" s="199">
        <f t="shared" si="98"/>
        <v>0</v>
      </c>
      <c r="BF302" s="199">
        <f t="shared" si="98"/>
        <v>0</v>
      </c>
      <c r="BG302" s="199">
        <f t="shared" si="98"/>
        <v>0</v>
      </c>
      <c r="BH302" s="199">
        <f t="shared" si="98"/>
        <v>0</v>
      </c>
      <c r="BI302" s="199">
        <f t="shared" si="98"/>
        <v>0</v>
      </c>
      <c r="BJ302" s="199">
        <f t="shared" si="98"/>
        <v>0</v>
      </c>
    </row>
    <row r="303" spans="1:70" x14ac:dyDescent="0.3">
      <c r="B303" s="2" t="s">
        <v>102</v>
      </c>
      <c r="C303" s="2" t="str">
        <f t="shared" si="92"/>
        <v>Redhills</v>
      </c>
      <c r="E303" s="2" t="s">
        <v>768</v>
      </c>
      <c r="W303" s="203">
        <f t="shared" si="93"/>
        <v>65.846435323147944</v>
      </c>
      <c r="X303" s="204">
        <f t="shared" si="94"/>
        <v>16.164453824338889</v>
      </c>
      <c r="Z303" s="199">
        <f t="shared" si="95"/>
        <v>0</v>
      </c>
      <c r="AA303" s="199">
        <f t="shared" si="95"/>
        <v>0</v>
      </c>
      <c r="AB303" s="199">
        <f t="shared" si="95"/>
        <v>0.05</v>
      </c>
      <c r="AC303" s="199">
        <f t="shared" si="95"/>
        <v>4.4798726164317868</v>
      </c>
      <c r="AD303" s="199">
        <f t="shared" si="95"/>
        <v>3.6392986675411723</v>
      </c>
      <c r="AE303" s="199">
        <f t="shared" si="95"/>
        <v>0</v>
      </c>
      <c r="AF303" s="199">
        <f t="shared" si="95"/>
        <v>3.4386067119539834</v>
      </c>
      <c r="AG303" s="199">
        <f t="shared" si="95"/>
        <v>0.35452035200245574</v>
      </c>
      <c r="AH303" s="199">
        <f t="shared" si="95"/>
        <v>3.2895943462307864</v>
      </c>
      <c r="AI303" s="199">
        <f t="shared" si="95"/>
        <v>0.91256113017870288</v>
      </c>
      <c r="AJ303" s="199">
        <f t="shared" si="96"/>
        <v>4.4375610210780652</v>
      </c>
      <c r="AK303" s="199">
        <f t="shared" si="96"/>
        <v>5.8829056333366472</v>
      </c>
      <c r="AL303" s="199">
        <f t="shared" si="96"/>
        <v>2.7613940320643908</v>
      </c>
      <c r="AM303" s="199">
        <f t="shared" si="96"/>
        <v>4.2578775098234605</v>
      </c>
      <c r="AN303" s="199">
        <f t="shared" si="96"/>
        <v>4.6093652982593865</v>
      </c>
      <c r="AO303" s="199">
        <f t="shared" si="96"/>
        <v>6.5626387167932094</v>
      </c>
      <c r="AP303" s="199">
        <f t="shared" si="96"/>
        <v>5.3296210396368568</v>
      </c>
      <c r="AQ303" s="199">
        <f t="shared" si="96"/>
        <v>5.0137476357937896</v>
      </c>
      <c r="AR303" s="199">
        <f t="shared" si="96"/>
        <v>3.3165028406623747</v>
      </c>
      <c r="AS303" s="199">
        <f t="shared" si="96"/>
        <v>7.5103677713608734</v>
      </c>
      <c r="AT303" s="199">
        <f t="shared" si="97"/>
        <v>0</v>
      </c>
      <c r="AU303" s="199">
        <f t="shared" si="97"/>
        <v>0</v>
      </c>
      <c r="AV303" s="199">
        <f t="shared" si="97"/>
        <v>0</v>
      </c>
      <c r="AW303" s="199">
        <f t="shared" si="97"/>
        <v>0</v>
      </c>
      <c r="AX303" s="199">
        <f t="shared" si="97"/>
        <v>0</v>
      </c>
      <c r="AY303" s="199">
        <f t="shared" si="97"/>
        <v>0</v>
      </c>
      <c r="AZ303" s="199">
        <f t="shared" si="97"/>
        <v>0</v>
      </c>
      <c r="BA303" s="199">
        <f t="shared" si="97"/>
        <v>0</v>
      </c>
      <c r="BB303" s="199">
        <f t="shared" si="97"/>
        <v>0</v>
      </c>
      <c r="BC303" s="199">
        <f t="shared" si="97"/>
        <v>0</v>
      </c>
      <c r="BD303" s="199">
        <f t="shared" si="98"/>
        <v>0</v>
      </c>
      <c r="BE303" s="199">
        <f t="shared" si="98"/>
        <v>0</v>
      </c>
      <c r="BF303" s="199">
        <f t="shared" si="98"/>
        <v>0</v>
      </c>
      <c r="BG303" s="199">
        <f t="shared" si="98"/>
        <v>0</v>
      </c>
      <c r="BH303" s="199">
        <f t="shared" si="98"/>
        <v>0</v>
      </c>
      <c r="BI303" s="199">
        <f t="shared" si="98"/>
        <v>0</v>
      </c>
      <c r="BJ303" s="199">
        <f t="shared" si="98"/>
        <v>0</v>
      </c>
    </row>
    <row r="304" spans="1:70" x14ac:dyDescent="0.3">
      <c r="B304" s="2" t="s">
        <v>197</v>
      </c>
      <c r="C304" s="2" t="str">
        <f>C301</f>
        <v>Whenuapai</v>
      </c>
      <c r="E304" s="2" t="s">
        <v>768</v>
      </c>
      <c r="W304" s="203">
        <f t="shared" si="93"/>
        <v>104.53038130722337</v>
      </c>
      <c r="X304" s="204">
        <f t="shared" si="94"/>
        <v>0</v>
      </c>
      <c r="Z304" s="199">
        <f t="shared" si="95"/>
        <v>0</v>
      </c>
      <c r="AA304" s="199">
        <f t="shared" si="95"/>
        <v>0</v>
      </c>
      <c r="AB304" s="199">
        <f t="shared" si="95"/>
        <v>0</v>
      </c>
      <c r="AC304" s="199">
        <f t="shared" si="95"/>
        <v>0</v>
      </c>
      <c r="AD304" s="199">
        <f t="shared" si="95"/>
        <v>0</v>
      </c>
      <c r="AE304" s="199">
        <f t="shared" si="95"/>
        <v>0</v>
      </c>
      <c r="AF304" s="199">
        <f t="shared" si="95"/>
        <v>0</v>
      </c>
      <c r="AG304" s="199">
        <f t="shared" si="95"/>
        <v>0</v>
      </c>
      <c r="AH304" s="199">
        <f t="shared" si="95"/>
        <v>0</v>
      </c>
      <c r="AI304" s="199">
        <f t="shared" si="95"/>
        <v>0</v>
      </c>
      <c r="AJ304" s="199">
        <f t="shared" si="96"/>
        <v>0</v>
      </c>
      <c r="AK304" s="199">
        <f t="shared" si="96"/>
        <v>0</v>
      </c>
      <c r="AL304" s="199">
        <f t="shared" si="96"/>
        <v>0</v>
      </c>
      <c r="AM304" s="199">
        <f t="shared" si="96"/>
        <v>0.60530237401901021</v>
      </c>
      <c r="AN304" s="199">
        <f t="shared" si="96"/>
        <v>0.62406674761359948</v>
      </c>
      <c r="AO304" s="199">
        <f t="shared" si="96"/>
        <v>2.5736512671584841</v>
      </c>
      <c r="AP304" s="199">
        <f t="shared" si="96"/>
        <v>2.6534344564403969</v>
      </c>
      <c r="AQ304" s="199">
        <f t="shared" si="96"/>
        <v>0</v>
      </c>
      <c r="AR304" s="199">
        <f t="shared" si="96"/>
        <v>4.4640494766903114</v>
      </c>
      <c r="AS304" s="199">
        <f t="shared" si="96"/>
        <v>41.421915094209396</v>
      </c>
      <c r="AT304" s="199">
        <f t="shared" si="97"/>
        <v>0</v>
      </c>
      <c r="AU304" s="199">
        <f t="shared" si="97"/>
        <v>0</v>
      </c>
      <c r="AV304" s="199">
        <f t="shared" si="97"/>
        <v>0</v>
      </c>
      <c r="AW304" s="199">
        <f t="shared" si="97"/>
        <v>0</v>
      </c>
      <c r="AX304" s="199">
        <f t="shared" si="97"/>
        <v>0</v>
      </c>
      <c r="AY304" s="199">
        <f t="shared" si="97"/>
        <v>0</v>
      </c>
      <c r="AZ304" s="199">
        <f t="shared" si="97"/>
        <v>0</v>
      </c>
      <c r="BA304" s="199">
        <f t="shared" si="97"/>
        <v>0</v>
      </c>
      <c r="BB304" s="199">
        <f t="shared" si="97"/>
        <v>0</v>
      </c>
      <c r="BC304" s="199">
        <f t="shared" si="97"/>
        <v>0</v>
      </c>
      <c r="BD304" s="199">
        <f t="shared" si="98"/>
        <v>0</v>
      </c>
      <c r="BE304" s="199">
        <f t="shared" si="98"/>
        <v>0</v>
      </c>
      <c r="BF304" s="199">
        <f t="shared" si="98"/>
        <v>0</v>
      </c>
      <c r="BG304" s="199">
        <f t="shared" si="98"/>
        <v>5.0351233858422608</v>
      </c>
      <c r="BH304" s="199">
        <f t="shared" si="98"/>
        <v>37.527125071194675</v>
      </c>
      <c r="BI304" s="199">
        <f t="shared" si="98"/>
        <v>4.7393960778213797</v>
      </c>
      <c r="BJ304" s="199">
        <f t="shared" si="98"/>
        <v>4.8863173562338416</v>
      </c>
    </row>
    <row r="305" spans="2:62" x14ac:dyDescent="0.3">
      <c r="B305" s="2" t="s">
        <v>198</v>
      </c>
      <c r="C305" s="2" t="str">
        <f t="shared" si="92"/>
        <v>West</v>
      </c>
      <c r="E305" s="2" t="s">
        <v>772</v>
      </c>
      <c r="G305" s="2" t="s">
        <v>776</v>
      </c>
      <c r="W305" s="203">
        <f t="shared" si="93"/>
        <v>5.88652</v>
      </c>
      <c r="X305" s="204">
        <f t="shared" si="94"/>
        <v>5.88652</v>
      </c>
      <c r="Z305" s="199">
        <f t="shared" si="95"/>
        <v>0.28659800000000002</v>
      </c>
      <c r="AA305" s="199">
        <f t="shared" si="95"/>
        <v>0.05</v>
      </c>
      <c r="AB305" s="199">
        <f t="shared" si="95"/>
        <v>0.15</v>
      </c>
      <c r="AC305" s="199">
        <f t="shared" si="95"/>
        <v>0.2</v>
      </c>
      <c r="AD305" s="199">
        <f t="shared" si="95"/>
        <v>1.6878820000000001</v>
      </c>
      <c r="AE305" s="199">
        <f t="shared" si="95"/>
        <v>0.51204000000000005</v>
      </c>
      <c r="AF305" s="199">
        <f t="shared" si="95"/>
        <v>3</v>
      </c>
      <c r="AG305" s="199">
        <f t="shared" si="95"/>
        <v>0</v>
      </c>
      <c r="AH305" s="199">
        <f t="shared" si="95"/>
        <v>0</v>
      </c>
      <c r="AI305" s="199">
        <f t="shared" si="95"/>
        <v>0</v>
      </c>
      <c r="AJ305" s="199">
        <f t="shared" si="96"/>
        <v>0</v>
      </c>
      <c r="AK305" s="199">
        <f t="shared" si="96"/>
        <v>0</v>
      </c>
      <c r="AL305" s="199">
        <f t="shared" si="96"/>
        <v>0</v>
      </c>
      <c r="AM305" s="199">
        <f t="shared" si="96"/>
        <v>0</v>
      </c>
      <c r="AN305" s="199">
        <f t="shared" si="96"/>
        <v>0</v>
      </c>
      <c r="AO305" s="199">
        <f t="shared" si="96"/>
        <v>0</v>
      </c>
      <c r="AP305" s="199">
        <f t="shared" si="96"/>
        <v>0</v>
      </c>
      <c r="AQ305" s="199">
        <f t="shared" si="96"/>
        <v>0</v>
      </c>
      <c r="AR305" s="199">
        <f t="shared" si="96"/>
        <v>0</v>
      </c>
      <c r="AS305" s="199">
        <f t="shared" si="96"/>
        <v>0</v>
      </c>
      <c r="AT305" s="199">
        <f t="shared" si="97"/>
        <v>0</v>
      </c>
      <c r="AU305" s="199">
        <f t="shared" si="97"/>
        <v>0</v>
      </c>
      <c r="AV305" s="199">
        <f t="shared" si="97"/>
        <v>0</v>
      </c>
      <c r="AW305" s="199">
        <f t="shared" si="97"/>
        <v>0</v>
      </c>
      <c r="AX305" s="199">
        <f t="shared" si="97"/>
        <v>0</v>
      </c>
      <c r="AY305" s="199">
        <f t="shared" si="97"/>
        <v>0</v>
      </c>
      <c r="AZ305" s="199">
        <f t="shared" si="97"/>
        <v>0</v>
      </c>
      <c r="BA305" s="199">
        <f t="shared" si="97"/>
        <v>0</v>
      </c>
      <c r="BB305" s="199">
        <f t="shared" si="97"/>
        <v>0</v>
      </c>
      <c r="BC305" s="199">
        <f t="shared" si="97"/>
        <v>0</v>
      </c>
      <c r="BD305" s="199">
        <f t="shared" si="98"/>
        <v>0</v>
      </c>
      <c r="BE305" s="199">
        <f t="shared" si="98"/>
        <v>0</v>
      </c>
      <c r="BF305" s="199">
        <f t="shared" si="98"/>
        <v>0</v>
      </c>
      <c r="BG305" s="199">
        <f t="shared" si="98"/>
        <v>0</v>
      </c>
      <c r="BH305" s="199">
        <f t="shared" si="98"/>
        <v>0</v>
      </c>
      <c r="BI305" s="199">
        <f t="shared" si="98"/>
        <v>0</v>
      </c>
      <c r="BJ305" s="199">
        <f t="shared" si="98"/>
        <v>0</v>
      </c>
    </row>
    <row r="306" spans="2:62" x14ac:dyDescent="0.3">
      <c r="B306" s="2" t="s">
        <v>199</v>
      </c>
      <c r="C306" s="2" t="str">
        <f t="shared" si="92"/>
        <v>Roskill</v>
      </c>
      <c r="E306" s="2" t="s">
        <v>778</v>
      </c>
      <c r="G306" s="3">
        <v>0.3</v>
      </c>
      <c r="H306" s="2" t="s">
        <v>780</v>
      </c>
      <c r="W306" s="203">
        <f t="shared" si="93"/>
        <v>10.958391442788162</v>
      </c>
      <c r="X306" s="204">
        <f t="shared" si="94"/>
        <v>10.958391442788162</v>
      </c>
      <c r="Z306" s="199">
        <f t="shared" si="95"/>
        <v>0.15000000000000002</v>
      </c>
      <c r="AA306" s="199">
        <f t="shared" si="95"/>
        <v>1.1499999999999999</v>
      </c>
      <c r="AB306" s="199">
        <f t="shared" si="95"/>
        <v>1.4</v>
      </c>
      <c r="AC306" s="199">
        <f t="shared" si="95"/>
        <v>0</v>
      </c>
      <c r="AD306" s="199">
        <f t="shared" si="95"/>
        <v>0</v>
      </c>
      <c r="AE306" s="199">
        <f t="shared" si="95"/>
        <v>2.6972135357225984</v>
      </c>
      <c r="AF306" s="199">
        <f t="shared" si="95"/>
        <v>5.5611779070655656</v>
      </c>
      <c r="AG306" s="199">
        <f t="shared" si="95"/>
        <v>0</v>
      </c>
      <c r="AH306" s="199">
        <f t="shared" si="95"/>
        <v>0</v>
      </c>
      <c r="AI306" s="199">
        <f t="shared" si="95"/>
        <v>0</v>
      </c>
      <c r="AJ306" s="199">
        <f t="shared" si="96"/>
        <v>0</v>
      </c>
      <c r="AK306" s="199">
        <f t="shared" si="96"/>
        <v>0</v>
      </c>
      <c r="AL306" s="199">
        <f t="shared" si="96"/>
        <v>0</v>
      </c>
      <c r="AM306" s="199">
        <f t="shared" si="96"/>
        <v>0</v>
      </c>
      <c r="AN306" s="199">
        <f t="shared" si="96"/>
        <v>0</v>
      </c>
      <c r="AO306" s="199">
        <f t="shared" si="96"/>
        <v>0</v>
      </c>
      <c r="AP306" s="199">
        <f t="shared" si="96"/>
        <v>0</v>
      </c>
      <c r="AQ306" s="199">
        <f t="shared" si="96"/>
        <v>0</v>
      </c>
      <c r="AR306" s="199">
        <f t="shared" si="96"/>
        <v>0</v>
      </c>
      <c r="AS306" s="199">
        <f t="shared" si="96"/>
        <v>0</v>
      </c>
      <c r="AT306" s="199">
        <f t="shared" si="97"/>
        <v>0</v>
      </c>
      <c r="AU306" s="199">
        <f t="shared" si="97"/>
        <v>0</v>
      </c>
      <c r="AV306" s="199">
        <f t="shared" si="97"/>
        <v>0</v>
      </c>
      <c r="AW306" s="199">
        <f t="shared" si="97"/>
        <v>0</v>
      </c>
      <c r="AX306" s="199">
        <f t="shared" si="97"/>
        <v>0</v>
      </c>
      <c r="AY306" s="199">
        <f t="shared" si="97"/>
        <v>0</v>
      </c>
      <c r="AZ306" s="199">
        <f t="shared" si="97"/>
        <v>0</v>
      </c>
      <c r="BA306" s="199">
        <f t="shared" si="97"/>
        <v>0</v>
      </c>
      <c r="BB306" s="199">
        <f t="shared" si="97"/>
        <v>0</v>
      </c>
      <c r="BC306" s="199">
        <f t="shared" si="97"/>
        <v>0</v>
      </c>
      <c r="BD306" s="199">
        <f t="shared" si="98"/>
        <v>0</v>
      </c>
      <c r="BE306" s="199">
        <f t="shared" si="98"/>
        <v>0</v>
      </c>
      <c r="BF306" s="199">
        <f t="shared" si="98"/>
        <v>0</v>
      </c>
      <c r="BG306" s="199">
        <f t="shared" si="98"/>
        <v>0</v>
      </c>
      <c r="BH306" s="199">
        <f t="shared" si="98"/>
        <v>0</v>
      </c>
      <c r="BI306" s="199">
        <f t="shared" si="98"/>
        <v>0</v>
      </c>
      <c r="BJ306" s="199">
        <f t="shared" si="98"/>
        <v>0</v>
      </c>
    </row>
    <row r="307" spans="2:62" x14ac:dyDescent="0.3">
      <c r="B307" s="2" t="s">
        <v>116</v>
      </c>
      <c r="C307" s="2" t="str">
        <f t="shared" si="92"/>
        <v>Tamaki</v>
      </c>
      <c r="E307" s="2" t="s">
        <v>778</v>
      </c>
      <c r="G307" s="3">
        <v>0.3</v>
      </c>
      <c r="H307" s="2" t="s">
        <v>780</v>
      </c>
      <c r="W307" s="203">
        <f t="shared" si="93"/>
        <v>46.140308856880843</v>
      </c>
      <c r="X307" s="204">
        <f t="shared" si="94"/>
        <v>46.140308856880843</v>
      </c>
      <c r="Z307" s="199">
        <f t="shared" si="95"/>
        <v>4.0484999999999998</v>
      </c>
      <c r="AA307" s="199">
        <f t="shared" si="95"/>
        <v>11.636605000000001</v>
      </c>
      <c r="AB307" s="199">
        <f t="shared" si="95"/>
        <v>4.05</v>
      </c>
      <c r="AC307" s="199">
        <f t="shared" si="95"/>
        <v>1</v>
      </c>
      <c r="AD307" s="199">
        <f t="shared" si="95"/>
        <v>2.9554580791422405</v>
      </c>
      <c r="AE307" s="199">
        <f t="shared" si="95"/>
        <v>4.7406071460118078</v>
      </c>
      <c r="AF307" s="199">
        <f t="shared" si="95"/>
        <v>2.8959756677212631</v>
      </c>
      <c r="AG307" s="199">
        <f t="shared" si="95"/>
        <v>4.4356784892430605</v>
      </c>
      <c r="AH307" s="199">
        <f t="shared" si="95"/>
        <v>3.5681826180304048</v>
      </c>
      <c r="AI307" s="199">
        <f t="shared" si="95"/>
        <v>6.8093018567320618</v>
      </c>
      <c r="AJ307" s="199">
        <f t="shared" si="96"/>
        <v>0</v>
      </c>
      <c r="AK307" s="199">
        <f t="shared" si="96"/>
        <v>0</v>
      </c>
      <c r="AL307" s="199">
        <f t="shared" si="96"/>
        <v>0</v>
      </c>
      <c r="AM307" s="199">
        <f t="shared" si="96"/>
        <v>0</v>
      </c>
      <c r="AN307" s="199">
        <f t="shared" si="96"/>
        <v>0</v>
      </c>
      <c r="AO307" s="199">
        <f t="shared" si="96"/>
        <v>0</v>
      </c>
      <c r="AP307" s="199">
        <f t="shared" si="96"/>
        <v>0</v>
      </c>
      <c r="AQ307" s="199">
        <f t="shared" si="96"/>
        <v>0</v>
      </c>
      <c r="AR307" s="199">
        <f t="shared" si="96"/>
        <v>0</v>
      </c>
      <c r="AS307" s="199">
        <f t="shared" si="96"/>
        <v>0</v>
      </c>
      <c r="AT307" s="199">
        <f t="shared" si="97"/>
        <v>0</v>
      </c>
      <c r="AU307" s="199">
        <f t="shared" si="97"/>
        <v>0</v>
      </c>
      <c r="AV307" s="199">
        <f t="shared" si="97"/>
        <v>0</v>
      </c>
      <c r="AW307" s="199">
        <f t="shared" si="97"/>
        <v>0</v>
      </c>
      <c r="AX307" s="199">
        <f t="shared" si="97"/>
        <v>0</v>
      </c>
      <c r="AY307" s="199">
        <f t="shared" si="97"/>
        <v>0</v>
      </c>
      <c r="AZ307" s="199">
        <f t="shared" si="97"/>
        <v>0</v>
      </c>
      <c r="BA307" s="199">
        <f t="shared" si="97"/>
        <v>0</v>
      </c>
      <c r="BB307" s="199">
        <f t="shared" si="97"/>
        <v>0</v>
      </c>
      <c r="BC307" s="199">
        <f t="shared" si="97"/>
        <v>0</v>
      </c>
      <c r="BD307" s="199">
        <f t="shared" si="98"/>
        <v>0</v>
      </c>
      <c r="BE307" s="199">
        <f t="shared" si="98"/>
        <v>0</v>
      </c>
      <c r="BF307" s="199">
        <f t="shared" si="98"/>
        <v>0</v>
      </c>
      <c r="BG307" s="199">
        <f t="shared" si="98"/>
        <v>0</v>
      </c>
      <c r="BH307" s="199">
        <f t="shared" si="98"/>
        <v>0</v>
      </c>
      <c r="BI307" s="199">
        <f t="shared" si="98"/>
        <v>0</v>
      </c>
      <c r="BJ307" s="199">
        <f t="shared" si="98"/>
        <v>0</v>
      </c>
    </row>
    <row r="308" spans="2:62" x14ac:dyDescent="0.3">
      <c r="B308" s="2" t="s">
        <v>203</v>
      </c>
      <c r="C308" s="2" t="str">
        <f t="shared" si="92"/>
        <v>Mangere</v>
      </c>
      <c r="E308" s="2" t="s">
        <v>778</v>
      </c>
      <c r="G308" s="3">
        <v>0.3</v>
      </c>
      <c r="H308" s="2" t="s">
        <v>780</v>
      </c>
      <c r="W308" s="203">
        <f t="shared" si="93"/>
        <v>25.697218013585722</v>
      </c>
      <c r="X308" s="204">
        <f t="shared" si="94"/>
        <v>25.697218013585722</v>
      </c>
      <c r="Z308" s="199">
        <f t="shared" si="95"/>
        <v>0.29646499999999998</v>
      </c>
      <c r="AA308" s="199">
        <f t="shared" si="95"/>
        <v>1.1499999999999999</v>
      </c>
      <c r="AB308" s="199">
        <f t="shared" si="95"/>
        <v>1.5</v>
      </c>
      <c r="AC308" s="199">
        <f t="shared" si="95"/>
        <v>0</v>
      </c>
      <c r="AD308" s="199">
        <f t="shared" si="95"/>
        <v>2.1472904267889925</v>
      </c>
      <c r="AE308" s="199">
        <f t="shared" si="95"/>
        <v>0.88361347901828746</v>
      </c>
      <c r="AF308" s="199">
        <f t="shared" si="95"/>
        <v>11.412638349729496</v>
      </c>
      <c r="AG308" s="199">
        <f t="shared" si="95"/>
        <v>1.4054286561175067</v>
      </c>
      <c r="AH308" s="199">
        <f t="shared" si="95"/>
        <v>3.3982186617092269</v>
      </c>
      <c r="AI308" s="199">
        <f t="shared" si="95"/>
        <v>3.5035634402222127</v>
      </c>
      <c r="AJ308" s="199">
        <f t="shared" si="96"/>
        <v>0</v>
      </c>
      <c r="AK308" s="199">
        <f t="shared" si="96"/>
        <v>0</v>
      </c>
      <c r="AL308" s="199">
        <f t="shared" si="96"/>
        <v>0</v>
      </c>
      <c r="AM308" s="199">
        <f t="shared" si="96"/>
        <v>0</v>
      </c>
      <c r="AN308" s="199">
        <f t="shared" si="96"/>
        <v>0</v>
      </c>
      <c r="AO308" s="199">
        <f t="shared" si="96"/>
        <v>0</v>
      </c>
      <c r="AP308" s="199">
        <f t="shared" si="96"/>
        <v>0</v>
      </c>
      <c r="AQ308" s="199">
        <f t="shared" si="96"/>
        <v>0</v>
      </c>
      <c r="AR308" s="199">
        <f t="shared" si="96"/>
        <v>0</v>
      </c>
      <c r="AS308" s="199">
        <f t="shared" si="96"/>
        <v>0</v>
      </c>
      <c r="AT308" s="199">
        <f t="shared" si="97"/>
        <v>0</v>
      </c>
      <c r="AU308" s="199">
        <f t="shared" si="97"/>
        <v>0</v>
      </c>
      <c r="AV308" s="199">
        <f t="shared" si="97"/>
        <v>0</v>
      </c>
      <c r="AW308" s="199">
        <f t="shared" si="97"/>
        <v>0</v>
      </c>
      <c r="AX308" s="199">
        <f t="shared" si="97"/>
        <v>0</v>
      </c>
      <c r="AY308" s="199">
        <f t="shared" si="97"/>
        <v>0</v>
      </c>
      <c r="AZ308" s="199">
        <f t="shared" si="97"/>
        <v>0</v>
      </c>
      <c r="BA308" s="199">
        <f t="shared" si="97"/>
        <v>0</v>
      </c>
      <c r="BB308" s="199">
        <f t="shared" si="97"/>
        <v>0</v>
      </c>
      <c r="BC308" s="199">
        <f t="shared" si="97"/>
        <v>0</v>
      </c>
      <c r="BD308" s="199">
        <f t="shared" si="98"/>
        <v>0</v>
      </c>
      <c r="BE308" s="199">
        <f t="shared" si="98"/>
        <v>0</v>
      </c>
      <c r="BF308" s="199">
        <f t="shared" si="98"/>
        <v>0</v>
      </c>
      <c r="BG308" s="199">
        <f t="shared" si="98"/>
        <v>0</v>
      </c>
      <c r="BH308" s="199">
        <f t="shared" si="98"/>
        <v>0</v>
      </c>
      <c r="BI308" s="199">
        <f t="shared" si="98"/>
        <v>0</v>
      </c>
      <c r="BJ308" s="199">
        <f t="shared" si="98"/>
        <v>0</v>
      </c>
    </row>
    <row r="309" spans="2:62" x14ac:dyDescent="0.3">
      <c r="B309" s="2" t="s">
        <v>200</v>
      </c>
      <c r="C309" s="2" t="str">
        <f t="shared" si="92"/>
        <v>Central</v>
      </c>
      <c r="E309" s="2" t="s">
        <v>788</v>
      </c>
      <c r="G309" s="3">
        <v>0.3</v>
      </c>
      <c r="H309" s="2" t="s">
        <v>779</v>
      </c>
      <c r="W309" s="203">
        <f t="shared" si="93"/>
        <v>1.3124124376824815</v>
      </c>
      <c r="X309" s="204">
        <f t="shared" si="94"/>
        <v>1.3124124376824815</v>
      </c>
      <c r="Z309" s="199">
        <f t="shared" si="95"/>
        <v>0</v>
      </c>
      <c r="AA309" s="199">
        <f t="shared" si="95"/>
        <v>0</v>
      </c>
      <c r="AB309" s="199">
        <f t="shared" si="95"/>
        <v>0</v>
      </c>
      <c r="AC309" s="199">
        <f t="shared" si="95"/>
        <v>0</v>
      </c>
      <c r="AD309" s="199">
        <f t="shared" si="95"/>
        <v>0</v>
      </c>
      <c r="AE309" s="199">
        <f t="shared" si="95"/>
        <v>0</v>
      </c>
      <c r="AF309" s="199">
        <f t="shared" si="95"/>
        <v>0.12304064432635238</v>
      </c>
      <c r="AG309" s="199">
        <f t="shared" si="95"/>
        <v>0.12685490430046928</v>
      </c>
      <c r="AH309" s="199">
        <f t="shared" si="95"/>
        <v>0.52314962533513532</v>
      </c>
      <c r="AI309" s="199">
        <f t="shared" si="95"/>
        <v>0.53936726372052446</v>
      </c>
      <c r="AJ309" s="199">
        <f t="shared" si="96"/>
        <v>0</v>
      </c>
      <c r="AK309" s="199">
        <f t="shared" si="96"/>
        <v>0</v>
      </c>
      <c r="AL309" s="199">
        <f t="shared" si="96"/>
        <v>0</v>
      </c>
      <c r="AM309" s="199">
        <f t="shared" si="96"/>
        <v>0</v>
      </c>
      <c r="AN309" s="199">
        <f t="shared" si="96"/>
        <v>0</v>
      </c>
      <c r="AO309" s="199">
        <f t="shared" si="96"/>
        <v>0</v>
      </c>
      <c r="AP309" s="199">
        <f t="shared" si="96"/>
        <v>0</v>
      </c>
      <c r="AQ309" s="199">
        <f t="shared" si="96"/>
        <v>0</v>
      </c>
      <c r="AR309" s="199">
        <f t="shared" si="96"/>
        <v>0</v>
      </c>
      <c r="AS309" s="199">
        <f t="shared" si="96"/>
        <v>0</v>
      </c>
      <c r="AT309" s="199">
        <f t="shared" si="97"/>
        <v>0</v>
      </c>
      <c r="AU309" s="199">
        <f t="shared" si="97"/>
        <v>0</v>
      </c>
      <c r="AV309" s="199">
        <f t="shared" si="97"/>
        <v>0</v>
      </c>
      <c r="AW309" s="199">
        <f t="shared" si="97"/>
        <v>0</v>
      </c>
      <c r="AX309" s="199">
        <f t="shared" si="97"/>
        <v>0</v>
      </c>
      <c r="AY309" s="199">
        <f t="shared" si="97"/>
        <v>0</v>
      </c>
      <c r="AZ309" s="199">
        <f t="shared" si="97"/>
        <v>0</v>
      </c>
      <c r="BA309" s="199">
        <f t="shared" si="97"/>
        <v>0</v>
      </c>
      <c r="BB309" s="199">
        <f t="shared" si="97"/>
        <v>0</v>
      </c>
      <c r="BC309" s="199">
        <f t="shared" si="97"/>
        <v>0</v>
      </c>
      <c r="BD309" s="199">
        <f t="shared" si="98"/>
        <v>0</v>
      </c>
      <c r="BE309" s="199">
        <f t="shared" si="98"/>
        <v>0</v>
      </c>
      <c r="BF309" s="199">
        <f t="shared" si="98"/>
        <v>0</v>
      </c>
      <c r="BG309" s="199">
        <f t="shared" si="98"/>
        <v>0</v>
      </c>
      <c r="BH309" s="199">
        <f t="shared" si="98"/>
        <v>0</v>
      </c>
      <c r="BI309" s="199">
        <f t="shared" si="98"/>
        <v>0</v>
      </c>
      <c r="BJ309" s="199">
        <f t="shared" si="98"/>
        <v>0</v>
      </c>
    </row>
    <row r="310" spans="2:62" x14ac:dyDescent="0.3">
      <c r="B310" s="2" t="s">
        <v>113</v>
      </c>
      <c r="C310" s="2" t="str">
        <f t="shared" si="92"/>
        <v>Flatbush</v>
      </c>
      <c r="E310" s="2" t="s">
        <v>789</v>
      </c>
      <c r="G310" s="2" t="s">
        <v>781</v>
      </c>
      <c r="W310" s="203">
        <f t="shared" si="93"/>
        <v>21.763036111046187</v>
      </c>
      <c r="X310" s="204">
        <f t="shared" si="94"/>
        <v>2.2349800000000002</v>
      </c>
      <c r="Z310" s="199">
        <f t="shared" si="95"/>
        <v>4.9000000000000002E-2</v>
      </c>
      <c r="AA310" s="199">
        <f t="shared" si="95"/>
        <v>0.97884300000000013</v>
      </c>
      <c r="AB310" s="199">
        <f t="shared" si="95"/>
        <v>1.2071369999999999</v>
      </c>
      <c r="AC310" s="199">
        <f t="shared" si="95"/>
        <v>0</v>
      </c>
      <c r="AD310" s="199">
        <f t="shared" si="95"/>
        <v>0</v>
      </c>
      <c r="AE310" s="199">
        <f t="shared" si="95"/>
        <v>0</v>
      </c>
      <c r="AF310" s="199">
        <f t="shared" si="95"/>
        <v>0</v>
      </c>
      <c r="AG310" s="199">
        <f t="shared" si="95"/>
        <v>0</v>
      </c>
      <c r="AH310" s="199">
        <f t="shared" si="95"/>
        <v>0</v>
      </c>
      <c r="AI310" s="199">
        <f t="shared" si="95"/>
        <v>0</v>
      </c>
      <c r="AJ310" s="199">
        <f t="shared" si="96"/>
        <v>0</v>
      </c>
      <c r="AK310" s="199">
        <f t="shared" si="96"/>
        <v>0</v>
      </c>
      <c r="AL310" s="199">
        <f t="shared" si="96"/>
        <v>0</v>
      </c>
      <c r="AM310" s="199">
        <f t="shared" si="96"/>
        <v>0.425787750982346</v>
      </c>
      <c r="AN310" s="199">
        <f t="shared" si="96"/>
        <v>3.9508845413651876</v>
      </c>
      <c r="AO310" s="199">
        <f t="shared" si="96"/>
        <v>0</v>
      </c>
      <c r="AP310" s="199">
        <f t="shared" si="96"/>
        <v>0.46662624255267565</v>
      </c>
      <c r="AQ310" s="199">
        <f t="shared" si="96"/>
        <v>4.3298249046462765</v>
      </c>
      <c r="AR310" s="199">
        <f t="shared" si="96"/>
        <v>0.49600549741003458</v>
      </c>
      <c r="AS310" s="199">
        <f t="shared" si="96"/>
        <v>5.1138166782974555</v>
      </c>
      <c r="AT310" s="199">
        <f t="shared" si="97"/>
        <v>4.7451104957922086</v>
      </c>
      <c r="AU310" s="199">
        <f t="shared" si="97"/>
        <v>0</v>
      </c>
      <c r="AV310" s="199">
        <f t="shared" si="97"/>
        <v>0</v>
      </c>
      <c r="AW310" s="199">
        <f t="shared" si="97"/>
        <v>0</v>
      </c>
      <c r="AX310" s="199">
        <f t="shared" si="97"/>
        <v>0</v>
      </c>
      <c r="AY310" s="199">
        <f t="shared" si="97"/>
        <v>0</v>
      </c>
      <c r="AZ310" s="199">
        <f t="shared" si="97"/>
        <v>0</v>
      </c>
      <c r="BA310" s="199">
        <f t="shared" si="97"/>
        <v>0</v>
      </c>
      <c r="BB310" s="199">
        <f t="shared" si="97"/>
        <v>0</v>
      </c>
      <c r="BC310" s="199">
        <f t="shared" si="97"/>
        <v>0</v>
      </c>
      <c r="BD310" s="199">
        <f t="shared" si="98"/>
        <v>0</v>
      </c>
      <c r="BE310" s="199">
        <f t="shared" si="98"/>
        <v>0</v>
      </c>
      <c r="BF310" s="199">
        <f t="shared" si="98"/>
        <v>0</v>
      </c>
      <c r="BG310" s="199">
        <f t="shared" si="98"/>
        <v>0</v>
      </c>
      <c r="BH310" s="199">
        <f t="shared" si="98"/>
        <v>0</v>
      </c>
      <c r="BI310" s="199">
        <f t="shared" si="98"/>
        <v>0</v>
      </c>
      <c r="BJ310" s="199">
        <f t="shared" si="98"/>
        <v>0</v>
      </c>
    </row>
    <row r="311" spans="2:62" x14ac:dyDescent="0.3">
      <c r="B311" s="2" t="s">
        <v>201</v>
      </c>
      <c r="C311" s="2" t="str">
        <f t="shared" si="92"/>
        <v>South (East)</v>
      </c>
      <c r="E311" s="2" t="s">
        <v>783</v>
      </c>
      <c r="F311" s="3">
        <v>0.8</v>
      </c>
      <c r="G311" s="3">
        <v>0.8</v>
      </c>
      <c r="I311" s="2" t="s">
        <v>782</v>
      </c>
      <c r="W311" s="203">
        <f t="shared" si="93"/>
        <v>3.0108190000000001</v>
      </c>
      <c r="X311" s="204">
        <f t="shared" si="94"/>
        <v>3.0108190000000001</v>
      </c>
      <c r="Z311" s="199">
        <f t="shared" ref="Z311:AI319" si="99">SUMIF($B$12:$B$276,$B311,Z$12:Z$276)</f>
        <v>0.125</v>
      </c>
      <c r="AA311" s="199">
        <f t="shared" si="99"/>
        <v>0.5</v>
      </c>
      <c r="AB311" s="199">
        <f t="shared" si="99"/>
        <v>2.3858190000000001</v>
      </c>
      <c r="AC311" s="199">
        <f t="shared" si="99"/>
        <v>0</v>
      </c>
      <c r="AD311" s="199">
        <f t="shared" si="99"/>
        <v>0</v>
      </c>
      <c r="AE311" s="199">
        <f t="shared" si="99"/>
        <v>0</v>
      </c>
      <c r="AF311" s="199">
        <f t="shared" si="99"/>
        <v>0</v>
      </c>
      <c r="AG311" s="199">
        <f t="shared" si="99"/>
        <v>0</v>
      </c>
      <c r="AH311" s="199">
        <f t="shared" si="99"/>
        <v>0</v>
      </c>
      <c r="AI311" s="199">
        <f t="shared" si="99"/>
        <v>0</v>
      </c>
      <c r="AJ311" s="199">
        <f t="shared" ref="AJ311:AS319" si="100">SUMIF($B$12:$B$276,$B311,AJ$12:AJ$276)</f>
        <v>0</v>
      </c>
      <c r="AK311" s="199">
        <f t="shared" si="100"/>
        <v>0</v>
      </c>
      <c r="AL311" s="199">
        <f t="shared" si="100"/>
        <v>0</v>
      </c>
      <c r="AM311" s="199">
        <f t="shared" si="100"/>
        <v>0</v>
      </c>
      <c r="AN311" s="199">
        <f t="shared" si="100"/>
        <v>0</v>
      </c>
      <c r="AO311" s="199">
        <f t="shared" si="100"/>
        <v>0</v>
      </c>
      <c r="AP311" s="199">
        <f t="shared" si="100"/>
        <v>0</v>
      </c>
      <c r="AQ311" s="199">
        <f t="shared" si="100"/>
        <v>0</v>
      </c>
      <c r="AR311" s="199">
        <f t="shared" si="100"/>
        <v>0</v>
      </c>
      <c r="AS311" s="199">
        <f t="shared" si="100"/>
        <v>0</v>
      </c>
      <c r="AT311" s="199">
        <f t="shared" ref="AT311:BC319" si="101">SUMIF($B$12:$B$276,$B311,AT$12:AT$276)</f>
        <v>0</v>
      </c>
      <c r="AU311" s="199">
        <f t="shared" si="101"/>
        <v>0</v>
      </c>
      <c r="AV311" s="199">
        <f t="shared" si="101"/>
        <v>0</v>
      </c>
      <c r="AW311" s="199">
        <f t="shared" si="101"/>
        <v>0</v>
      </c>
      <c r="AX311" s="199">
        <f t="shared" si="101"/>
        <v>0</v>
      </c>
      <c r="AY311" s="199">
        <f t="shared" si="101"/>
        <v>0</v>
      </c>
      <c r="AZ311" s="199">
        <f t="shared" si="101"/>
        <v>0</v>
      </c>
      <c r="BA311" s="199">
        <f t="shared" si="101"/>
        <v>0</v>
      </c>
      <c r="BB311" s="199">
        <f t="shared" si="101"/>
        <v>0</v>
      </c>
      <c r="BC311" s="199">
        <f t="shared" si="101"/>
        <v>0</v>
      </c>
      <c r="BD311" s="199">
        <f t="shared" ref="BD311:BJ319" si="102">SUMIF($B$12:$B$276,$B311,BD$12:BD$276)</f>
        <v>0</v>
      </c>
      <c r="BE311" s="199">
        <f t="shared" si="102"/>
        <v>0</v>
      </c>
      <c r="BF311" s="199">
        <f t="shared" si="102"/>
        <v>0</v>
      </c>
      <c r="BG311" s="199">
        <f t="shared" si="102"/>
        <v>0</v>
      </c>
      <c r="BH311" s="199">
        <f t="shared" si="102"/>
        <v>0</v>
      </c>
      <c r="BI311" s="199">
        <f t="shared" si="102"/>
        <v>0</v>
      </c>
      <c r="BJ311" s="199">
        <f t="shared" si="102"/>
        <v>0</v>
      </c>
    </row>
    <row r="312" spans="2:62" x14ac:dyDescent="0.3">
      <c r="B312" s="2" t="s">
        <v>202</v>
      </c>
      <c r="C312" s="2" t="str">
        <f t="shared" si="92"/>
        <v>South (West)</v>
      </c>
      <c r="E312" s="2" t="s">
        <v>768</v>
      </c>
      <c r="W312" s="203">
        <f t="shared" si="93"/>
        <v>4.5123491334103072</v>
      </c>
      <c r="X312" s="204">
        <f t="shared" si="94"/>
        <v>0</v>
      </c>
      <c r="Z312" s="199">
        <f t="shared" si="99"/>
        <v>0</v>
      </c>
      <c r="AA312" s="199">
        <f t="shared" si="99"/>
        <v>0</v>
      </c>
      <c r="AB312" s="199">
        <f t="shared" si="99"/>
        <v>0</v>
      </c>
      <c r="AC312" s="199">
        <f t="shared" si="99"/>
        <v>0</v>
      </c>
      <c r="AD312" s="199">
        <f t="shared" si="99"/>
        <v>0</v>
      </c>
      <c r="AE312" s="199">
        <f t="shared" si="99"/>
        <v>0</v>
      </c>
      <c r="AF312" s="199">
        <f t="shared" si="99"/>
        <v>0</v>
      </c>
      <c r="AG312" s="199">
        <f t="shared" si="99"/>
        <v>0</v>
      </c>
      <c r="AH312" s="199">
        <f t="shared" si="99"/>
        <v>0</v>
      </c>
      <c r="AI312" s="199">
        <f t="shared" si="99"/>
        <v>0</v>
      </c>
      <c r="AJ312" s="199">
        <f t="shared" si="100"/>
        <v>0</v>
      </c>
      <c r="AK312" s="199">
        <f t="shared" si="100"/>
        <v>0</v>
      </c>
      <c r="AL312" s="199">
        <f t="shared" si="100"/>
        <v>0</v>
      </c>
      <c r="AM312" s="199">
        <f t="shared" si="100"/>
        <v>0</v>
      </c>
      <c r="AN312" s="199">
        <f t="shared" si="100"/>
        <v>0.43898717126279868</v>
      </c>
      <c r="AO312" s="199">
        <f t="shared" si="100"/>
        <v>4.0733619621475086</v>
      </c>
      <c r="AP312" s="199">
        <f t="shared" si="100"/>
        <v>0</v>
      </c>
      <c r="AQ312" s="199">
        <f t="shared" si="100"/>
        <v>0</v>
      </c>
      <c r="AR312" s="199">
        <f t="shared" si="100"/>
        <v>0</v>
      </c>
      <c r="AS312" s="199">
        <f t="shared" si="100"/>
        <v>0</v>
      </c>
      <c r="AT312" s="199">
        <f t="shared" si="101"/>
        <v>0</v>
      </c>
      <c r="AU312" s="199">
        <f t="shared" si="101"/>
        <v>0</v>
      </c>
      <c r="AV312" s="199">
        <f t="shared" si="101"/>
        <v>0</v>
      </c>
      <c r="AW312" s="199">
        <f t="shared" si="101"/>
        <v>0</v>
      </c>
      <c r="AX312" s="199">
        <f t="shared" si="101"/>
        <v>0</v>
      </c>
      <c r="AY312" s="199">
        <f t="shared" si="101"/>
        <v>0</v>
      </c>
      <c r="AZ312" s="199">
        <f t="shared" si="101"/>
        <v>0</v>
      </c>
      <c r="BA312" s="199">
        <f t="shared" si="101"/>
        <v>0</v>
      </c>
      <c r="BB312" s="199">
        <f t="shared" si="101"/>
        <v>0</v>
      </c>
      <c r="BC312" s="199">
        <f t="shared" si="101"/>
        <v>0</v>
      </c>
      <c r="BD312" s="199">
        <f t="shared" si="102"/>
        <v>0</v>
      </c>
      <c r="BE312" s="199">
        <f t="shared" si="102"/>
        <v>0</v>
      </c>
      <c r="BF312" s="199">
        <f t="shared" si="102"/>
        <v>0</v>
      </c>
      <c r="BG312" s="199">
        <f t="shared" si="102"/>
        <v>0</v>
      </c>
      <c r="BH312" s="199">
        <f t="shared" si="102"/>
        <v>0</v>
      </c>
      <c r="BI312" s="199">
        <f t="shared" si="102"/>
        <v>0</v>
      </c>
      <c r="BJ312" s="199">
        <f t="shared" si="102"/>
        <v>0</v>
      </c>
    </row>
    <row r="313" spans="2:62" x14ac:dyDescent="0.3">
      <c r="B313" s="2" t="s">
        <v>204</v>
      </c>
      <c r="C313" s="2" t="str">
        <f t="shared" si="92"/>
        <v>Takanini North</v>
      </c>
      <c r="E313" s="2" t="s">
        <v>768</v>
      </c>
      <c r="W313" s="203">
        <f t="shared" si="93"/>
        <v>76.366976073339657</v>
      </c>
      <c r="X313" s="204">
        <f t="shared" si="94"/>
        <v>0</v>
      </c>
      <c r="Z313" s="199">
        <f t="shared" si="99"/>
        <v>0</v>
      </c>
      <c r="AA313" s="199">
        <f t="shared" si="99"/>
        <v>0</v>
      </c>
      <c r="AB313" s="199">
        <f t="shared" si="99"/>
        <v>0</v>
      </c>
      <c r="AC313" s="199">
        <f t="shared" si="99"/>
        <v>0</v>
      </c>
      <c r="AD313" s="199">
        <f t="shared" si="99"/>
        <v>0</v>
      </c>
      <c r="AE313" s="199">
        <f t="shared" si="99"/>
        <v>0</v>
      </c>
      <c r="AF313" s="199">
        <f t="shared" si="99"/>
        <v>0</v>
      </c>
      <c r="AG313" s="199">
        <f t="shared" si="99"/>
        <v>0</v>
      </c>
      <c r="AH313" s="199">
        <f t="shared" si="99"/>
        <v>0</v>
      </c>
      <c r="AI313" s="199">
        <f t="shared" si="99"/>
        <v>0</v>
      </c>
      <c r="AJ313" s="199">
        <f t="shared" si="100"/>
        <v>0</v>
      </c>
      <c r="AK313" s="199">
        <f t="shared" si="100"/>
        <v>0</v>
      </c>
      <c r="AL313" s="199">
        <f t="shared" si="100"/>
        <v>0</v>
      </c>
      <c r="AM313" s="199">
        <f t="shared" si="100"/>
        <v>0</v>
      </c>
      <c r="AN313" s="199">
        <f t="shared" si="100"/>
        <v>0</v>
      </c>
      <c r="AO313" s="199">
        <f t="shared" si="100"/>
        <v>0</v>
      </c>
      <c r="AP313" s="199">
        <f t="shared" si="100"/>
        <v>0</v>
      </c>
      <c r="AQ313" s="199">
        <f t="shared" si="100"/>
        <v>0</v>
      </c>
      <c r="AR313" s="199">
        <f t="shared" si="100"/>
        <v>0</v>
      </c>
      <c r="AS313" s="199">
        <f t="shared" si="100"/>
        <v>0</v>
      </c>
      <c r="AT313" s="199">
        <f t="shared" si="101"/>
        <v>0</v>
      </c>
      <c r="AU313" s="199">
        <f t="shared" si="101"/>
        <v>0</v>
      </c>
      <c r="AV313" s="199">
        <f t="shared" si="101"/>
        <v>0</v>
      </c>
      <c r="AW313" s="199">
        <f t="shared" si="101"/>
        <v>0</v>
      </c>
      <c r="AX313" s="199">
        <f t="shared" si="101"/>
        <v>0</v>
      </c>
      <c r="AY313" s="199">
        <f t="shared" si="101"/>
        <v>0</v>
      </c>
      <c r="AZ313" s="199">
        <f t="shared" si="101"/>
        <v>0</v>
      </c>
      <c r="BA313" s="199">
        <f t="shared" si="101"/>
        <v>0</v>
      </c>
      <c r="BB313" s="199">
        <f t="shared" si="101"/>
        <v>0</v>
      </c>
      <c r="BC313" s="199">
        <f t="shared" si="101"/>
        <v>0</v>
      </c>
      <c r="BD313" s="199">
        <f t="shared" si="102"/>
        <v>0</v>
      </c>
      <c r="BE313" s="199">
        <f t="shared" si="102"/>
        <v>0</v>
      </c>
      <c r="BF313" s="199">
        <f t="shared" si="102"/>
        <v>0</v>
      </c>
      <c r="BG313" s="199">
        <f t="shared" si="102"/>
        <v>7.3873963873256248</v>
      </c>
      <c r="BH313" s="199">
        <f t="shared" si="102"/>
        <v>59.353866251958799</v>
      </c>
      <c r="BI313" s="199">
        <f t="shared" si="102"/>
        <v>4.7393960778213797</v>
      </c>
      <c r="BJ313" s="199">
        <f t="shared" si="102"/>
        <v>4.8863173562338416</v>
      </c>
    </row>
    <row r="314" spans="2:62" x14ac:dyDescent="0.3">
      <c r="B314" s="2" t="s">
        <v>205</v>
      </c>
      <c r="C314" s="2" t="str">
        <f t="shared" si="92"/>
        <v>Takanini South</v>
      </c>
      <c r="E314" s="2" t="s">
        <v>768</v>
      </c>
      <c r="W314" s="203">
        <f t="shared" si="93"/>
        <v>17.792269343763959</v>
      </c>
      <c r="X314" s="204">
        <f t="shared" si="94"/>
        <v>9.7325979496814625</v>
      </c>
      <c r="Z314" s="199">
        <f t="shared" si="99"/>
        <v>0.66098999999999997</v>
      </c>
      <c r="AA314" s="199">
        <f t="shared" si="99"/>
        <v>0.15</v>
      </c>
      <c r="AB314" s="199">
        <f t="shared" si="99"/>
        <v>0.4</v>
      </c>
      <c r="AC314" s="199">
        <f t="shared" si="99"/>
        <v>0.55000000000000004</v>
      </c>
      <c r="AD314" s="199">
        <f t="shared" si="99"/>
        <v>0.5199999999999998</v>
      </c>
      <c r="AE314" s="199">
        <f t="shared" si="99"/>
        <v>0</v>
      </c>
      <c r="AF314" s="199">
        <f t="shared" si="99"/>
        <v>1.5009549440350924</v>
      </c>
      <c r="AG314" s="199">
        <f t="shared" si="99"/>
        <v>5.9506530056463696</v>
      </c>
      <c r="AH314" s="199">
        <f t="shared" si="99"/>
        <v>0</v>
      </c>
      <c r="AI314" s="199">
        <f t="shared" si="99"/>
        <v>0</v>
      </c>
      <c r="AJ314" s="199">
        <f t="shared" si="100"/>
        <v>0</v>
      </c>
      <c r="AK314" s="199">
        <f t="shared" si="100"/>
        <v>0</v>
      </c>
      <c r="AL314" s="199">
        <f t="shared" si="100"/>
        <v>0</v>
      </c>
      <c r="AM314" s="199">
        <f t="shared" si="100"/>
        <v>0</v>
      </c>
      <c r="AN314" s="199">
        <f t="shared" si="100"/>
        <v>0</v>
      </c>
      <c r="AO314" s="199">
        <f t="shared" si="100"/>
        <v>0</v>
      </c>
      <c r="AP314" s="199">
        <f t="shared" si="100"/>
        <v>0</v>
      </c>
      <c r="AQ314" s="199">
        <f t="shared" si="100"/>
        <v>0</v>
      </c>
      <c r="AR314" s="199">
        <f t="shared" si="100"/>
        <v>0</v>
      </c>
      <c r="AS314" s="199">
        <f t="shared" si="100"/>
        <v>0</v>
      </c>
      <c r="AT314" s="199">
        <f t="shared" si="101"/>
        <v>0</v>
      </c>
      <c r="AU314" s="199">
        <f t="shared" si="101"/>
        <v>0</v>
      </c>
      <c r="AV314" s="199">
        <f t="shared" si="101"/>
        <v>0</v>
      </c>
      <c r="AW314" s="199">
        <f t="shared" si="101"/>
        <v>0</v>
      </c>
      <c r="AX314" s="199">
        <f t="shared" si="101"/>
        <v>0</v>
      </c>
      <c r="AY314" s="199">
        <f t="shared" si="101"/>
        <v>0</v>
      </c>
      <c r="AZ314" s="199">
        <f t="shared" si="101"/>
        <v>0</v>
      </c>
      <c r="BA314" s="199">
        <f t="shared" si="101"/>
        <v>0</v>
      </c>
      <c r="BB314" s="199">
        <f t="shared" si="101"/>
        <v>0</v>
      </c>
      <c r="BC314" s="199">
        <f t="shared" si="101"/>
        <v>0</v>
      </c>
      <c r="BD314" s="199">
        <f t="shared" si="102"/>
        <v>0</v>
      </c>
      <c r="BE314" s="199">
        <f t="shared" si="102"/>
        <v>0</v>
      </c>
      <c r="BF314" s="199">
        <f t="shared" si="102"/>
        <v>0</v>
      </c>
      <c r="BG314" s="199">
        <f t="shared" si="102"/>
        <v>0.78409100049445468</v>
      </c>
      <c r="BH314" s="199">
        <f t="shared" si="102"/>
        <v>7.2755803935880428</v>
      </c>
      <c r="BI314" s="199">
        <f t="shared" si="102"/>
        <v>0</v>
      </c>
      <c r="BJ314" s="199">
        <f t="shared" si="102"/>
        <v>0</v>
      </c>
    </row>
    <row r="315" spans="2:62" x14ac:dyDescent="0.3">
      <c r="B315" s="2" t="s">
        <v>135</v>
      </c>
      <c r="C315" s="2" t="str">
        <f t="shared" si="92"/>
        <v>Hingaia</v>
      </c>
      <c r="E315" s="2" t="s">
        <v>768</v>
      </c>
      <c r="W315" s="203">
        <f t="shared" si="93"/>
        <v>48.274013559428028</v>
      </c>
      <c r="X315" s="204">
        <f t="shared" si="94"/>
        <v>25.776696043673297</v>
      </c>
      <c r="Z315" s="199">
        <f t="shared" si="99"/>
        <v>0</v>
      </c>
      <c r="AA315" s="199">
        <f t="shared" si="99"/>
        <v>0</v>
      </c>
      <c r="AB315" s="199">
        <f t="shared" si="99"/>
        <v>0.30433215789906559</v>
      </c>
      <c r="AC315" s="199">
        <f t="shared" si="99"/>
        <v>2.8238980931454294</v>
      </c>
      <c r="AD315" s="199">
        <f t="shared" si="99"/>
        <v>0.32349321489254862</v>
      </c>
      <c r="AE315" s="199">
        <f t="shared" si="99"/>
        <v>1.0183476963165567</v>
      </c>
      <c r="AF315" s="199">
        <f t="shared" si="99"/>
        <v>2.7373285816549418</v>
      </c>
      <c r="AG315" s="199">
        <f t="shared" si="99"/>
        <v>13.426582433099163</v>
      </c>
      <c r="AH315" s="199">
        <f t="shared" si="99"/>
        <v>1.7511420957016526</v>
      </c>
      <c r="AI315" s="199">
        <f t="shared" si="99"/>
        <v>3.3915717709639397</v>
      </c>
      <c r="AJ315" s="199">
        <f t="shared" si="100"/>
        <v>0</v>
      </c>
      <c r="AK315" s="199">
        <f t="shared" si="100"/>
        <v>0</v>
      </c>
      <c r="AL315" s="199">
        <f t="shared" si="100"/>
        <v>0.41298520948821144</v>
      </c>
      <c r="AM315" s="199">
        <f t="shared" si="100"/>
        <v>4.6740850364087034</v>
      </c>
      <c r="AN315" s="199">
        <f t="shared" si="100"/>
        <v>7.8128741805496595</v>
      </c>
      <c r="AO315" s="199">
        <f t="shared" si="100"/>
        <v>0.45259577357194541</v>
      </c>
      <c r="AP315" s="199">
        <f t="shared" si="100"/>
        <v>4.1996361829740803</v>
      </c>
      <c r="AQ315" s="199">
        <f t="shared" si="100"/>
        <v>0.48109165607180859</v>
      </c>
      <c r="AR315" s="199">
        <f t="shared" si="100"/>
        <v>4.4640494766903114</v>
      </c>
      <c r="AS315" s="199">
        <f t="shared" si="100"/>
        <v>0</v>
      </c>
      <c r="AT315" s="199">
        <f t="shared" si="101"/>
        <v>0</v>
      </c>
      <c r="AU315" s="199">
        <f t="shared" si="101"/>
        <v>0</v>
      </c>
      <c r="AV315" s="199">
        <f t="shared" si="101"/>
        <v>0</v>
      </c>
      <c r="AW315" s="199">
        <f t="shared" si="101"/>
        <v>0</v>
      </c>
      <c r="AX315" s="199">
        <f t="shared" si="101"/>
        <v>0</v>
      </c>
      <c r="AY315" s="199">
        <f t="shared" si="101"/>
        <v>0</v>
      </c>
      <c r="AZ315" s="199">
        <f t="shared" si="101"/>
        <v>0</v>
      </c>
      <c r="BA315" s="199">
        <f t="shared" si="101"/>
        <v>0</v>
      </c>
      <c r="BB315" s="199">
        <f t="shared" si="101"/>
        <v>0</v>
      </c>
      <c r="BC315" s="199">
        <f t="shared" si="101"/>
        <v>0</v>
      </c>
      <c r="BD315" s="199">
        <f t="shared" si="102"/>
        <v>0</v>
      </c>
      <c r="BE315" s="199">
        <f t="shared" si="102"/>
        <v>0</v>
      </c>
      <c r="BF315" s="199">
        <f t="shared" si="102"/>
        <v>0</v>
      </c>
      <c r="BG315" s="199">
        <f t="shared" si="102"/>
        <v>0</v>
      </c>
      <c r="BH315" s="199">
        <f t="shared" si="102"/>
        <v>0</v>
      </c>
      <c r="BI315" s="199">
        <f t="shared" si="102"/>
        <v>0</v>
      </c>
      <c r="BJ315" s="199">
        <f t="shared" si="102"/>
        <v>0</v>
      </c>
    </row>
    <row r="316" spans="2:62" x14ac:dyDescent="0.3">
      <c r="B316" s="2" t="s">
        <v>206</v>
      </c>
      <c r="C316" s="2" t="str">
        <f t="shared" si="92"/>
        <v>Drury</v>
      </c>
      <c r="E316" s="2" t="s">
        <v>768</v>
      </c>
      <c r="G316" s="2">
        <f>0.4*W219/SUM(W219:W239)</f>
        <v>6.8444795791713538E-3</v>
      </c>
      <c r="H316" s="2" t="s">
        <v>795</v>
      </c>
      <c r="W316" s="203">
        <f t="shared" si="93"/>
        <v>259.13761252390714</v>
      </c>
      <c r="X316" s="204">
        <f t="shared" si="94"/>
        <v>26.85012670257229</v>
      </c>
      <c r="Z316" s="199">
        <f t="shared" si="99"/>
        <v>0</v>
      </c>
      <c r="AA316" s="199">
        <f t="shared" si="99"/>
        <v>0</v>
      </c>
      <c r="AB316" s="199">
        <f t="shared" si="99"/>
        <v>0.5766333561792546</v>
      </c>
      <c r="AC316" s="199">
        <f t="shared" si="99"/>
        <v>5.6148507085374959</v>
      </c>
      <c r="AD316" s="199">
        <f t="shared" si="99"/>
        <v>3.0647245101778764</v>
      </c>
      <c r="AE316" s="199">
        <f t="shared" si="99"/>
        <v>0.70225693978775527</v>
      </c>
      <c r="AF316" s="199">
        <f t="shared" si="99"/>
        <v>1.9246612490127621</v>
      </c>
      <c r="AG316" s="199">
        <f t="shared" si="99"/>
        <v>7.9203233387678864</v>
      </c>
      <c r="AH316" s="199">
        <f t="shared" si="99"/>
        <v>3.6551048291453183</v>
      </c>
      <c r="AI316" s="199">
        <f t="shared" si="99"/>
        <v>3.3915717709639397</v>
      </c>
      <c r="AJ316" s="199">
        <f t="shared" si="100"/>
        <v>0.38852338842931355</v>
      </c>
      <c r="AK316" s="199">
        <f t="shared" si="100"/>
        <v>3.6051085212356</v>
      </c>
      <c r="AL316" s="199">
        <f t="shared" si="100"/>
        <v>0.82597041897642287</v>
      </c>
      <c r="AM316" s="199">
        <f t="shared" si="100"/>
        <v>7.6641795176822285</v>
      </c>
      <c r="AN316" s="199">
        <f t="shared" si="100"/>
        <v>1.5020410901391967</v>
      </c>
      <c r="AO316" s="199">
        <f t="shared" si="100"/>
        <v>9.8861453314462047</v>
      </c>
      <c r="AP316" s="199">
        <f t="shared" si="100"/>
        <v>7.749742374800916</v>
      </c>
      <c r="AQ316" s="199">
        <f t="shared" si="100"/>
        <v>8.1173859575750456</v>
      </c>
      <c r="AR316" s="199">
        <f t="shared" si="100"/>
        <v>9.7645743069928237</v>
      </c>
      <c r="AS316" s="199">
        <f t="shared" si="100"/>
        <v>23.012175052338552</v>
      </c>
      <c r="AT316" s="199">
        <f t="shared" si="101"/>
        <v>0</v>
      </c>
      <c r="AU316" s="199">
        <f t="shared" si="101"/>
        <v>0</v>
      </c>
      <c r="AV316" s="199">
        <f t="shared" si="101"/>
        <v>10.376253910742891</v>
      </c>
      <c r="AW316" s="199">
        <f t="shared" si="101"/>
        <v>76.567463417905003</v>
      </c>
      <c r="AX316" s="199">
        <f t="shared" si="101"/>
        <v>10.162462157547257</v>
      </c>
      <c r="AY316" s="199">
        <f t="shared" si="101"/>
        <v>10.477498484431219</v>
      </c>
      <c r="AZ316" s="199">
        <f t="shared" si="101"/>
        <v>0</v>
      </c>
      <c r="BA316" s="199">
        <f t="shared" si="101"/>
        <v>0</v>
      </c>
      <c r="BB316" s="199">
        <f t="shared" si="101"/>
        <v>0</v>
      </c>
      <c r="BC316" s="199">
        <f t="shared" si="101"/>
        <v>0</v>
      </c>
      <c r="BD316" s="199">
        <f t="shared" si="102"/>
        <v>0</v>
      </c>
      <c r="BE316" s="199">
        <f t="shared" si="102"/>
        <v>0</v>
      </c>
      <c r="BF316" s="199">
        <f t="shared" si="102"/>
        <v>0</v>
      </c>
      <c r="BG316" s="199">
        <f t="shared" si="102"/>
        <v>5.0351233858422608</v>
      </c>
      <c r="BH316" s="199">
        <f t="shared" si="102"/>
        <v>37.527125071194675</v>
      </c>
      <c r="BI316" s="199">
        <f t="shared" si="102"/>
        <v>4.7393960778213797</v>
      </c>
      <c r="BJ316" s="199">
        <f t="shared" si="102"/>
        <v>4.8863173562338416</v>
      </c>
    </row>
    <row r="317" spans="2:62" x14ac:dyDescent="0.3">
      <c r="B317" s="2" t="s">
        <v>209</v>
      </c>
      <c r="C317" s="2" t="str">
        <f t="shared" si="92"/>
        <v>Rural SE</v>
      </c>
      <c r="E317" s="2" t="s">
        <v>791</v>
      </c>
      <c r="F317" s="3">
        <v>0.55000000000000004</v>
      </c>
      <c r="G317" s="116">
        <f>F317*SUM(X274:X275)/SUM(X272:X275)</f>
        <v>0.21619974127734404</v>
      </c>
      <c r="H317" s="2" t="s">
        <v>792</v>
      </c>
      <c r="W317" s="203">
        <f t="shared" si="93"/>
        <v>26.489902639260244</v>
      </c>
      <c r="X317" s="204">
        <f t="shared" si="94"/>
        <v>1.3840612400000001</v>
      </c>
      <c r="Z317" s="199">
        <f t="shared" si="99"/>
        <v>0.57500000000000007</v>
      </c>
      <c r="AA317" s="199">
        <f t="shared" si="99"/>
        <v>0.20571999999999999</v>
      </c>
      <c r="AB317" s="199">
        <f t="shared" si="99"/>
        <v>0.33334123999999998</v>
      </c>
      <c r="AC317" s="199">
        <f t="shared" si="99"/>
        <v>0.27</v>
      </c>
      <c r="AD317" s="199">
        <f t="shared" si="99"/>
        <v>0</v>
      </c>
      <c r="AE317" s="199">
        <f t="shared" si="99"/>
        <v>0</v>
      </c>
      <c r="AF317" s="199">
        <f t="shared" si="99"/>
        <v>0</v>
      </c>
      <c r="AG317" s="199">
        <f t="shared" si="99"/>
        <v>0</v>
      </c>
      <c r="AH317" s="199">
        <f t="shared" si="99"/>
        <v>0</v>
      </c>
      <c r="AI317" s="199">
        <f t="shared" si="99"/>
        <v>0</v>
      </c>
      <c r="AJ317" s="199">
        <f t="shared" si="100"/>
        <v>0</v>
      </c>
      <c r="AK317" s="199">
        <f t="shared" si="100"/>
        <v>0</v>
      </c>
      <c r="AL317" s="199">
        <f t="shared" si="100"/>
        <v>0</v>
      </c>
      <c r="AM317" s="199">
        <f t="shared" si="100"/>
        <v>0.425787750982346</v>
      </c>
      <c r="AN317" s="199">
        <f t="shared" si="100"/>
        <v>3.9508845413651876</v>
      </c>
      <c r="AO317" s="199">
        <f t="shared" si="100"/>
        <v>0</v>
      </c>
      <c r="AP317" s="199">
        <f t="shared" si="100"/>
        <v>0</v>
      </c>
      <c r="AQ317" s="199">
        <f t="shared" si="100"/>
        <v>0.96218331214361719</v>
      </c>
      <c r="AR317" s="199">
        <f t="shared" si="100"/>
        <v>8.9280989533806228</v>
      </c>
      <c r="AS317" s="199">
        <f t="shared" si="100"/>
        <v>0</v>
      </c>
      <c r="AT317" s="199">
        <f t="shared" si="101"/>
        <v>1.0544689990649352</v>
      </c>
      <c r="AU317" s="199">
        <f t="shared" si="101"/>
        <v>9.7844178423235331</v>
      </c>
      <c r="AV317" s="199">
        <f t="shared" si="101"/>
        <v>0</v>
      </c>
      <c r="AW317" s="199">
        <f t="shared" si="101"/>
        <v>0</v>
      </c>
      <c r="AX317" s="199">
        <f t="shared" si="101"/>
        <v>0</v>
      </c>
      <c r="AY317" s="199">
        <f t="shared" si="101"/>
        <v>0</v>
      </c>
      <c r="AZ317" s="199">
        <f t="shared" si="101"/>
        <v>0</v>
      </c>
      <c r="BA317" s="199">
        <f t="shared" si="101"/>
        <v>0</v>
      </c>
      <c r="BB317" s="199">
        <f t="shared" si="101"/>
        <v>0</v>
      </c>
      <c r="BC317" s="199">
        <f t="shared" si="101"/>
        <v>0</v>
      </c>
      <c r="BD317" s="199">
        <f t="shared" si="102"/>
        <v>0</v>
      </c>
      <c r="BE317" s="199">
        <f t="shared" si="102"/>
        <v>0</v>
      </c>
      <c r="BF317" s="199">
        <f t="shared" si="102"/>
        <v>0</v>
      </c>
      <c r="BG317" s="199">
        <f t="shared" si="102"/>
        <v>0</v>
      </c>
      <c r="BH317" s="199">
        <f t="shared" si="102"/>
        <v>0</v>
      </c>
      <c r="BI317" s="199">
        <f t="shared" si="102"/>
        <v>0</v>
      </c>
      <c r="BJ317" s="199">
        <f t="shared" si="102"/>
        <v>0</v>
      </c>
    </row>
    <row r="318" spans="2:62" x14ac:dyDescent="0.3">
      <c r="B318" s="2" t="s">
        <v>207</v>
      </c>
      <c r="C318" s="2" t="str">
        <f t="shared" si="92"/>
        <v>Pukekohe</v>
      </c>
      <c r="F318" s="3">
        <v>0.55000000000000004</v>
      </c>
      <c r="G318" s="2">
        <f>(F318*SUM(X254:X256)*F318*X257/2)/SUM(X243:X257)</f>
        <v>3.0850526140335059E-2</v>
      </c>
      <c r="H318" s="2" t="s">
        <v>793</v>
      </c>
      <c r="W318" s="203">
        <f t="shared" si="93"/>
        <v>225.17281692512191</v>
      </c>
      <c r="X318" s="204">
        <f t="shared" si="94"/>
        <v>8.8876108272110717</v>
      </c>
      <c r="Z318" s="199">
        <f t="shared" si="99"/>
        <v>0.53276699999999999</v>
      </c>
      <c r="AA318" s="199">
        <f t="shared" si="99"/>
        <v>0.62</v>
      </c>
      <c r="AB318" s="199">
        <f t="shared" si="99"/>
        <v>1.2992381979374712</v>
      </c>
      <c r="AC318" s="199">
        <f t="shared" si="99"/>
        <v>2.6271012386617953</v>
      </c>
      <c r="AD318" s="199">
        <f t="shared" si="99"/>
        <v>0.32349321489254862</v>
      </c>
      <c r="AE318" s="199">
        <f t="shared" si="99"/>
        <v>0.7022569397877555</v>
      </c>
      <c r="AF318" s="199">
        <f t="shared" si="99"/>
        <v>1.2354355161854853</v>
      </c>
      <c r="AG318" s="199">
        <f t="shared" si="99"/>
        <v>1.1704774118611336</v>
      </c>
      <c r="AH318" s="199">
        <f t="shared" si="99"/>
        <v>0</v>
      </c>
      <c r="AI318" s="199">
        <f t="shared" si="99"/>
        <v>0.37684130788488224</v>
      </c>
      <c r="AJ318" s="199">
        <f t="shared" si="100"/>
        <v>3.4967104958638218</v>
      </c>
      <c r="AK318" s="199">
        <f t="shared" si="100"/>
        <v>0</v>
      </c>
      <c r="AL318" s="199">
        <f t="shared" si="100"/>
        <v>0.41298520948821144</v>
      </c>
      <c r="AM318" s="199">
        <f t="shared" si="100"/>
        <v>3.8320897588411138</v>
      </c>
      <c r="AN318" s="199">
        <f t="shared" si="100"/>
        <v>1.9066142521213969</v>
      </c>
      <c r="AO318" s="199">
        <f t="shared" si="100"/>
        <v>7.3968685768005056</v>
      </c>
      <c r="AP318" s="199">
        <f t="shared" si="100"/>
        <v>5.3068689128807938</v>
      </c>
      <c r="AQ318" s="199">
        <f t="shared" si="100"/>
        <v>5.9524735052519064</v>
      </c>
      <c r="AR318" s="199">
        <f t="shared" si="100"/>
        <v>5.9520659689204152</v>
      </c>
      <c r="AS318" s="199">
        <f t="shared" si="100"/>
        <v>19.432503377530335</v>
      </c>
      <c r="AT318" s="199">
        <f t="shared" si="101"/>
        <v>52.196215453714295</v>
      </c>
      <c r="AU318" s="199">
        <f t="shared" si="101"/>
        <v>0.77275477886293908</v>
      </c>
      <c r="AV318" s="199">
        <f t="shared" si="101"/>
        <v>0.79671017700769009</v>
      </c>
      <c r="AW318" s="199">
        <f t="shared" si="101"/>
        <v>13.162142359460706</v>
      </c>
      <c r="AX318" s="199">
        <f t="shared" si="101"/>
        <v>81.48167032324686</v>
      </c>
      <c r="AY318" s="199">
        <f t="shared" si="101"/>
        <v>6.9849989896208129</v>
      </c>
      <c r="AZ318" s="199">
        <f t="shared" si="101"/>
        <v>7.2015339582990565</v>
      </c>
      <c r="BA318" s="199">
        <f t="shared" si="101"/>
        <v>0</v>
      </c>
      <c r="BB318" s="199">
        <f t="shared" si="101"/>
        <v>0</v>
      </c>
      <c r="BC318" s="199">
        <f t="shared" si="101"/>
        <v>0</v>
      </c>
      <c r="BD318" s="199">
        <f t="shared" si="102"/>
        <v>0</v>
      </c>
      <c r="BE318" s="199">
        <f t="shared" si="102"/>
        <v>0</v>
      </c>
      <c r="BF318" s="199">
        <f t="shared" si="102"/>
        <v>0</v>
      </c>
      <c r="BG318" s="199">
        <f t="shared" si="102"/>
        <v>0</v>
      </c>
      <c r="BH318" s="199">
        <f t="shared" si="102"/>
        <v>0</v>
      </c>
      <c r="BI318" s="199">
        <f t="shared" si="102"/>
        <v>0</v>
      </c>
      <c r="BJ318" s="199">
        <f t="shared" si="102"/>
        <v>0</v>
      </c>
    </row>
    <row r="319" spans="2:62" x14ac:dyDescent="0.3">
      <c r="B319" s="2" t="s">
        <v>208</v>
      </c>
      <c r="C319" s="2" t="str">
        <f t="shared" si="92"/>
        <v>Rural SW</v>
      </c>
      <c r="F319" s="3">
        <v>0.55000000000000004</v>
      </c>
      <c r="G319" s="59">
        <f>F319*X258/SUM(X258:X269)</f>
        <v>1.7132722399402654E-3</v>
      </c>
      <c r="H319" s="2" t="s">
        <v>792</v>
      </c>
      <c r="W319" s="203">
        <f t="shared" si="93"/>
        <v>58.377379328626098</v>
      </c>
      <c r="X319" s="204">
        <f t="shared" si="94"/>
        <v>17.786951379633031</v>
      </c>
      <c r="Z319" s="199">
        <f t="shared" si="99"/>
        <v>3.5000000000000003E-2</v>
      </c>
      <c r="AA319" s="199">
        <f t="shared" si="99"/>
        <v>1.4800000000000001E-2</v>
      </c>
      <c r="AB319" s="199">
        <f t="shared" si="99"/>
        <v>1.1134981261216559</v>
      </c>
      <c r="AC319" s="199">
        <f t="shared" si="99"/>
        <v>7.3704308766521009</v>
      </c>
      <c r="AD319" s="199">
        <f t="shared" si="99"/>
        <v>6.781677837686467</v>
      </c>
      <c r="AE319" s="199">
        <f t="shared" si="99"/>
        <v>2.4715445391728093</v>
      </c>
      <c r="AF319" s="199">
        <f t="shared" si="99"/>
        <v>0</v>
      </c>
      <c r="AG319" s="199">
        <f t="shared" si="99"/>
        <v>0</v>
      </c>
      <c r="AH319" s="199">
        <f t="shared" si="99"/>
        <v>0</v>
      </c>
      <c r="AI319" s="199">
        <f t="shared" si="99"/>
        <v>0</v>
      </c>
      <c r="AJ319" s="199">
        <f t="shared" si="100"/>
        <v>0</v>
      </c>
      <c r="AK319" s="199">
        <f t="shared" si="100"/>
        <v>0</v>
      </c>
      <c r="AL319" s="199">
        <f t="shared" si="100"/>
        <v>0.51623151186026428</v>
      </c>
      <c r="AM319" s="199">
        <f t="shared" si="100"/>
        <v>4.7901121985513928</v>
      </c>
      <c r="AN319" s="199">
        <f t="shared" si="100"/>
        <v>0</v>
      </c>
      <c r="AO319" s="199">
        <f t="shared" si="100"/>
        <v>0.45259577357194541</v>
      </c>
      <c r="AP319" s="199">
        <f t="shared" si="100"/>
        <v>4.5962684891438546</v>
      </c>
      <c r="AQ319" s="199">
        <f t="shared" si="100"/>
        <v>5.6047177932365697</v>
      </c>
      <c r="AR319" s="199">
        <f t="shared" si="100"/>
        <v>17.856197906761246</v>
      </c>
      <c r="AS319" s="199">
        <f t="shared" si="100"/>
        <v>0</v>
      </c>
      <c r="AT319" s="199">
        <f t="shared" si="101"/>
        <v>0.65904312441558455</v>
      </c>
      <c r="AU319" s="199">
        <f t="shared" si="101"/>
        <v>6.1152611514522093</v>
      </c>
      <c r="AV319" s="199">
        <f t="shared" si="101"/>
        <v>0</v>
      </c>
      <c r="AW319" s="199">
        <f t="shared" si="101"/>
        <v>0</v>
      </c>
      <c r="AX319" s="199">
        <f t="shared" si="101"/>
        <v>0</v>
      </c>
      <c r="AY319" s="199">
        <f t="shared" si="101"/>
        <v>0</v>
      </c>
      <c r="AZ319" s="199">
        <f t="shared" si="101"/>
        <v>0</v>
      </c>
      <c r="BA319" s="199">
        <f t="shared" si="101"/>
        <v>0</v>
      </c>
      <c r="BB319" s="199">
        <f t="shared" si="101"/>
        <v>0</v>
      </c>
      <c r="BC319" s="199">
        <f t="shared" si="101"/>
        <v>0</v>
      </c>
      <c r="BD319" s="199">
        <f t="shared" si="102"/>
        <v>0</v>
      </c>
      <c r="BE319" s="199">
        <f t="shared" si="102"/>
        <v>0</v>
      </c>
      <c r="BF319" s="199">
        <f t="shared" si="102"/>
        <v>0</v>
      </c>
      <c r="BG319" s="199">
        <f t="shared" si="102"/>
        <v>0</v>
      </c>
      <c r="BH319" s="199">
        <f t="shared" si="102"/>
        <v>0</v>
      </c>
      <c r="BI319" s="199">
        <f t="shared" si="102"/>
        <v>0</v>
      </c>
      <c r="BJ319" s="199">
        <f t="shared" si="102"/>
        <v>0</v>
      </c>
    </row>
    <row r="320" spans="2:62" x14ac:dyDescent="0.3">
      <c r="B320" s="5" t="s">
        <v>413</v>
      </c>
      <c r="W320" s="205">
        <f>SUM(W291:W319)</f>
        <v>2312.6385329434129</v>
      </c>
      <c r="X320" s="205">
        <f>SUM(X291:X319)</f>
        <v>361.26789549486534</v>
      </c>
      <c r="Y320" s="5"/>
      <c r="Z320" s="206">
        <f>SUM(Z291:Z319)</f>
        <v>18.545789400000004</v>
      </c>
      <c r="AA320" s="206">
        <f t="shared" ref="AA320:BJ320" si="103">SUM(AA291:AA319)</f>
        <v>32.664498000000002</v>
      </c>
      <c r="AB320" s="206">
        <f t="shared" si="103"/>
        <v>35.546515078137453</v>
      </c>
      <c r="AC320" s="206">
        <f t="shared" si="103"/>
        <v>46.194405692428319</v>
      </c>
      <c r="AD320" s="206">
        <f t="shared" si="103"/>
        <v>37.564719738540042</v>
      </c>
      <c r="AE320" s="206">
        <f t="shared" si="103"/>
        <v>35.113888179999954</v>
      </c>
      <c r="AF320" s="206">
        <f t="shared" si="103"/>
        <v>46.38562957999995</v>
      </c>
      <c r="AG320" s="206">
        <f t="shared" si="103"/>
        <v>49.894121588829648</v>
      </c>
      <c r="AH320" s="206">
        <f t="shared" si="103"/>
        <v>31.464220862533164</v>
      </c>
      <c r="AI320" s="206">
        <f t="shared" si="103"/>
        <v>27.894107374396818</v>
      </c>
      <c r="AJ320" s="206">
        <f t="shared" si="103"/>
        <v>22.42768042381504</v>
      </c>
      <c r="AK320" s="206">
        <f t="shared" si="103"/>
        <v>30.439232939617799</v>
      </c>
      <c r="AL320" s="206">
        <f t="shared" si="103"/>
        <v>62.010442777742334</v>
      </c>
      <c r="AM320" s="206">
        <f t="shared" si="103"/>
        <v>89.357695220268354</v>
      </c>
      <c r="AN320" s="206">
        <f t="shared" si="103"/>
        <v>29.809656282917999</v>
      </c>
      <c r="AO320" s="206">
        <f t="shared" si="103"/>
        <v>36.567227953998881</v>
      </c>
      <c r="AP320" s="206">
        <f t="shared" si="103"/>
        <v>37.621894580396727</v>
      </c>
      <c r="AQ320" s="206">
        <f t="shared" si="103"/>
        <v>38.691954981174661</v>
      </c>
      <c r="AR320" s="206">
        <f t="shared" si="103"/>
        <v>64.091875560284819</v>
      </c>
      <c r="AS320" s="206">
        <f t="shared" si="103"/>
        <v>127.74030398765933</v>
      </c>
      <c r="AT320" s="206">
        <f t="shared" si="103"/>
        <v>65.705464425013659</v>
      </c>
      <c r="AU320" s="206">
        <f t="shared" si="103"/>
        <v>34.440079651575736</v>
      </c>
      <c r="AV320" s="206">
        <f t="shared" si="103"/>
        <v>58.249059799783211</v>
      </c>
      <c r="AW320" s="206">
        <f t="shared" si="103"/>
        <v>109.61851402236643</v>
      </c>
      <c r="AX320" s="206">
        <f t="shared" si="103"/>
        <v>124.65961032492933</v>
      </c>
      <c r="AY320" s="206">
        <f t="shared" si="103"/>
        <v>27.06041749870414</v>
      </c>
      <c r="AZ320" s="206">
        <f t="shared" si="103"/>
        <v>17.096989503715381</v>
      </c>
      <c r="BA320" s="206">
        <f t="shared" si="103"/>
        <v>25.959295647284264</v>
      </c>
      <c r="BB320" s="206">
        <f t="shared" si="103"/>
        <v>34.062491301880883</v>
      </c>
      <c r="BC320" s="206">
        <f t="shared" si="103"/>
        <v>51.937880685914749</v>
      </c>
      <c r="BD320" s="206">
        <f t="shared" si="103"/>
        <v>8.13691302829214</v>
      </c>
      <c r="BE320" s="206">
        <f t="shared" si="103"/>
        <v>8.3891573321691961</v>
      </c>
      <c r="BF320" s="206">
        <f t="shared" si="103"/>
        <v>0</v>
      </c>
      <c r="BG320" s="206">
        <f t="shared" si="103"/>
        <v>81.799578791589539</v>
      </c>
      <c r="BH320" s="206">
        <f t="shared" si="103"/>
        <v>621.11151921662452</v>
      </c>
      <c r="BI320" s="206">
        <f t="shared" si="103"/>
        <v>71.090941167320693</v>
      </c>
      <c r="BJ320" s="206">
        <f t="shared" si="103"/>
        <v>73.294760343507633</v>
      </c>
    </row>
    <row r="321" spans="2:62" ht="14.4" x14ac:dyDescent="0.3">
      <c r="B321"/>
      <c r="Z321" s="165">
        <f>Z320-Z277</f>
        <v>0</v>
      </c>
      <c r="AA321" s="165">
        <f t="shared" ref="AA321:BJ321" si="104">AA320-AA277</f>
        <v>0</v>
      </c>
      <c r="AB321" s="165">
        <f t="shared" si="104"/>
        <v>0</v>
      </c>
      <c r="AC321" s="165">
        <f t="shared" si="104"/>
        <v>0</v>
      </c>
      <c r="AD321" s="165">
        <f t="shared" si="104"/>
        <v>0</v>
      </c>
      <c r="AE321" s="165">
        <f t="shared" si="104"/>
        <v>0</v>
      </c>
      <c r="AF321" s="165">
        <f t="shared" si="104"/>
        <v>0</v>
      </c>
      <c r="AG321" s="165">
        <f t="shared" si="104"/>
        <v>0</v>
      </c>
      <c r="AH321" s="165">
        <f t="shared" si="104"/>
        <v>0</v>
      </c>
      <c r="AI321" s="165">
        <f t="shared" si="104"/>
        <v>0</v>
      </c>
      <c r="AJ321" s="165">
        <f t="shared" si="104"/>
        <v>0</v>
      </c>
      <c r="AK321" s="165">
        <f t="shared" si="104"/>
        <v>0</v>
      </c>
      <c r="AL321" s="165">
        <f t="shared" si="104"/>
        <v>0</v>
      </c>
      <c r="AM321" s="165">
        <f t="shared" si="104"/>
        <v>0</v>
      </c>
      <c r="AN321" s="165">
        <f t="shared" si="104"/>
        <v>0</v>
      </c>
      <c r="AO321" s="165">
        <f t="shared" si="104"/>
        <v>0</v>
      </c>
      <c r="AP321" s="165">
        <f t="shared" si="104"/>
        <v>0</v>
      </c>
      <c r="AQ321" s="165">
        <f t="shared" si="104"/>
        <v>0</v>
      </c>
      <c r="AR321" s="165">
        <f t="shared" si="104"/>
        <v>0</v>
      </c>
      <c r="AS321" s="165">
        <f t="shared" si="104"/>
        <v>0</v>
      </c>
      <c r="AT321" s="165">
        <f t="shared" si="104"/>
        <v>0</v>
      </c>
      <c r="AU321" s="165">
        <f t="shared" si="104"/>
        <v>0</v>
      </c>
      <c r="AV321" s="165">
        <f t="shared" si="104"/>
        <v>0</v>
      </c>
      <c r="AW321" s="165">
        <f t="shared" si="104"/>
        <v>0</v>
      </c>
      <c r="AX321" s="165">
        <f t="shared" si="104"/>
        <v>0</v>
      </c>
      <c r="AY321" s="165">
        <f t="shared" si="104"/>
        <v>0</v>
      </c>
      <c r="AZ321" s="165">
        <f t="shared" si="104"/>
        <v>0</v>
      </c>
      <c r="BA321" s="165">
        <f t="shared" si="104"/>
        <v>0</v>
      </c>
      <c r="BB321" s="165">
        <f t="shared" si="104"/>
        <v>0</v>
      </c>
      <c r="BC321" s="165">
        <f t="shared" si="104"/>
        <v>0</v>
      </c>
      <c r="BD321" s="165">
        <f t="shared" si="104"/>
        <v>0</v>
      </c>
      <c r="BE321" s="165">
        <f t="shared" si="104"/>
        <v>0</v>
      </c>
      <c r="BF321" s="165">
        <f t="shared" si="104"/>
        <v>0</v>
      </c>
      <c r="BG321" s="165">
        <f t="shared" si="104"/>
        <v>0</v>
      </c>
      <c r="BH321" s="165">
        <f t="shared" si="104"/>
        <v>0</v>
      </c>
      <c r="BI321" s="165">
        <f t="shared" si="104"/>
        <v>0</v>
      </c>
      <c r="BJ321" s="165">
        <f t="shared" si="104"/>
        <v>0</v>
      </c>
    </row>
    <row r="322" spans="2:62" ht="14.4" x14ac:dyDescent="0.3">
      <c r="B322"/>
    </row>
    <row r="323" spans="2:62" x14ac:dyDescent="0.3">
      <c r="B323" s="213" t="s">
        <v>864</v>
      </c>
      <c r="C323" s="213" t="s">
        <v>865</v>
      </c>
      <c r="D323" s="213"/>
      <c r="E323" s="213"/>
      <c r="F323" s="213"/>
      <c r="G323" s="213"/>
      <c r="H323" s="213"/>
      <c r="I323" s="213"/>
      <c r="J323" s="213"/>
      <c r="K323" s="213"/>
      <c r="L323" s="213"/>
      <c r="M323" s="213"/>
      <c r="N323" s="213"/>
      <c r="O323" s="213"/>
      <c r="P323" s="213"/>
      <c r="Q323" s="213"/>
      <c r="R323" s="213"/>
      <c r="S323" s="213"/>
      <c r="T323" s="213"/>
      <c r="U323" s="213"/>
      <c r="V323" s="213"/>
      <c r="W323" s="213"/>
      <c r="X323" s="213"/>
      <c r="Y323" s="213"/>
      <c r="Z323" s="213">
        <f>Z210</f>
        <v>0</v>
      </c>
      <c r="AA323" s="213">
        <f t="shared" ref="AA323:AJ323" si="105">AA210</f>
        <v>0</v>
      </c>
      <c r="AB323" s="213">
        <f t="shared" si="105"/>
        <v>0</v>
      </c>
      <c r="AC323" s="213">
        <f t="shared" si="105"/>
        <v>0</v>
      </c>
      <c r="AD323" s="213">
        <f t="shared" si="105"/>
        <v>0</v>
      </c>
      <c r="AE323" s="213">
        <f t="shared" si="105"/>
        <v>0</v>
      </c>
      <c r="AF323" s="213">
        <f t="shared" si="105"/>
        <v>0.41244184768599429</v>
      </c>
      <c r="AG323" s="213">
        <f t="shared" si="105"/>
        <v>3.8270479046783401</v>
      </c>
      <c r="AH323" s="213">
        <f t="shared" si="105"/>
        <v>0</v>
      </c>
      <c r="AI323" s="213">
        <f t="shared" si="105"/>
        <v>0</v>
      </c>
      <c r="AJ323" s="213">
        <f t="shared" si="105"/>
        <v>0</v>
      </c>
    </row>
    <row r="324" spans="2:62" x14ac:dyDescent="0.3">
      <c r="B324" s="213" t="s">
        <v>866</v>
      </c>
      <c r="C324" s="213" t="s">
        <v>867</v>
      </c>
      <c r="D324" s="213"/>
      <c r="E324" s="213"/>
      <c r="F324" s="213"/>
      <c r="G324" s="213"/>
      <c r="H324" s="213"/>
      <c r="I324" s="213"/>
      <c r="J324" s="213"/>
      <c r="K324" s="213"/>
      <c r="L324" s="213"/>
      <c r="M324" s="213"/>
      <c r="N324" s="213"/>
      <c r="O324" s="213"/>
      <c r="P324" s="213"/>
      <c r="Q324" s="213"/>
      <c r="R324" s="213"/>
      <c r="S324" s="213"/>
      <c r="T324" s="213"/>
      <c r="U324" s="213"/>
      <c r="V324" s="213"/>
      <c r="W324" s="213"/>
      <c r="X324" s="213"/>
      <c r="Y324" s="213"/>
      <c r="Z324" s="213">
        <f>Z219</f>
        <v>0</v>
      </c>
      <c r="AA324" s="213">
        <f t="shared" ref="AA324:AJ324" si="106">AA219</f>
        <v>0</v>
      </c>
      <c r="AB324" s="213">
        <f t="shared" si="106"/>
        <v>0.34450400274174231</v>
      </c>
      <c r="AC324" s="213">
        <f t="shared" si="106"/>
        <v>3.1966526414406267</v>
      </c>
      <c r="AD324" s="213">
        <f t="shared" si="106"/>
        <v>0</v>
      </c>
      <c r="AE324" s="213">
        <f t="shared" si="106"/>
        <v>0</v>
      </c>
      <c r="AF324" s="213">
        <f t="shared" si="106"/>
        <v>0</v>
      </c>
      <c r="AG324" s="213">
        <f t="shared" si="106"/>
        <v>0</v>
      </c>
      <c r="AH324" s="213">
        <f t="shared" si="106"/>
        <v>0</v>
      </c>
      <c r="AI324" s="213">
        <f t="shared" si="106"/>
        <v>0</v>
      </c>
      <c r="AJ324" s="213">
        <f t="shared" si="106"/>
        <v>0</v>
      </c>
    </row>
    <row r="325" spans="2:62" ht="14.4" x14ac:dyDescent="0.3">
      <c r="B325"/>
    </row>
    <row r="326" spans="2:62" ht="14.4" x14ac:dyDescent="0.3">
      <c r="B326"/>
      <c r="Z326" s="2">
        <v>18.545789400000004</v>
      </c>
      <c r="AA326" s="2">
        <v>32.664498000000002</v>
      </c>
      <c r="AB326" s="2">
        <v>35.346196406510671</v>
      </c>
      <c r="AC326" s="2">
        <v>41.262485488582811</v>
      </c>
      <c r="AD326" s="2">
        <v>35.220509474448406</v>
      </c>
      <c r="AE326" s="2">
        <v>34.143663132570452</v>
      </c>
      <c r="AF326" s="2">
        <v>37.924152579907961</v>
      </c>
      <c r="AG326" s="2">
        <v>40.605612180830981</v>
      </c>
      <c r="AH326" s="2">
        <v>22.804279936455227</v>
      </c>
      <c r="AI326" s="2">
        <v>37.035238563602952</v>
      </c>
      <c r="AJ326" s="2">
        <v>13.59836222897354</v>
      </c>
      <c r="AK326" s="2">
        <v>17.196884158872361</v>
      </c>
      <c r="AL326" s="2">
        <v>56.661861647454622</v>
      </c>
    </row>
    <row r="327" spans="2:62" ht="14.4" x14ac:dyDescent="0.3">
      <c r="B327"/>
    </row>
    <row r="328" spans="2:62" ht="14.4" x14ac:dyDescent="0.3">
      <c r="B328"/>
    </row>
    <row r="329" spans="2:62" ht="14.4" x14ac:dyDescent="0.3">
      <c r="B329"/>
    </row>
    <row r="330" spans="2:62" ht="14.4" x14ac:dyDescent="0.3">
      <c r="B330"/>
    </row>
    <row r="331" spans="2:62" ht="14.4" x14ac:dyDescent="0.3">
      <c r="B331"/>
    </row>
    <row r="332" spans="2:62" ht="14.4" x14ac:dyDescent="0.3">
      <c r="B332"/>
    </row>
    <row r="333" spans="2:62" ht="14.4" x14ac:dyDescent="0.3">
      <c r="B333"/>
    </row>
    <row r="334" spans="2:62" ht="14.4" x14ac:dyDescent="0.3">
      <c r="B334"/>
    </row>
    <row r="335" spans="2:62" ht="14.4" x14ac:dyDescent="0.3">
      <c r="B335"/>
    </row>
    <row r="336" spans="2:62" ht="14.4" x14ac:dyDescent="0.3">
      <c r="B336"/>
    </row>
    <row r="337" spans="2:2" ht="14.4" x14ac:dyDescent="0.3">
      <c r="B337"/>
    </row>
    <row r="338" spans="2:2" ht="14.4" x14ac:dyDescent="0.3">
      <c r="B338"/>
    </row>
    <row r="339" spans="2:2" ht="14.4" x14ac:dyDescent="0.3">
      <c r="B339"/>
    </row>
    <row r="340" spans="2:2" ht="14.4" x14ac:dyDescent="0.3">
      <c r="B340"/>
    </row>
    <row r="341" spans="2:2" ht="14.4" x14ac:dyDescent="0.3">
      <c r="B341"/>
    </row>
    <row r="342" spans="2:2" ht="14.4" x14ac:dyDescent="0.3">
      <c r="B342"/>
    </row>
    <row r="343" spans="2:2" ht="14.4" x14ac:dyDescent="0.3">
      <c r="B343"/>
    </row>
    <row r="344" spans="2:2" ht="14.4" x14ac:dyDescent="0.3">
      <c r="B344"/>
    </row>
    <row r="345" spans="2:2" ht="14.4" x14ac:dyDescent="0.3">
      <c r="B345"/>
    </row>
    <row r="346" spans="2:2" ht="14.4" x14ac:dyDescent="0.3">
      <c r="B346"/>
    </row>
    <row r="347" spans="2:2" ht="14.4" x14ac:dyDescent="0.3">
      <c r="B347"/>
    </row>
    <row r="348" spans="2:2" ht="14.4" x14ac:dyDescent="0.3">
      <c r="B348"/>
    </row>
    <row r="349" spans="2:2" ht="14.4" x14ac:dyDescent="0.3">
      <c r="B349"/>
    </row>
    <row r="350" spans="2:2" ht="14.4" x14ac:dyDescent="0.3">
      <c r="B350"/>
    </row>
    <row r="351" spans="2:2" ht="14.4" x14ac:dyDescent="0.3">
      <c r="B351"/>
    </row>
    <row r="352" spans="2:2" ht="14.4" x14ac:dyDescent="0.3">
      <c r="B352"/>
    </row>
    <row r="353" spans="2:2" ht="14.4" x14ac:dyDescent="0.3">
      <c r="B353"/>
    </row>
    <row r="354" spans="2:2" ht="14.4" x14ac:dyDescent="0.3">
      <c r="B354"/>
    </row>
    <row r="355" spans="2:2" ht="14.4" x14ac:dyDescent="0.3">
      <c r="B355"/>
    </row>
    <row r="356" spans="2:2" ht="14.4" x14ac:dyDescent="0.3">
      <c r="B356"/>
    </row>
    <row r="357" spans="2:2" ht="14.4" x14ac:dyDescent="0.3">
      <c r="B357"/>
    </row>
    <row r="358" spans="2:2" ht="14.4" x14ac:dyDescent="0.3">
      <c r="B358"/>
    </row>
    <row r="359" spans="2:2" ht="14.4" x14ac:dyDescent="0.3">
      <c r="B359"/>
    </row>
    <row r="360" spans="2:2" ht="14.4" x14ac:dyDescent="0.3">
      <c r="B360"/>
    </row>
    <row r="361" spans="2:2" ht="14.4" x14ac:dyDescent="0.3">
      <c r="B361"/>
    </row>
    <row r="362" spans="2:2" ht="14.4" x14ac:dyDescent="0.3">
      <c r="B362"/>
    </row>
    <row r="363" spans="2:2" ht="14.4" x14ac:dyDescent="0.3">
      <c r="B363"/>
    </row>
    <row r="364" spans="2:2" ht="14.4" x14ac:dyDescent="0.3">
      <c r="B364"/>
    </row>
    <row r="365" spans="2:2" ht="14.4" x14ac:dyDescent="0.3">
      <c r="B365"/>
    </row>
    <row r="366" spans="2:2" ht="14.4" x14ac:dyDescent="0.3">
      <c r="B366"/>
    </row>
    <row r="367" spans="2:2" ht="14.4" x14ac:dyDescent="0.3">
      <c r="B367"/>
    </row>
    <row r="368" spans="2:2" ht="14.4" x14ac:dyDescent="0.3">
      <c r="B368"/>
    </row>
    <row r="369" spans="2:2" ht="14.4" x14ac:dyDescent="0.3">
      <c r="B369"/>
    </row>
    <row r="370" spans="2:2" ht="14.4" x14ac:dyDescent="0.3">
      <c r="B370"/>
    </row>
    <row r="371" spans="2:2" ht="14.4" x14ac:dyDescent="0.3">
      <c r="B371"/>
    </row>
    <row r="372" spans="2:2" ht="14.4" x14ac:dyDescent="0.3">
      <c r="B372"/>
    </row>
    <row r="373" spans="2:2" ht="14.4" x14ac:dyDescent="0.3">
      <c r="B373"/>
    </row>
    <row r="374" spans="2:2" ht="14.4" x14ac:dyDescent="0.3">
      <c r="B374"/>
    </row>
    <row r="375" spans="2:2" ht="14.4" x14ac:dyDescent="0.3">
      <c r="B375"/>
    </row>
    <row r="376" spans="2:2" ht="14.4" x14ac:dyDescent="0.3">
      <c r="B376"/>
    </row>
    <row r="377" spans="2:2" ht="14.4" x14ac:dyDescent="0.3">
      <c r="B377"/>
    </row>
    <row r="378" spans="2:2" ht="14.4" x14ac:dyDescent="0.3">
      <c r="B378"/>
    </row>
    <row r="379" spans="2:2" ht="14.4" x14ac:dyDescent="0.3">
      <c r="B379"/>
    </row>
    <row r="380" spans="2:2" ht="14.4" x14ac:dyDescent="0.3">
      <c r="B380"/>
    </row>
    <row r="381" spans="2:2" ht="14.4" x14ac:dyDescent="0.3">
      <c r="B381"/>
    </row>
    <row r="382" spans="2:2" ht="14.4" x14ac:dyDescent="0.3">
      <c r="B382"/>
    </row>
    <row r="383" spans="2:2" ht="14.4" x14ac:dyDescent="0.3">
      <c r="B383"/>
    </row>
    <row r="384" spans="2:2" ht="14.4" x14ac:dyDescent="0.3">
      <c r="B384"/>
    </row>
    <row r="385" spans="2:2" ht="14.4" x14ac:dyDescent="0.3">
      <c r="B385"/>
    </row>
    <row r="386" spans="2:2" ht="14.4" x14ac:dyDescent="0.3">
      <c r="B386"/>
    </row>
    <row r="387" spans="2:2" ht="14.4" x14ac:dyDescent="0.3">
      <c r="B387"/>
    </row>
    <row r="388" spans="2:2" ht="14.4" x14ac:dyDescent="0.3">
      <c r="B388"/>
    </row>
    <row r="389" spans="2:2" ht="14.4" x14ac:dyDescent="0.3">
      <c r="B389"/>
    </row>
    <row r="390" spans="2:2" ht="14.4" x14ac:dyDescent="0.3">
      <c r="B390"/>
    </row>
    <row r="391" spans="2:2" ht="14.4" x14ac:dyDescent="0.3">
      <c r="B391"/>
    </row>
    <row r="392" spans="2:2" ht="14.4" x14ac:dyDescent="0.3">
      <c r="B392"/>
    </row>
    <row r="393" spans="2:2" ht="14.4" x14ac:dyDescent="0.3">
      <c r="B393"/>
    </row>
    <row r="394" spans="2:2" ht="14.4" x14ac:dyDescent="0.3">
      <c r="B394"/>
    </row>
    <row r="395" spans="2:2" ht="14.4" x14ac:dyDescent="0.3">
      <c r="B395"/>
    </row>
    <row r="396" spans="2:2" ht="14.4" x14ac:dyDescent="0.3">
      <c r="B396"/>
    </row>
    <row r="397" spans="2:2" ht="14.4" x14ac:dyDescent="0.3">
      <c r="B397"/>
    </row>
    <row r="398" spans="2:2" ht="14.4" x14ac:dyDescent="0.3">
      <c r="B398"/>
    </row>
    <row r="399" spans="2:2" ht="14.4" x14ac:dyDescent="0.3">
      <c r="B399"/>
    </row>
    <row r="400" spans="2:2" ht="14.4" x14ac:dyDescent="0.3">
      <c r="B400"/>
    </row>
    <row r="401" spans="2:2" ht="14.4" x14ac:dyDescent="0.3">
      <c r="B401"/>
    </row>
    <row r="402" spans="2:2" ht="14.4" x14ac:dyDescent="0.3">
      <c r="B402"/>
    </row>
    <row r="403" spans="2:2" ht="14.4" x14ac:dyDescent="0.3">
      <c r="B403"/>
    </row>
    <row r="404" spans="2:2" ht="14.4" x14ac:dyDescent="0.3">
      <c r="B404"/>
    </row>
    <row r="405" spans="2:2" ht="14.4" x14ac:dyDescent="0.3">
      <c r="B405"/>
    </row>
    <row r="406" spans="2:2" ht="14.4" x14ac:dyDescent="0.3">
      <c r="B406"/>
    </row>
    <row r="407" spans="2:2" ht="14.4" x14ac:dyDescent="0.3">
      <c r="B407"/>
    </row>
    <row r="408" spans="2:2" ht="14.4" x14ac:dyDescent="0.3">
      <c r="B408"/>
    </row>
    <row r="409" spans="2:2" ht="14.4" x14ac:dyDescent="0.3">
      <c r="B409"/>
    </row>
    <row r="410" spans="2:2" ht="14.4" x14ac:dyDescent="0.3">
      <c r="B410"/>
    </row>
    <row r="411" spans="2:2" ht="14.4" x14ac:dyDescent="0.3">
      <c r="B411"/>
    </row>
    <row r="412" spans="2:2" ht="14.4" x14ac:dyDescent="0.3">
      <c r="B412"/>
    </row>
    <row r="413" spans="2:2" ht="14.4" x14ac:dyDescent="0.3">
      <c r="B413"/>
    </row>
    <row r="414" spans="2:2" ht="14.4" x14ac:dyDescent="0.3">
      <c r="B414"/>
    </row>
    <row r="415" spans="2:2" ht="14.4" x14ac:dyDescent="0.3">
      <c r="B415"/>
    </row>
    <row r="416" spans="2:2" ht="14.4" x14ac:dyDescent="0.3">
      <c r="B416"/>
    </row>
    <row r="417" spans="2:2" ht="14.4" x14ac:dyDescent="0.3">
      <c r="B417"/>
    </row>
    <row r="418" spans="2:2" ht="14.4" x14ac:dyDescent="0.3">
      <c r="B418"/>
    </row>
    <row r="419" spans="2:2" ht="14.4" x14ac:dyDescent="0.3">
      <c r="B419"/>
    </row>
    <row r="420" spans="2:2" ht="14.4" x14ac:dyDescent="0.3">
      <c r="B420"/>
    </row>
    <row r="421" spans="2:2" ht="14.4" x14ac:dyDescent="0.3">
      <c r="B421"/>
    </row>
    <row r="422" spans="2:2" ht="14.4" x14ac:dyDescent="0.3">
      <c r="B422"/>
    </row>
    <row r="423" spans="2:2" ht="14.4" x14ac:dyDescent="0.3">
      <c r="B423"/>
    </row>
    <row r="424" spans="2:2" ht="14.4" x14ac:dyDescent="0.3">
      <c r="B424"/>
    </row>
    <row r="425" spans="2:2" ht="14.4" x14ac:dyDescent="0.3">
      <c r="B425"/>
    </row>
    <row r="426" spans="2:2" ht="14.4" x14ac:dyDescent="0.3">
      <c r="B426"/>
    </row>
    <row r="427" spans="2:2" ht="14.4" x14ac:dyDescent="0.3">
      <c r="B427"/>
    </row>
    <row r="428" spans="2:2" ht="14.4" x14ac:dyDescent="0.3">
      <c r="B428"/>
    </row>
    <row r="429" spans="2:2" ht="14.4" x14ac:dyDescent="0.3">
      <c r="B429"/>
    </row>
    <row r="430" spans="2:2" ht="14.4" x14ac:dyDescent="0.3">
      <c r="B430"/>
    </row>
    <row r="431" spans="2:2" ht="14.4" x14ac:dyDescent="0.3">
      <c r="B431"/>
    </row>
    <row r="432" spans="2:2" ht="14.4" x14ac:dyDescent="0.3">
      <c r="B432"/>
    </row>
    <row r="433" spans="2:2" ht="14.4" x14ac:dyDescent="0.3">
      <c r="B433"/>
    </row>
    <row r="434" spans="2:2" ht="14.4" x14ac:dyDescent="0.3">
      <c r="B434"/>
    </row>
    <row r="435" spans="2:2" ht="14.4" x14ac:dyDescent="0.3">
      <c r="B435"/>
    </row>
    <row r="436" spans="2:2" ht="14.4" x14ac:dyDescent="0.3">
      <c r="B436"/>
    </row>
    <row r="437" spans="2:2" ht="14.4" x14ac:dyDescent="0.3">
      <c r="B437"/>
    </row>
    <row r="438" spans="2:2" ht="14.4" x14ac:dyDescent="0.3">
      <c r="B438"/>
    </row>
    <row r="439" spans="2:2" ht="14.4" x14ac:dyDescent="0.3">
      <c r="B439"/>
    </row>
    <row r="440" spans="2:2" ht="14.4" x14ac:dyDescent="0.3">
      <c r="B440"/>
    </row>
    <row r="441" spans="2:2" ht="14.4" x14ac:dyDescent="0.3">
      <c r="B441"/>
    </row>
    <row r="442" spans="2:2" ht="14.4" x14ac:dyDescent="0.3">
      <c r="B442"/>
    </row>
    <row r="443" spans="2:2" ht="14.4" x14ac:dyDescent="0.3">
      <c r="B443"/>
    </row>
    <row r="444" spans="2:2" ht="14.4" x14ac:dyDescent="0.3">
      <c r="B444"/>
    </row>
    <row r="445" spans="2:2" ht="14.4" x14ac:dyDescent="0.3">
      <c r="B445"/>
    </row>
    <row r="446" spans="2:2" ht="14.4" x14ac:dyDescent="0.3">
      <c r="B446"/>
    </row>
    <row r="447" spans="2:2" ht="14.4" x14ac:dyDescent="0.3">
      <c r="B447"/>
    </row>
    <row r="448" spans="2:2" ht="14.4" x14ac:dyDescent="0.3">
      <c r="B448"/>
    </row>
    <row r="449" spans="2:2" ht="14.4" x14ac:dyDescent="0.3">
      <c r="B449"/>
    </row>
    <row r="450" spans="2:2" ht="14.4" x14ac:dyDescent="0.3">
      <c r="B450"/>
    </row>
    <row r="451" spans="2:2" ht="14.4" x14ac:dyDescent="0.3">
      <c r="B451"/>
    </row>
    <row r="452" spans="2:2" ht="14.4" x14ac:dyDescent="0.3">
      <c r="B452"/>
    </row>
    <row r="453" spans="2:2" ht="14.4" x14ac:dyDescent="0.3">
      <c r="B453"/>
    </row>
    <row r="454" spans="2:2" ht="14.4" x14ac:dyDescent="0.3">
      <c r="B454"/>
    </row>
    <row r="455" spans="2:2" ht="14.4" x14ac:dyDescent="0.3">
      <c r="B455"/>
    </row>
    <row r="456" spans="2:2" ht="14.4" x14ac:dyDescent="0.3">
      <c r="B456"/>
    </row>
    <row r="457" spans="2:2" ht="14.4" x14ac:dyDescent="0.3">
      <c r="B457"/>
    </row>
    <row r="458" spans="2:2" ht="14.4" x14ac:dyDescent="0.3">
      <c r="B458"/>
    </row>
    <row r="459" spans="2:2" ht="14.4" x14ac:dyDescent="0.3">
      <c r="B459"/>
    </row>
    <row r="460" spans="2:2" ht="14.4" x14ac:dyDescent="0.3">
      <c r="B460"/>
    </row>
    <row r="461" spans="2:2" ht="14.4" x14ac:dyDescent="0.3">
      <c r="B461"/>
    </row>
    <row r="462" spans="2:2" ht="14.4" x14ac:dyDescent="0.3">
      <c r="B462"/>
    </row>
    <row r="463" spans="2:2" ht="14.4" x14ac:dyDescent="0.3">
      <c r="B463"/>
    </row>
    <row r="464" spans="2:2" ht="14.4" x14ac:dyDescent="0.3">
      <c r="B464"/>
    </row>
    <row r="465" spans="2:2" ht="14.4" x14ac:dyDescent="0.3">
      <c r="B465"/>
    </row>
    <row r="466" spans="2:2" ht="14.4" x14ac:dyDescent="0.3">
      <c r="B466"/>
    </row>
    <row r="467" spans="2:2" ht="14.4" x14ac:dyDescent="0.3">
      <c r="B467"/>
    </row>
    <row r="468" spans="2:2" ht="14.4" x14ac:dyDescent="0.3">
      <c r="B468"/>
    </row>
    <row r="469" spans="2:2" ht="14.4" x14ac:dyDescent="0.3">
      <c r="B469"/>
    </row>
    <row r="470" spans="2:2" ht="14.4" x14ac:dyDescent="0.3">
      <c r="B470"/>
    </row>
    <row r="471" spans="2:2" ht="14.4" x14ac:dyDescent="0.3">
      <c r="B471"/>
    </row>
    <row r="472" spans="2:2" ht="14.4" x14ac:dyDescent="0.3">
      <c r="B472"/>
    </row>
    <row r="473" spans="2:2" ht="14.4" x14ac:dyDescent="0.3">
      <c r="B473"/>
    </row>
    <row r="474" spans="2:2" ht="14.4" x14ac:dyDescent="0.3">
      <c r="B474"/>
    </row>
    <row r="475" spans="2:2" ht="14.4" x14ac:dyDescent="0.3">
      <c r="B475"/>
    </row>
    <row r="476" spans="2:2" ht="14.4" x14ac:dyDescent="0.3">
      <c r="B476"/>
    </row>
    <row r="477" spans="2:2" ht="14.4" x14ac:dyDescent="0.3">
      <c r="B477"/>
    </row>
    <row r="478" spans="2:2" ht="14.4" x14ac:dyDescent="0.3">
      <c r="B478"/>
    </row>
    <row r="479" spans="2:2" ht="14.4" x14ac:dyDescent="0.3">
      <c r="B479"/>
    </row>
    <row r="480" spans="2:2" ht="14.4" x14ac:dyDescent="0.3">
      <c r="B480"/>
    </row>
    <row r="481" spans="2:2" ht="14.4" x14ac:dyDescent="0.3">
      <c r="B481"/>
    </row>
    <row r="482" spans="2:2" ht="14.4" x14ac:dyDescent="0.3">
      <c r="B482"/>
    </row>
    <row r="483" spans="2:2" ht="14.4" x14ac:dyDescent="0.3">
      <c r="B483"/>
    </row>
    <row r="484" spans="2:2" ht="14.4" x14ac:dyDescent="0.3">
      <c r="B484"/>
    </row>
    <row r="485" spans="2:2" ht="14.4" x14ac:dyDescent="0.3">
      <c r="B485"/>
    </row>
    <row r="486" spans="2:2" ht="14.4" x14ac:dyDescent="0.3">
      <c r="B486"/>
    </row>
    <row r="487" spans="2:2" ht="14.4" x14ac:dyDescent="0.3">
      <c r="B487"/>
    </row>
    <row r="488" spans="2:2" ht="14.4" x14ac:dyDescent="0.3">
      <c r="B488"/>
    </row>
    <row r="489" spans="2:2" ht="14.4" x14ac:dyDescent="0.3">
      <c r="B489"/>
    </row>
    <row r="490" spans="2:2" ht="14.4" x14ac:dyDescent="0.3">
      <c r="B490"/>
    </row>
    <row r="491" spans="2:2" ht="14.4" x14ac:dyDescent="0.3">
      <c r="B491"/>
    </row>
    <row r="492" spans="2:2" ht="14.4" x14ac:dyDescent="0.3">
      <c r="B492"/>
    </row>
    <row r="493" spans="2:2" ht="14.4" x14ac:dyDescent="0.3">
      <c r="B493"/>
    </row>
    <row r="494" spans="2:2" ht="14.4" x14ac:dyDescent="0.3">
      <c r="B494"/>
    </row>
    <row r="495" spans="2:2" ht="14.4" x14ac:dyDescent="0.3">
      <c r="B495"/>
    </row>
    <row r="496" spans="2:2" ht="14.4" x14ac:dyDescent="0.3">
      <c r="B496"/>
    </row>
    <row r="497" spans="2:2" ht="14.4" x14ac:dyDescent="0.3">
      <c r="B497"/>
    </row>
    <row r="498" spans="2:2" ht="14.4" x14ac:dyDescent="0.3">
      <c r="B498"/>
    </row>
    <row r="499" spans="2:2" ht="14.4" x14ac:dyDescent="0.3">
      <c r="B499"/>
    </row>
    <row r="500" spans="2:2" ht="14.4" x14ac:dyDescent="0.3">
      <c r="B500"/>
    </row>
    <row r="501" spans="2:2" ht="14.4" x14ac:dyDescent="0.3">
      <c r="B501"/>
    </row>
    <row r="502" spans="2:2" ht="14.4" x14ac:dyDescent="0.3">
      <c r="B502"/>
    </row>
    <row r="503" spans="2:2" ht="14.4" x14ac:dyDescent="0.3">
      <c r="B503"/>
    </row>
    <row r="504" spans="2:2" ht="14.4" x14ac:dyDescent="0.3">
      <c r="B504"/>
    </row>
    <row r="505" spans="2:2" ht="14.4" x14ac:dyDescent="0.3">
      <c r="B505"/>
    </row>
    <row r="506" spans="2:2" ht="14.4" x14ac:dyDescent="0.3">
      <c r="B506"/>
    </row>
    <row r="507" spans="2:2" ht="14.4" x14ac:dyDescent="0.3">
      <c r="B507"/>
    </row>
    <row r="508" spans="2:2" ht="14.4" x14ac:dyDescent="0.3">
      <c r="B508"/>
    </row>
    <row r="509" spans="2:2" ht="14.4" x14ac:dyDescent="0.3">
      <c r="B509"/>
    </row>
    <row r="510" spans="2:2" ht="14.4" x14ac:dyDescent="0.3">
      <c r="B510"/>
    </row>
    <row r="511" spans="2:2" ht="14.4" x14ac:dyDescent="0.3">
      <c r="B511"/>
    </row>
    <row r="512" spans="2:2" ht="14.4" x14ac:dyDescent="0.3">
      <c r="B512"/>
    </row>
    <row r="513" spans="2:2" ht="14.4" x14ac:dyDescent="0.3">
      <c r="B513"/>
    </row>
    <row r="514" spans="2:2" ht="14.4" x14ac:dyDescent="0.3">
      <c r="B514"/>
    </row>
    <row r="515" spans="2:2" ht="14.4" x14ac:dyDescent="0.3">
      <c r="B515"/>
    </row>
    <row r="516" spans="2:2" ht="14.4" x14ac:dyDescent="0.3">
      <c r="B516"/>
    </row>
    <row r="517" spans="2:2" ht="14.4" x14ac:dyDescent="0.3">
      <c r="B517"/>
    </row>
    <row r="518" spans="2:2" ht="14.4" x14ac:dyDescent="0.3">
      <c r="B518"/>
    </row>
    <row r="519" spans="2:2" ht="14.4" x14ac:dyDescent="0.3">
      <c r="B519"/>
    </row>
    <row r="520" spans="2:2" ht="14.4" x14ac:dyDescent="0.3">
      <c r="B520"/>
    </row>
    <row r="521" spans="2:2" ht="14.4" x14ac:dyDescent="0.3">
      <c r="B521"/>
    </row>
    <row r="522" spans="2:2" ht="14.4" x14ac:dyDescent="0.3">
      <c r="B522"/>
    </row>
    <row r="523" spans="2:2" ht="14.4" x14ac:dyDescent="0.3">
      <c r="B523"/>
    </row>
    <row r="524" spans="2:2" ht="14.4" x14ac:dyDescent="0.3">
      <c r="B524"/>
    </row>
    <row r="525" spans="2:2" ht="14.4" x14ac:dyDescent="0.3">
      <c r="B525"/>
    </row>
    <row r="526" spans="2:2" ht="14.4" x14ac:dyDescent="0.3">
      <c r="B526"/>
    </row>
    <row r="527" spans="2:2" ht="14.4" x14ac:dyDescent="0.3">
      <c r="B527"/>
    </row>
    <row r="528" spans="2:2" ht="14.4" x14ac:dyDescent="0.3">
      <c r="B528"/>
    </row>
    <row r="529" spans="2:2" ht="14.4" x14ac:dyDescent="0.3">
      <c r="B529"/>
    </row>
    <row r="530" spans="2:2" ht="14.4" x14ac:dyDescent="0.3">
      <c r="B530"/>
    </row>
    <row r="531" spans="2:2" ht="14.4" x14ac:dyDescent="0.3">
      <c r="B531"/>
    </row>
    <row r="532" spans="2:2" ht="14.4" x14ac:dyDescent="0.3">
      <c r="B532"/>
    </row>
    <row r="533" spans="2:2" ht="14.4" x14ac:dyDescent="0.3">
      <c r="B533"/>
    </row>
    <row r="534" spans="2:2" ht="14.4" x14ac:dyDescent="0.3">
      <c r="B534"/>
    </row>
    <row r="535" spans="2:2" ht="14.4" x14ac:dyDescent="0.3">
      <c r="B535"/>
    </row>
    <row r="536" spans="2:2" ht="14.4" x14ac:dyDescent="0.3">
      <c r="B536"/>
    </row>
    <row r="537" spans="2:2" ht="14.4" x14ac:dyDescent="0.3">
      <c r="B537"/>
    </row>
    <row r="538" spans="2:2" ht="14.4" x14ac:dyDescent="0.3">
      <c r="B538"/>
    </row>
    <row r="539" spans="2:2" ht="14.4" x14ac:dyDescent="0.3">
      <c r="B539"/>
    </row>
    <row r="540" spans="2:2" ht="14.4" x14ac:dyDescent="0.3">
      <c r="B540"/>
    </row>
    <row r="541" spans="2:2" ht="14.4" x14ac:dyDescent="0.3">
      <c r="B541"/>
    </row>
    <row r="542" spans="2:2" ht="14.4" x14ac:dyDescent="0.3">
      <c r="B542"/>
    </row>
  </sheetData>
  <sheetProtection algorithmName="SHA-512" hashValue="PZ/rX7gmuEnZEQUoPXA2D+fBu7DHZhb7l0+buHfCpthvCLl+xXMaSXCo8KDVlsaxBEqIjHVuYvw3lR4vqQacfw==" saltValue="i/3o6n644iB+vKQn6inK0w==" spinCount="100000" sheet="1" objects="1" scenarios="1"/>
  <sortState xmlns:xlrd2="http://schemas.microsoft.com/office/spreadsheetml/2017/richdata2" ref="A117:E118">
    <sortCondition ref="B117:B118"/>
  </sortState>
  <mergeCells count="2">
    <mergeCell ref="F7:I7"/>
    <mergeCell ref="J7:M7"/>
  </mergeCells>
  <phoneticPr fontId="13" type="noConversion"/>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FB812-0CFC-46B6-AA6C-20CA09F8C616}">
  <dimension ref="A1:BN45"/>
  <sheetViews>
    <sheetView workbookViewId="0">
      <selection activeCell="N12" sqref="N12"/>
    </sheetView>
  </sheetViews>
  <sheetFormatPr defaultRowHeight="14.4" x14ac:dyDescent="0.3"/>
  <cols>
    <col min="6" max="24" width="9" customWidth="1"/>
    <col min="47" max="47" width="9.5546875" bestFit="1" customWidth="1"/>
  </cols>
  <sheetData>
    <row r="1" spans="1:62" x14ac:dyDescent="0.3">
      <c r="A1" t="s">
        <v>888</v>
      </c>
      <c r="E1" s="245" t="s">
        <v>891</v>
      </c>
      <c r="Y1" t="s">
        <v>893</v>
      </c>
      <c r="AR1" t="s">
        <v>895</v>
      </c>
      <c r="AS1" t="s">
        <v>897</v>
      </c>
    </row>
    <row r="2" spans="1:62" x14ac:dyDescent="0.3">
      <c r="B2" t="s">
        <v>887</v>
      </c>
      <c r="C2" s="246" t="s">
        <v>228</v>
      </c>
      <c r="D2" s="246" t="s">
        <v>436</v>
      </c>
      <c r="E2">
        <v>2025</v>
      </c>
      <c r="F2">
        <v>2026</v>
      </c>
      <c r="G2">
        <v>2027</v>
      </c>
      <c r="H2">
        <v>2028</v>
      </c>
      <c r="I2">
        <v>2029</v>
      </c>
      <c r="J2">
        <v>2030</v>
      </c>
      <c r="K2">
        <v>2031</v>
      </c>
      <c r="L2">
        <v>2032</v>
      </c>
      <c r="M2">
        <v>2033</v>
      </c>
      <c r="N2">
        <v>2034</v>
      </c>
      <c r="O2">
        <v>2035</v>
      </c>
      <c r="P2">
        <v>2036</v>
      </c>
      <c r="Q2">
        <v>2037</v>
      </c>
      <c r="R2">
        <v>2038</v>
      </c>
      <c r="S2">
        <v>2039</v>
      </c>
      <c r="T2">
        <v>2040</v>
      </c>
      <c r="U2">
        <v>2041</v>
      </c>
      <c r="V2">
        <v>2042</v>
      </c>
      <c r="W2" t="s">
        <v>413</v>
      </c>
      <c r="Y2">
        <f>E2</f>
        <v>2025</v>
      </c>
      <c r="Z2">
        <f t="shared" ref="Z2:AL2" si="0">F2</f>
        <v>2026</v>
      </c>
      <c r="AA2">
        <f t="shared" si="0"/>
        <v>2027</v>
      </c>
      <c r="AB2">
        <f t="shared" si="0"/>
        <v>2028</v>
      </c>
      <c r="AC2">
        <f t="shared" si="0"/>
        <v>2029</v>
      </c>
      <c r="AD2">
        <f t="shared" si="0"/>
        <v>2030</v>
      </c>
      <c r="AE2">
        <f t="shared" si="0"/>
        <v>2031</v>
      </c>
      <c r="AF2">
        <f t="shared" si="0"/>
        <v>2032</v>
      </c>
      <c r="AG2">
        <f t="shared" si="0"/>
        <v>2033</v>
      </c>
      <c r="AH2">
        <f t="shared" si="0"/>
        <v>2034</v>
      </c>
      <c r="AI2">
        <f t="shared" si="0"/>
        <v>2035</v>
      </c>
      <c r="AJ2">
        <f t="shared" si="0"/>
        <v>2036</v>
      </c>
      <c r="AK2">
        <f t="shared" si="0"/>
        <v>2037</v>
      </c>
      <c r="AL2">
        <f t="shared" si="0"/>
        <v>2038</v>
      </c>
      <c r="AM2">
        <f>S2</f>
        <v>2039</v>
      </c>
      <c r="AN2">
        <f t="shared" ref="AN2" si="1">T2</f>
        <v>2040</v>
      </c>
      <c r="AO2">
        <f t="shared" ref="AO2" si="2">U2</f>
        <v>2041</v>
      </c>
      <c r="AP2">
        <f>V2</f>
        <v>2042</v>
      </c>
      <c r="AR2" t="s">
        <v>896</v>
      </c>
      <c r="AS2">
        <f>Z2</f>
        <v>2026</v>
      </c>
      <c r="AT2">
        <f t="shared" ref="AT2:BC2" si="3">AA2</f>
        <v>2027</v>
      </c>
      <c r="AU2">
        <f t="shared" si="3"/>
        <v>2028</v>
      </c>
      <c r="AV2">
        <f t="shared" si="3"/>
        <v>2029</v>
      </c>
      <c r="AW2">
        <f t="shared" si="3"/>
        <v>2030</v>
      </c>
      <c r="AX2">
        <f t="shared" si="3"/>
        <v>2031</v>
      </c>
      <c r="AY2">
        <f t="shared" si="3"/>
        <v>2032</v>
      </c>
      <c r="AZ2">
        <f t="shared" si="3"/>
        <v>2033</v>
      </c>
      <c r="BA2">
        <f t="shared" si="3"/>
        <v>2034</v>
      </c>
      <c r="BB2">
        <f t="shared" si="3"/>
        <v>2035</v>
      </c>
      <c r="BC2">
        <f t="shared" si="3"/>
        <v>2036</v>
      </c>
      <c r="BD2">
        <f>AK2</f>
        <v>2037</v>
      </c>
      <c r="BE2">
        <f t="shared" ref="BE2" si="4">AL2</f>
        <v>2038</v>
      </c>
      <c r="BF2">
        <f t="shared" ref="BF2" si="5">AM2</f>
        <v>2039</v>
      </c>
      <c r="BG2">
        <f>AN2</f>
        <v>2040</v>
      </c>
      <c r="BH2">
        <f t="shared" ref="BH2" si="6">AO2</f>
        <v>2041</v>
      </c>
      <c r="BI2">
        <f>AP2</f>
        <v>2042</v>
      </c>
      <c r="BJ2" t="s">
        <v>138</v>
      </c>
    </row>
    <row r="3" spans="1:62" x14ac:dyDescent="0.3">
      <c r="A3" t="s">
        <v>871</v>
      </c>
      <c r="B3">
        <v>22</v>
      </c>
      <c r="C3" s="246">
        <f>'[2]OS Acq model'!J22</f>
        <v>1</v>
      </c>
      <c r="D3" s="246">
        <f>'[2]OS Acq model'!K22</f>
        <v>0</v>
      </c>
      <c r="E3" s="68">
        <f>'[2]OS Acq model'!AB22</f>
        <v>0</v>
      </c>
      <c r="F3" s="68">
        <f>'[2]OS Acq model'!AC22</f>
        <v>0</v>
      </c>
      <c r="G3" s="68">
        <f>'[2]OS Acq model'!AD22</f>
        <v>0</v>
      </c>
      <c r="H3" s="68">
        <f>'[2]OS Acq model'!AE22</f>
        <v>0</v>
      </c>
      <c r="I3" s="68">
        <f>'[2]OS Acq model'!AF22</f>
        <v>0</v>
      </c>
      <c r="J3" s="68">
        <f>'[2]OS Acq model'!AG22</f>
        <v>0</v>
      </c>
      <c r="K3" s="68">
        <f>'[2]OS Acq model'!AH22</f>
        <v>0</v>
      </c>
      <c r="L3" s="68">
        <f>'[2]OS Acq model'!AI22</f>
        <v>0</v>
      </c>
      <c r="M3" s="68">
        <f>'[2]OS Acq model'!AJ22</f>
        <v>0</v>
      </c>
      <c r="N3" s="68">
        <f>'[2]OS Acq model'!AK22</f>
        <v>0</v>
      </c>
      <c r="O3" s="68">
        <f>'[2]OS Acq model'!AL22</f>
        <v>0.10317424355676874</v>
      </c>
      <c r="P3" s="68">
        <f>'[2]OS Acq model'!AM22</f>
        <v>0.10437720006137982</v>
      </c>
      <c r="Q3" s="68">
        <f>'[2]OS Acq model'!AN22</f>
        <v>0.10605662509671779</v>
      </c>
      <c r="R3" s="68">
        <f>'[2]OS Acq model'!AO22</f>
        <v>0.10165489126390424</v>
      </c>
      <c r="S3" s="68">
        <f>'[2]OS Acq model'!AP22</f>
        <v>4.734280891885715E-2</v>
      </c>
      <c r="T3" s="68">
        <f>'[2]OS Acq model'!AQ22</f>
        <v>5.168471985812214E-2</v>
      </c>
      <c r="U3" s="68">
        <f>'[2]OS Acq model'!AR22</f>
        <v>0.24285475562212505</v>
      </c>
      <c r="V3" s="68">
        <f>'[2]OS Acq model'!AS22</f>
        <v>0.24285475562212505</v>
      </c>
      <c r="W3" s="67">
        <f>SUM(E3:V3)</f>
        <v>1</v>
      </c>
      <c r="Y3" s="247">
        <f>SUM($E3:E3)*SUM($C3:$D3)</f>
        <v>0</v>
      </c>
      <c r="Z3" s="247">
        <f>SUM($E3:F3)*SUM($C3:$D3)</f>
        <v>0</v>
      </c>
      <c r="AA3" s="247">
        <f>SUM($E3:G3)*SUM($C3:$D3)</f>
        <v>0</v>
      </c>
      <c r="AB3" s="247">
        <f>SUM($E3:H3)*SUM($C3:$D3)</f>
        <v>0</v>
      </c>
      <c r="AC3" s="247">
        <f>SUM($E3:I3)*SUM($C3:$D3)</f>
        <v>0</v>
      </c>
      <c r="AD3" s="247">
        <f>SUM($E3:J3)*SUM($C3:$D3)</f>
        <v>0</v>
      </c>
      <c r="AE3" s="247">
        <f>SUM($E3:K3)*SUM($C3:$D3)</f>
        <v>0</v>
      </c>
      <c r="AF3" s="247">
        <f>SUM($E3:L3)*SUM($C3:$D3)</f>
        <v>0</v>
      </c>
      <c r="AG3" s="247">
        <f>SUM($E3:M3)*SUM($C3:$D3)</f>
        <v>0</v>
      </c>
      <c r="AH3" s="247">
        <f>SUM($E3:N3)*SUM($C3:$D3)</f>
        <v>0</v>
      </c>
      <c r="AI3" s="247">
        <f>SUM($E3:O3)*SUM($C3:$D3)</f>
        <v>0.10317424355676874</v>
      </c>
      <c r="AJ3" s="247">
        <f>SUM($E3:P3)*SUM($C3:$D3)</f>
        <v>0.20755144361814856</v>
      </c>
      <c r="AK3" s="247">
        <f>SUM($E3:Q3)*SUM($C3:$D3)</f>
        <v>0.31360806871486635</v>
      </c>
      <c r="AL3" s="247">
        <f>SUM($E3:R3)*SUM($C3:$D3)</f>
        <v>0.41526295997877061</v>
      </c>
      <c r="AM3" s="247">
        <f>SUM($E3:S3)*SUM($C3:$D3)</f>
        <v>0.46260576889762778</v>
      </c>
      <c r="AN3" s="247">
        <f>SUM($E3:T3)*SUM($C3:$D3)</f>
        <v>0.5142904887557499</v>
      </c>
      <c r="AO3" s="247">
        <f>SUM($E3:U3)*SUM($C3:$D3)</f>
        <v>0.757145244377875</v>
      </c>
      <c r="AP3" s="247">
        <f>SUM($E3:V3)*SUM($C3:$D3)</f>
        <v>1</v>
      </c>
      <c r="AR3">
        <v>2041</v>
      </c>
    </row>
    <row r="4" spans="1:62" x14ac:dyDescent="0.3">
      <c r="A4" t="s">
        <v>886</v>
      </c>
      <c r="B4">
        <v>26</v>
      </c>
      <c r="C4" s="246">
        <f>'[2]OS Acq model'!J26</f>
        <v>7</v>
      </c>
      <c r="D4" s="246">
        <f>'[2]OS Acq model'!K26</f>
        <v>0</v>
      </c>
      <c r="E4" s="68">
        <f>'[2]OS Acq model'!AB26</f>
        <v>7.0999999999999994E-2</v>
      </c>
      <c r="F4" s="68">
        <f>'[2]OS Acq model'!AC26</f>
        <v>3.7543052523597763E-2</v>
      </c>
      <c r="G4" s="68">
        <f>'[2]OS Acq model'!AD26</f>
        <v>4.5514348152835955E-2</v>
      </c>
      <c r="H4" s="68">
        <f>'[2]OS Acq model'!AE26</f>
        <v>1.8122514202664898E-2</v>
      </c>
      <c r="I4" s="68">
        <f>'[2]OS Acq model'!AF26</f>
        <v>2.9436634290174995E-2</v>
      </c>
      <c r="J4" s="68">
        <f>'[2]OS Acq model'!AG26</f>
        <v>6.8898554427072656E-2</v>
      </c>
      <c r="K4" s="68">
        <f>'[2]OS Acq model'!AH26</f>
        <v>5.6492768691534537E-2</v>
      </c>
      <c r="L4" s="68">
        <f>'[2]OS Acq model'!AI26</f>
        <v>6.104858397150742E-2</v>
      </c>
      <c r="M4" s="68">
        <f>'[2]OS Acq model'!AJ26</f>
        <v>4.7218433489156879E-2</v>
      </c>
      <c r="N4" s="68">
        <f>'[2]OS Acq model'!AK26</f>
        <v>1.3445716477434186E-2</v>
      </c>
      <c r="O4" s="68">
        <f>'[2]OS Acq model'!AL26</f>
        <v>0.10317424355676874</v>
      </c>
      <c r="P4" s="68">
        <f>'[2]OS Acq model'!AM26</f>
        <v>0.10437720006137982</v>
      </c>
      <c r="Q4" s="68">
        <f>'[2]OS Acq model'!AN26</f>
        <v>0.10605662509671779</v>
      </c>
      <c r="R4" s="68">
        <f>'[2]OS Acq model'!AO26</f>
        <v>0.10165489126390424</v>
      </c>
      <c r="S4" s="68">
        <f>'[2]OS Acq model'!AP26</f>
        <v>4.734280891885715E-2</v>
      </c>
      <c r="T4" s="68">
        <f>'[2]OS Acq model'!AQ26</f>
        <v>5.168471985812214E-2</v>
      </c>
      <c r="U4" s="68">
        <f>'[2]OS Acq model'!AR26</f>
        <v>3.698890501827079E-2</v>
      </c>
      <c r="V4" s="68">
        <f>'[2]OS Acq model'!AS26</f>
        <v>0</v>
      </c>
      <c r="W4" s="67">
        <f t="shared" ref="W4:W19" si="7">SUM(E4:V4)</f>
        <v>1</v>
      </c>
      <c r="Y4" s="247">
        <f>SUM($E4:E4)*SUM($C4:$D4)</f>
        <v>0.49699999999999994</v>
      </c>
      <c r="Z4" s="247">
        <f>SUM($E4:F4)*SUM($C4:$D4)</f>
        <v>0.75980136766518425</v>
      </c>
      <c r="AA4" s="247">
        <f>SUM($E4:G4)*SUM($C4:$D4)</f>
        <v>1.0784018047350359</v>
      </c>
      <c r="AB4" s="247">
        <f>SUM($E4:H4)*SUM($C4:$D4)</f>
        <v>1.2052594041536902</v>
      </c>
      <c r="AC4" s="247">
        <f>SUM($E4:I4)*SUM($C4:$D4)</f>
        <v>1.411315844184915</v>
      </c>
      <c r="AD4" s="247">
        <f>SUM($E4:J4)*SUM($C4:$D4)</f>
        <v>1.8936057251744236</v>
      </c>
      <c r="AE4" s="247">
        <f>SUM($E4:K4)*SUM($C4:$D4)</f>
        <v>2.2890551060151654</v>
      </c>
      <c r="AF4" s="247">
        <f>SUM($E4:L4)*SUM($C4:$D4)</f>
        <v>2.7163951938157171</v>
      </c>
      <c r="AG4" s="247">
        <f>SUM($E4:M4)*SUM($C4:$D4)</f>
        <v>3.0469242282398152</v>
      </c>
      <c r="AH4" s="247">
        <f>SUM($E4:N4)*SUM($C4:$D4)</f>
        <v>3.1410442435818546</v>
      </c>
      <c r="AI4" s="247">
        <f>SUM($E4:O4)*SUM($C4:$D4)</f>
        <v>3.8632639484792364</v>
      </c>
      <c r="AJ4" s="247">
        <f>SUM($E4:P4)*SUM($C4:$D4)</f>
        <v>4.5939043489088949</v>
      </c>
      <c r="AK4" s="247">
        <f>SUM($E4:Q4)*SUM($C4:$D4)</f>
        <v>5.3363007245859198</v>
      </c>
      <c r="AL4" s="247">
        <f>SUM($E4:R4)*SUM($C4:$D4)</f>
        <v>6.0478849634332494</v>
      </c>
      <c r="AM4" s="247">
        <f>SUM($E4:S4)*SUM($C4:$D4)</f>
        <v>6.3792846258652496</v>
      </c>
      <c r="AN4" s="247">
        <f>SUM($E4:T4)*SUM($C4:$D4)</f>
        <v>6.7410776648721047</v>
      </c>
      <c r="AO4" s="247">
        <f>SUM($E4:U4)*SUM($C4:$D4)</f>
        <v>7</v>
      </c>
      <c r="AP4" s="247">
        <f>SUM($E4:V4)*SUM($C4:$D4)</f>
        <v>7</v>
      </c>
      <c r="AT4">
        <f>IF((AA4-SUM($AS4:AS4))&gt;0.75,1,0)</f>
        <v>1</v>
      </c>
      <c r="AU4">
        <f>IF((AB4-SUM($AS4:AT4))&gt;0.75,1,0)</f>
        <v>0</v>
      </c>
      <c r="AV4">
        <f>IF((AC4-SUM($AS4:AU4))&gt;0.75,1,0)</f>
        <v>0</v>
      </c>
      <c r="AW4">
        <f>IF((AD4-SUM($AS4:AV4))&gt;0.75,1,0)</f>
        <v>1</v>
      </c>
      <c r="AX4">
        <f>IF((AE4-SUM($AS4:AW4))&gt;0.75,1,0)</f>
        <v>0</v>
      </c>
      <c r="AY4">
        <f>IF((AF4-SUM($AS4:AX4))&gt;0.75,1,0)</f>
        <v>0</v>
      </c>
      <c r="AZ4">
        <f>IF((AG4-SUM($AS4:AY4))&gt;0.75,1,0)</f>
        <v>1</v>
      </c>
      <c r="BA4">
        <f>IF((AH4-SUM($AS4:AZ4))&gt;0.75,1,0)</f>
        <v>0</v>
      </c>
      <c r="BB4">
        <f>IF((AI4-SUM($AS4:BA4))&gt;0.75,1,0)</f>
        <v>1</v>
      </c>
      <c r="BC4">
        <f>IF((AJ4-SUM($AS4:BB4))&gt;0.75,1,0)</f>
        <v>0</v>
      </c>
      <c r="BD4">
        <f>IF((AK4-SUM($AS4:BC4))&gt;0.75,1,0)</f>
        <v>1</v>
      </c>
      <c r="BE4">
        <f>IF((AL4-SUM($AS4:BD4))&gt;0.75,1,0)</f>
        <v>1</v>
      </c>
      <c r="BF4">
        <f>IF((AM4-SUM($AS4:BE4))&gt;0.75,1,0)</f>
        <v>0</v>
      </c>
      <c r="BG4">
        <f>IF((AN4-SUM($AS4:BF4))&gt;0.75,1,0)</f>
        <v>0</v>
      </c>
      <c r="BH4">
        <f>IF((AO4-SUM($AS4:BG4))&gt;0.75,1,0)</f>
        <v>1</v>
      </c>
      <c r="BI4">
        <f>IF((AP4-SUM($AS4:BH4))&gt;=1,1,0)</f>
        <v>0</v>
      </c>
      <c r="BJ4" s="247">
        <f>SUM(AS4:BI4)</f>
        <v>7</v>
      </c>
    </row>
    <row r="5" spans="1:62" x14ac:dyDescent="0.3">
      <c r="A5" t="s">
        <v>886</v>
      </c>
      <c r="B5">
        <v>27</v>
      </c>
      <c r="C5" s="246">
        <f>'[2]OS Acq model'!J27</f>
        <v>0</v>
      </c>
      <c r="D5" s="246">
        <f>'[2]OS Acq model'!K27</f>
        <v>1</v>
      </c>
      <c r="E5" s="68">
        <f>'[2]OS Acq model'!AB27</f>
        <v>7.0999999999999994E-2</v>
      </c>
      <c r="F5" s="68">
        <f>'[2]OS Acq model'!AC27</f>
        <v>3.7543052523597763E-2</v>
      </c>
      <c r="G5" s="68">
        <f>'[2]OS Acq model'!AD27</f>
        <v>4.5514348152835955E-2</v>
      </c>
      <c r="H5" s="68">
        <f>'[2]OS Acq model'!AE27</f>
        <v>1.8122514202664898E-2</v>
      </c>
      <c r="I5" s="68">
        <f>'[2]OS Acq model'!AF27</f>
        <v>2.9436634290174995E-2</v>
      </c>
      <c r="J5" s="68">
        <f>'[2]OS Acq model'!AG27</f>
        <v>6.8898554427072656E-2</v>
      </c>
      <c r="K5" s="68">
        <f>'[2]OS Acq model'!AH27</f>
        <v>5.6492768691534537E-2</v>
      </c>
      <c r="L5" s="68">
        <f>'[2]OS Acq model'!AI27</f>
        <v>6.104858397150742E-2</v>
      </c>
      <c r="M5" s="68">
        <f>'[2]OS Acq model'!AJ27</f>
        <v>4.7218433489156879E-2</v>
      </c>
      <c r="N5" s="68">
        <f>'[2]OS Acq model'!AK27</f>
        <v>1.3445716477434186E-2</v>
      </c>
      <c r="O5" s="68">
        <f>'[2]OS Acq model'!AL27</f>
        <v>0.10317424355676874</v>
      </c>
      <c r="P5" s="68">
        <f>'[2]OS Acq model'!AM27</f>
        <v>0.10437720006137982</v>
      </c>
      <c r="Q5" s="68">
        <f>'[2]OS Acq model'!AN27</f>
        <v>0.10605662509671779</v>
      </c>
      <c r="R5" s="68">
        <f>'[2]OS Acq model'!AO27</f>
        <v>0.10165489126390424</v>
      </c>
      <c r="S5" s="68">
        <f>'[2]OS Acq model'!AP27</f>
        <v>4.734280891885715E-2</v>
      </c>
      <c r="T5" s="68">
        <f>'[2]OS Acq model'!AQ27</f>
        <v>5.168471985812214E-2</v>
      </c>
      <c r="U5" s="68">
        <f>'[2]OS Acq model'!AR27</f>
        <v>3.698890501827079E-2</v>
      </c>
      <c r="V5" s="68">
        <f>'[2]OS Acq model'!AS27</f>
        <v>0</v>
      </c>
      <c r="W5" s="67">
        <f t="shared" si="7"/>
        <v>1</v>
      </c>
      <c r="Y5" s="247">
        <f>SUM($E5:E5)*SUM($C5:$D5)</f>
        <v>7.0999999999999994E-2</v>
      </c>
      <c r="Z5" s="247">
        <f>SUM($E5:F5)*SUM($C5:$D5)</f>
        <v>0.10854305252359775</v>
      </c>
      <c r="AA5" s="247">
        <f>SUM($E5:G5)*SUM($C5:$D5)</f>
        <v>0.1540574006764337</v>
      </c>
      <c r="AB5" s="247">
        <f>SUM($E5:H5)*SUM($C5:$D5)</f>
        <v>0.17217991487909859</v>
      </c>
      <c r="AC5" s="247">
        <f>SUM($E5:I5)*SUM($C5:$D5)</f>
        <v>0.20161654916927357</v>
      </c>
      <c r="AD5" s="247">
        <f>SUM($E5:J5)*SUM($C5:$D5)</f>
        <v>0.27051510359634623</v>
      </c>
      <c r="AE5" s="247">
        <f>SUM($E5:K5)*SUM($C5:$D5)</f>
        <v>0.32700787228788075</v>
      </c>
      <c r="AF5" s="247">
        <f>SUM($E5:L5)*SUM($C5:$D5)</f>
        <v>0.38805645625938817</v>
      </c>
      <c r="AG5" s="247">
        <f>SUM($E5:M5)*SUM($C5:$D5)</f>
        <v>0.43527488974854506</v>
      </c>
      <c r="AH5" s="247">
        <f>SUM($E5:N5)*SUM($C5:$D5)</f>
        <v>0.44872060622597926</v>
      </c>
      <c r="AI5" s="247">
        <f>SUM($E5:O5)*SUM($C5:$D5)</f>
        <v>0.55189484978274805</v>
      </c>
      <c r="AJ5" s="247">
        <f>SUM($E5:P5)*SUM($C5:$D5)</f>
        <v>0.6562720498441279</v>
      </c>
      <c r="AK5" s="247">
        <f>SUM($E5:Q5)*SUM($C5:$D5)</f>
        <v>0.76232867494084566</v>
      </c>
      <c r="AL5" s="247">
        <f>SUM($E5:R5)*SUM($C5:$D5)</f>
        <v>0.86398356620474992</v>
      </c>
      <c r="AM5" s="247">
        <f>SUM($E5:S5)*SUM($C5:$D5)</f>
        <v>0.91132637512360704</v>
      </c>
      <c r="AN5" s="247">
        <f>SUM($E5:T5)*SUM($C5:$D5)</f>
        <v>0.96301109498172921</v>
      </c>
      <c r="AO5" s="247">
        <f>SUM($E5:U5)*SUM($C5:$D5)</f>
        <v>1</v>
      </c>
      <c r="AP5" s="247">
        <f>SUM($E5:V5)*SUM($C5:$D5)</f>
        <v>1</v>
      </c>
      <c r="AR5">
        <v>2037</v>
      </c>
    </row>
    <row r="6" spans="1:62" x14ac:dyDescent="0.3">
      <c r="A6" t="s">
        <v>890</v>
      </c>
      <c r="B6">
        <v>40</v>
      </c>
      <c r="C6" s="246">
        <f>'[2]OS Acq model'!J40</f>
        <v>0</v>
      </c>
      <c r="D6" s="246">
        <f>'[2]OS Acq model'!K40</f>
        <v>1</v>
      </c>
      <c r="E6" s="66">
        <f>'[2]OS Acq model'!AB40</f>
        <v>0</v>
      </c>
      <c r="F6" s="66">
        <f>'[2]OS Acq model'!AC40</f>
        <v>0</v>
      </c>
      <c r="G6" s="66">
        <f>'[2]OS Acq model'!AD40</f>
        <v>0</v>
      </c>
      <c r="H6" s="66">
        <f>'[2]OS Acq model'!AE40</f>
        <v>0</v>
      </c>
      <c r="I6" s="66">
        <f>'[2]OS Acq model'!AF40</f>
        <v>0</v>
      </c>
      <c r="J6" s="66">
        <f>'[2]OS Acq model'!AG40</f>
        <v>0</v>
      </c>
      <c r="K6" s="66">
        <f>'[2]OS Acq model'!AH40</f>
        <v>0</v>
      </c>
      <c r="L6" s="66">
        <f>'[2]OS Acq model'!AI40</f>
        <v>0</v>
      </c>
      <c r="M6" s="66">
        <f>'[2]OS Acq model'!AJ40</f>
        <v>0</v>
      </c>
      <c r="N6" s="66">
        <f>'[2]OS Acq model'!AK40</f>
        <v>0.06</v>
      </c>
      <c r="O6" s="66">
        <f>'[2]OS Acq model'!AL40</f>
        <v>0.10317424355676874</v>
      </c>
      <c r="P6" s="66">
        <f>'[2]OS Acq model'!AM40</f>
        <v>0.10437720006137982</v>
      </c>
      <c r="Q6" s="66">
        <f>'[2]OS Acq model'!AN40</f>
        <v>0.10605662509671779</v>
      </c>
      <c r="R6" s="66">
        <f>'[2]OS Acq model'!AO40</f>
        <v>0.10165489126390424</v>
      </c>
      <c r="S6" s="66">
        <f>'[2]OS Acq model'!AP40</f>
        <v>4.734280891885715E-2</v>
      </c>
      <c r="T6" s="66">
        <f>'[2]OS Acq model'!AQ40</f>
        <v>5.168471985812214E-2</v>
      </c>
      <c r="U6" s="66">
        <f>'[2]OS Acq model'!AR40</f>
        <v>0.21285475562212508</v>
      </c>
      <c r="V6" s="66">
        <f>'[2]OS Acq model'!AS40</f>
        <v>0.21285475562212508</v>
      </c>
      <c r="W6" s="67">
        <f t="shared" si="7"/>
        <v>1</v>
      </c>
      <c r="Y6" s="247">
        <f>SUM($E6:E6)*SUM($C6:$D6)</f>
        <v>0</v>
      </c>
      <c r="Z6" s="247">
        <f>SUM($E6:F6)*SUM($C6:$D6)</f>
        <v>0</v>
      </c>
      <c r="AA6" s="247">
        <f>SUM($E6:G6)*SUM($C6:$D6)</f>
        <v>0</v>
      </c>
      <c r="AB6" s="247">
        <f>SUM($E6:H6)*SUM($C6:$D6)</f>
        <v>0</v>
      </c>
      <c r="AC6" s="247">
        <f>SUM($E6:I6)*SUM($C6:$D6)</f>
        <v>0</v>
      </c>
      <c r="AD6" s="247">
        <f>SUM($E6:J6)*SUM($C6:$D6)</f>
        <v>0</v>
      </c>
      <c r="AE6" s="247">
        <f>SUM($E6:K6)*SUM($C6:$D6)</f>
        <v>0</v>
      </c>
      <c r="AF6" s="247">
        <f>SUM($E6:L6)*SUM($C6:$D6)</f>
        <v>0</v>
      </c>
      <c r="AG6" s="247">
        <f>SUM($E6:M6)*SUM($C6:$D6)</f>
        <v>0</v>
      </c>
      <c r="AH6" s="247">
        <f>SUM($E6:N6)*SUM($C6:$D6)</f>
        <v>0.06</v>
      </c>
      <c r="AI6" s="247">
        <f>SUM($E6:O6)*SUM($C6:$D6)</f>
        <v>0.16317424355676874</v>
      </c>
      <c r="AJ6" s="247">
        <f>SUM($E6:P6)*SUM($C6:$D6)</f>
        <v>0.26755144361814853</v>
      </c>
      <c r="AK6" s="247">
        <f>SUM($E6:Q6)*SUM($C6:$D6)</f>
        <v>0.37360806871486629</v>
      </c>
      <c r="AL6" s="247">
        <f>SUM($E6:R6)*SUM($C6:$D6)</f>
        <v>0.47526295997877055</v>
      </c>
      <c r="AM6" s="247">
        <f>SUM($E6:S6)*SUM($C6:$D6)</f>
        <v>0.52260576889762766</v>
      </c>
      <c r="AN6" s="247">
        <f>SUM($E6:T6)*SUM($C6:$D6)</f>
        <v>0.57429048875574984</v>
      </c>
      <c r="AO6" s="247">
        <f>SUM($E6:U6)*SUM($C6:$D6)</f>
        <v>0.78714524437787492</v>
      </c>
      <c r="AP6" s="247">
        <f>SUM($E6:V6)*SUM($C6:$D6)</f>
        <v>1</v>
      </c>
      <c r="AR6">
        <v>2041</v>
      </c>
    </row>
    <row r="7" spans="1:62" x14ac:dyDescent="0.3">
      <c r="A7" t="s">
        <v>102</v>
      </c>
      <c r="B7">
        <v>44</v>
      </c>
      <c r="C7" s="246">
        <v>11</v>
      </c>
      <c r="D7" s="246">
        <f>'[2]OS Acq model'!K44</f>
        <v>0</v>
      </c>
      <c r="E7" s="66">
        <f>'[2]OS Acq model'!AB44</f>
        <v>7.0263895437556054E-2</v>
      </c>
      <c r="F7" s="66">
        <f>'[2]OS Acq model'!AC44</f>
        <v>3.7543052523597763E-2</v>
      </c>
      <c r="G7" s="66">
        <f>'[2]OS Acq model'!AD44</f>
        <v>4.5514348152835955E-2</v>
      </c>
      <c r="H7" s="66">
        <f>'[2]OS Acq model'!AE44</f>
        <v>1.8122514202664898E-2</v>
      </c>
      <c r="I7" s="66">
        <f>'[2]OS Acq model'!AF44</f>
        <v>2.9436634290174995E-2</v>
      </c>
      <c r="J7" s="66">
        <f>'[2]OS Acq model'!AG44</f>
        <v>6.8898554427072656E-2</v>
      </c>
      <c r="K7" s="66">
        <f>'[2]OS Acq model'!AH44</f>
        <v>5.6579859121625317E-2</v>
      </c>
      <c r="L7" s="66">
        <f>'[2]OS Acq model'!AI44</f>
        <v>6.1117244213218923E-2</v>
      </c>
      <c r="M7" s="66">
        <f>'[2]OS Acq model'!AJ44</f>
        <v>4.7293335217549748E-2</v>
      </c>
      <c r="N7" s="66">
        <f>'[2]OS Acq model'!AK44</f>
        <v>1.3410988286823064E-2</v>
      </c>
      <c r="O7" s="66">
        <f>'[2]OS Acq model'!AL44</f>
        <v>0.10317424355676874</v>
      </c>
      <c r="P7" s="66">
        <f>'[2]OS Acq model'!AM44</f>
        <v>0.10437720006137982</v>
      </c>
      <c r="Q7" s="66">
        <f>'[2]OS Acq model'!AN44</f>
        <v>0.10605662509671779</v>
      </c>
      <c r="R7" s="66">
        <f>'[2]OS Acq model'!AO44</f>
        <v>0.10165489126390424</v>
      </c>
      <c r="S7" s="66">
        <f>'[2]OS Acq model'!AP44</f>
        <v>4.734280891885715E-2</v>
      </c>
      <c r="T7" s="66">
        <f>'[2]OS Acq model'!AQ44</f>
        <v>5.168471985812214E-2</v>
      </c>
      <c r="U7" s="66">
        <f>'[2]OS Acq model'!AR44</f>
        <v>3.7529085371130755E-2</v>
      </c>
      <c r="V7" s="66">
        <f>'[2]OS Acq model'!AS44</f>
        <v>0</v>
      </c>
      <c r="W7" s="67">
        <f t="shared" si="7"/>
        <v>1</v>
      </c>
      <c r="Y7" s="247">
        <f>SUM($E7:E7)*SUM($C7:$D7)</f>
        <v>0.77290284981311663</v>
      </c>
      <c r="Z7" s="247">
        <f>SUM($E7:F7)*SUM($C7:$D7)</f>
        <v>1.1858764275726918</v>
      </c>
      <c r="AA7" s="247">
        <f>SUM($E7:G7)*SUM($C7:$D7)</f>
        <v>1.6865342572538873</v>
      </c>
      <c r="AB7" s="247">
        <f>SUM($E7:H7)*SUM($C7:$D7)</f>
        <v>1.8858819134832012</v>
      </c>
      <c r="AC7" s="247">
        <f>SUM($E7:I7)*SUM($C7:$D7)</f>
        <v>2.2096848906751259</v>
      </c>
      <c r="AD7" s="247">
        <f>SUM($E7:J7)*SUM($C7:$D7)</f>
        <v>2.9675689893729253</v>
      </c>
      <c r="AE7" s="247">
        <f>SUM($E7:K7)*SUM($C7:$D7)</f>
        <v>3.5899474397108038</v>
      </c>
      <c r="AF7" s="247">
        <f>SUM($E7:L7)*SUM($C7:$D7)</f>
        <v>4.2622371260562115</v>
      </c>
      <c r="AG7" s="247">
        <f>SUM($E7:M7)*SUM($C7:$D7)</f>
        <v>4.782463813449259</v>
      </c>
      <c r="AH7" s="247">
        <f>SUM($E7:N7)*SUM($C7:$D7)</f>
        <v>4.9299846846043129</v>
      </c>
      <c r="AI7" s="247">
        <f>SUM($E7:O7)*SUM($C7:$D7)</f>
        <v>6.0649013637287688</v>
      </c>
      <c r="AJ7" s="247">
        <f>SUM($E7:P7)*SUM($C7:$D7)</f>
        <v>7.2130505644039475</v>
      </c>
      <c r="AK7" s="247">
        <f>SUM($E7:Q7)*SUM($C7:$D7)</f>
        <v>8.3796734404678421</v>
      </c>
      <c r="AL7" s="247">
        <f>SUM($E7:R7)*SUM($C7:$D7)</f>
        <v>9.4978772443707893</v>
      </c>
      <c r="AM7" s="247">
        <f>SUM($E7:S7)*SUM($C7:$D7)</f>
        <v>10.018648142478218</v>
      </c>
      <c r="AN7" s="247">
        <f>SUM($E7:T7)*SUM($C7:$D7)</f>
        <v>10.587180060917561</v>
      </c>
      <c r="AO7" s="247">
        <f>SUM($E7:U7)*SUM($C7:$D7)</f>
        <v>11</v>
      </c>
      <c r="AP7" s="247">
        <f>SUM($E7:V7)*SUM($C7:$D7)</f>
        <v>11</v>
      </c>
      <c r="AS7" s="248">
        <v>1</v>
      </c>
      <c r="AT7">
        <f>IF((AA7-SUM($AS7:AS7))&gt;0.75,1,0)</f>
        <v>0</v>
      </c>
      <c r="AU7" s="249">
        <f>IF((AB7-SUM($AS7:AT7))&gt;0.75,1,0)</f>
        <v>1</v>
      </c>
      <c r="AV7">
        <f>IF((AC7-SUM($AS7:AU7))&gt;0.75,1,0)</f>
        <v>0</v>
      </c>
      <c r="AW7" s="250">
        <f>IF((AD7-SUM($AS7:AV7))&gt;0.75,1,0)</f>
        <v>1</v>
      </c>
      <c r="AX7">
        <f>IF((AE7-SUM($AS7:AW7))&gt;0.75,1,0)</f>
        <v>0</v>
      </c>
      <c r="AY7" s="251">
        <f>IF((AF7-SUM($AS7:AX7))&gt;0.75,1,0)</f>
        <v>1</v>
      </c>
      <c r="AZ7" s="251">
        <f>IF((AG7-SUM($AS7:AY7))&gt;0.75,1,0)</f>
        <v>1</v>
      </c>
      <c r="BA7">
        <f>IF((AH7-SUM($AS7:AZ7))&gt;0.75,1,0)</f>
        <v>0</v>
      </c>
      <c r="BB7" s="252">
        <f>IF((AI7-SUM($AS7:BA7))&gt;0.75,1,0)</f>
        <v>1</v>
      </c>
      <c r="BC7" s="252">
        <f>IF((AJ7-SUM($AS7:BB7))&gt;0.75,1,0)</f>
        <v>1</v>
      </c>
      <c r="BD7" s="252">
        <f>IF((AK7-SUM($AS7:BC7))&gt;0.75,1,0)</f>
        <v>1</v>
      </c>
      <c r="BE7" s="252">
        <f>IF((AL7-SUM($AS7:BD7))&gt;0.75,1,0)</f>
        <v>1</v>
      </c>
      <c r="BF7" s="252">
        <f>IF((AM7-SUM($AS7:BE7))&gt;0.75,1,0)</f>
        <v>1</v>
      </c>
      <c r="BG7">
        <f>IF((AN7-SUM($AS7:BF7))&gt;0.75,1,0)</f>
        <v>0</v>
      </c>
      <c r="BH7" s="253">
        <f>IF((AO7-SUM($AS7:BG7))&gt;0.75,1,0)</f>
        <v>1</v>
      </c>
      <c r="BI7">
        <f>IF((AP7-SUM($AS7:BH7))&gt;=1,1,0)</f>
        <v>0</v>
      </c>
      <c r="BJ7" s="247">
        <f>SUM(AS7:BI7)</f>
        <v>11</v>
      </c>
    </row>
    <row r="8" spans="1:62" x14ac:dyDescent="0.3">
      <c r="A8" t="str">
        <f>A7</f>
        <v>Redhills</v>
      </c>
      <c r="B8">
        <v>45</v>
      </c>
      <c r="C8" s="246">
        <f>'[2]OS Acq model'!J45</f>
        <v>0</v>
      </c>
      <c r="D8" s="246">
        <f>'[2]OS Acq model'!K45</f>
        <v>2</v>
      </c>
      <c r="E8" s="66">
        <f>'[2]OS Acq model'!AB45</f>
        <v>7.0263895437556054E-2</v>
      </c>
      <c r="F8" s="66">
        <f>'[2]OS Acq model'!AC45</f>
        <v>3.7543052523597763E-2</v>
      </c>
      <c r="G8" s="66">
        <f>'[2]OS Acq model'!AD45</f>
        <v>4.5514348152835955E-2</v>
      </c>
      <c r="H8" s="66">
        <f>'[2]OS Acq model'!AE45</f>
        <v>1.8122514202664898E-2</v>
      </c>
      <c r="I8" s="66">
        <f>'[2]OS Acq model'!AF45</f>
        <v>2.9436634290174995E-2</v>
      </c>
      <c r="J8" s="66">
        <f>'[2]OS Acq model'!AG45</f>
        <v>6.8898554427072656E-2</v>
      </c>
      <c r="K8" s="66">
        <f>'[2]OS Acq model'!AH45</f>
        <v>5.6579859121625317E-2</v>
      </c>
      <c r="L8" s="66">
        <f>'[2]OS Acq model'!AI45</f>
        <v>6.1117244213218923E-2</v>
      </c>
      <c r="M8" s="66">
        <f>'[2]OS Acq model'!AJ45</f>
        <v>4.7293335217549748E-2</v>
      </c>
      <c r="N8" s="66">
        <f>'[2]OS Acq model'!AK45</f>
        <v>1.3410988286823064E-2</v>
      </c>
      <c r="O8" s="66">
        <f>'[2]OS Acq model'!AL45</f>
        <v>0.10317424355676874</v>
      </c>
      <c r="P8" s="66">
        <f>'[2]OS Acq model'!AM45</f>
        <v>0.10437720006137982</v>
      </c>
      <c r="Q8" s="66">
        <f>'[2]OS Acq model'!AN45</f>
        <v>0.10605662509671779</v>
      </c>
      <c r="R8" s="66">
        <f>'[2]OS Acq model'!AO45</f>
        <v>0.10165489126390424</v>
      </c>
      <c r="S8" s="66">
        <f>'[2]OS Acq model'!AP45</f>
        <v>4.734280891885715E-2</v>
      </c>
      <c r="T8" s="66">
        <f>'[2]OS Acq model'!AQ45</f>
        <v>5.168471985812214E-2</v>
      </c>
      <c r="U8" s="66">
        <f>'[2]OS Acq model'!AR45</f>
        <v>3.7529085371130755E-2</v>
      </c>
      <c r="V8" s="66">
        <f>'[2]OS Acq model'!AS45</f>
        <v>0</v>
      </c>
      <c r="W8" s="67">
        <f t="shared" si="7"/>
        <v>1</v>
      </c>
      <c r="Y8" s="247">
        <f>SUM($E8:E8)*SUM($C8:$D8)</f>
        <v>0.14052779087511211</v>
      </c>
      <c r="Z8" s="247">
        <f>SUM($E8:F8)*SUM($C8:$D8)</f>
        <v>0.21561389592230762</v>
      </c>
      <c r="AA8" s="247">
        <f>SUM($E8:G8)*SUM($C8:$D8)</f>
        <v>0.30664259222797952</v>
      </c>
      <c r="AB8" s="247">
        <f>SUM($E8:H8)*SUM($C8:$D8)</f>
        <v>0.3428876206333093</v>
      </c>
      <c r="AC8" s="247">
        <f>SUM($E8:I8)*SUM($C8:$D8)</f>
        <v>0.40176088921365927</v>
      </c>
      <c r="AD8" s="247">
        <f>SUM($E8:J8)*SUM($C8:$D8)</f>
        <v>0.53955799806780458</v>
      </c>
      <c r="AE8" s="247">
        <f>SUM($E8:K8)*SUM($C8:$D8)</f>
        <v>0.65271771631105524</v>
      </c>
      <c r="AF8" s="247">
        <f>SUM($E8:L8)*SUM($C8:$D8)</f>
        <v>0.77495220473749304</v>
      </c>
      <c r="AG8" s="247">
        <f>SUM($E8:M8)*SUM($C8:$D8)</f>
        <v>0.86953887517259254</v>
      </c>
      <c r="AH8" s="247">
        <f>SUM($E8:N8)*SUM($C8:$D8)</f>
        <v>0.8963608517462387</v>
      </c>
      <c r="AI8" s="247">
        <f>SUM($E8:O8)*SUM($C8:$D8)</f>
        <v>1.1027093388597762</v>
      </c>
      <c r="AJ8" s="247">
        <f>SUM($E8:P8)*SUM($C8:$D8)</f>
        <v>1.3114637389825359</v>
      </c>
      <c r="AK8" s="247">
        <f>SUM($E8:Q8)*SUM($C8:$D8)</f>
        <v>1.5235769891759714</v>
      </c>
      <c r="AL8" s="247">
        <f>SUM($E8:R8)*SUM($C8:$D8)</f>
        <v>1.7268867717037799</v>
      </c>
      <c r="AM8" s="247">
        <f>SUM($E8:S8)*SUM($C8:$D8)</f>
        <v>1.8215723895414941</v>
      </c>
      <c r="AN8" s="247">
        <f>SUM($E8:T8)*SUM($C8:$D8)</f>
        <v>1.9249418292577385</v>
      </c>
      <c r="AO8" s="247">
        <f>SUM($E8:U8)*SUM($C8:$D8)</f>
        <v>2</v>
      </c>
      <c r="AP8" s="247">
        <f>SUM($E8:V8)*SUM($C8:$D8)</f>
        <v>2</v>
      </c>
      <c r="AT8">
        <f>IF((AA8-SUM($AS8:AS8))&gt;0.75,1,0)</f>
        <v>0</v>
      </c>
      <c r="AU8">
        <f>IF((AB8-SUM($AS8:AT8))&gt;0.75,1,0)</f>
        <v>0</v>
      </c>
      <c r="AV8">
        <f>IF((AC8-SUM($AS8:AU8))&gt;0.75,1,0)</f>
        <v>0</v>
      </c>
      <c r="AW8">
        <f>IF((AD8-SUM($AS8:AV8))&gt;0.75,1,0)</f>
        <v>0</v>
      </c>
      <c r="AX8">
        <f>IF((AE8-SUM($AS8:AW8))&gt;0.75,1,0)</f>
        <v>0</v>
      </c>
      <c r="AY8">
        <f>IF((AF8-SUM($AS8:AX8))&gt;0.75,1,0)</f>
        <v>1</v>
      </c>
      <c r="AZ8">
        <f>IF((AG8-SUM($AS8:AY8))&gt;0.75,1,0)</f>
        <v>0</v>
      </c>
      <c r="BA8">
        <f>IF((AH8-SUM($AS8:AZ8))&gt;0.75,1,0)</f>
        <v>0</v>
      </c>
      <c r="BB8">
        <f>IF((AI8-SUM($AS8:BA8))&gt;0.75,1,0)</f>
        <v>0</v>
      </c>
      <c r="BC8">
        <f>IF((AJ8-SUM($AS8:BB8))&gt;0.75,1,0)</f>
        <v>0</v>
      </c>
      <c r="BD8">
        <f>IF((AK8-SUM($AS8:BC8))&gt;0.75,1,0)</f>
        <v>0</v>
      </c>
      <c r="BE8">
        <f>IF((AL8-SUM($AS8:BD8))&gt;0.75,1,0)</f>
        <v>0</v>
      </c>
      <c r="BF8">
        <f>IF((AM8-SUM($AS8:BE8))&gt;0.75,1,0)</f>
        <v>1</v>
      </c>
      <c r="BG8">
        <f>IF((AN8-SUM($AS8:BF8))&gt;0.75,1,0)</f>
        <v>0</v>
      </c>
      <c r="BH8">
        <f>IF((AO8-SUM($AS8:BG8))&gt;0.75,1,0)</f>
        <v>0</v>
      </c>
      <c r="BI8">
        <f>IF((AP8-SUM($AS8:BH8))&gt;=1,1,0)</f>
        <v>0</v>
      </c>
      <c r="BJ8" s="247">
        <f t="shared" ref="BJ8:BJ9" si="8">SUM(AS8:BI8)</f>
        <v>2</v>
      </c>
    </row>
    <row r="9" spans="1:62" x14ac:dyDescent="0.3">
      <c r="A9" t="s">
        <v>113</v>
      </c>
      <c r="B9">
        <v>58</v>
      </c>
      <c r="C9" s="246">
        <f>'[2]OS Acq model'!J58</f>
        <v>4</v>
      </c>
      <c r="D9" s="246">
        <f>'[2]OS Acq model'!K58</f>
        <v>0</v>
      </c>
      <c r="E9" s="66">
        <f>'[2]OS Acq model'!AB58</f>
        <v>0</v>
      </c>
      <c r="F9" s="66">
        <f>'[2]OS Acq model'!AC58</f>
        <v>0</v>
      </c>
      <c r="G9" s="66">
        <f>'[2]OS Acq model'!AD58</f>
        <v>0</v>
      </c>
      <c r="H9" s="66">
        <f>'[2]OS Acq model'!AE58</f>
        <v>0</v>
      </c>
      <c r="I9" s="66">
        <f>'[2]OS Acq model'!AF58</f>
        <v>0</v>
      </c>
      <c r="J9" s="66">
        <f>'[2]OS Acq model'!AG58</f>
        <v>0</v>
      </c>
      <c r="K9" s="66">
        <f>'[2]OS Acq model'!AH58</f>
        <v>0</v>
      </c>
      <c r="L9" s="66">
        <f>'[2]OS Acq model'!AI58</f>
        <v>0</v>
      </c>
      <c r="M9" s="66">
        <f>'[2]OS Acq model'!AJ58</f>
        <v>0</v>
      </c>
      <c r="N9" s="66">
        <f>'[2]OS Acq model'!AK58</f>
        <v>0</v>
      </c>
      <c r="O9" s="66">
        <f>'[2]OS Acq model'!AL58</f>
        <v>0.10317424355676874</v>
      </c>
      <c r="P9" s="66">
        <f>'[2]OS Acq model'!AM58</f>
        <v>0.10437720006137982</v>
      </c>
      <c r="Q9" s="66">
        <f>'[2]OS Acq model'!AN58</f>
        <v>0.10605662509671779</v>
      </c>
      <c r="R9" s="66">
        <f>'[2]OS Acq model'!AO58</f>
        <v>0.10165489126390424</v>
      </c>
      <c r="S9" s="66">
        <f>'[2]OS Acq model'!AP58</f>
        <v>4.734280891885715E-2</v>
      </c>
      <c r="T9" s="66">
        <f>'[2]OS Acq model'!AQ58</f>
        <v>5.168471985812214E-2</v>
      </c>
      <c r="U9" s="66">
        <f>'[2]OS Acq model'!AR58</f>
        <v>0.24285475562212505</v>
      </c>
      <c r="V9" s="66">
        <f>'[2]OS Acq model'!AS58</f>
        <v>0.24285475562212505</v>
      </c>
      <c r="W9" s="67">
        <f t="shared" si="7"/>
        <v>1</v>
      </c>
      <c r="Y9" s="247">
        <f>SUM($E9:E9)*SUM($C9:$D9)</f>
        <v>0</v>
      </c>
      <c r="Z9" s="247">
        <f>SUM($E9:F9)*SUM($C9:$D9)</f>
        <v>0</v>
      </c>
      <c r="AA9" s="247">
        <f>SUM($E9:G9)*SUM($C9:$D9)</f>
        <v>0</v>
      </c>
      <c r="AB9" s="247">
        <f>SUM($E9:H9)*SUM($C9:$D9)</f>
        <v>0</v>
      </c>
      <c r="AC9" s="247">
        <f>SUM($E9:I9)*SUM($C9:$D9)</f>
        <v>0</v>
      </c>
      <c r="AD9" s="247">
        <f>SUM($E9:J9)*SUM($C9:$D9)</f>
        <v>0</v>
      </c>
      <c r="AE9" s="247">
        <f>SUM($E9:K9)*SUM($C9:$D9)</f>
        <v>0</v>
      </c>
      <c r="AF9" s="247">
        <f>SUM($E9:L9)*SUM($C9:$D9)</f>
        <v>0</v>
      </c>
      <c r="AG9" s="247">
        <f>SUM($E9:M9)*SUM($C9:$D9)</f>
        <v>0</v>
      </c>
      <c r="AH9" s="247">
        <f>SUM($E9:N9)*SUM($C9:$D9)</f>
        <v>0</v>
      </c>
      <c r="AI9" s="247">
        <f>SUM($E9:O9)*SUM($C9:$D9)</f>
        <v>0.41269697422707496</v>
      </c>
      <c r="AJ9" s="247">
        <f>SUM($E9:P9)*SUM($C9:$D9)</f>
        <v>0.83020577447259425</v>
      </c>
      <c r="AK9" s="247">
        <f>SUM($E9:Q9)*SUM($C9:$D9)</f>
        <v>1.2544322748594654</v>
      </c>
      <c r="AL9" s="247">
        <f>SUM($E9:R9)*SUM($C9:$D9)</f>
        <v>1.6610518399150824</v>
      </c>
      <c r="AM9" s="247">
        <f>SUM($E9:S9)*SUM($C9:$D9)</f>
        <v>1.8504230755905111</v>
      </c>
      <c r="AN9" s="247">
        <f>SUM($E9:T9)*SUM($C9:$D9)</f>
        <v>2.0571619550229996</v>
      </c>
      <c r="AO9" s="247">
        <f>SUM($E9:U9)*SUM($C9:$D9)</f>
        <v>3.0285809775115</v>
      </c>
      <c r="AP9" s="247">
        <f>SUM($E9:V9)*SUM($C9:$D9)</f>
        <v>4</v>
      </c>
      <c r="AT9">
        <f>IF((AA9-SUM($AS9:AS9))&gt;0.75,1,0)</f>
        <v>0</v>
      </c>
      <c r="AU9">
        <f>IF((AB9-SUM($AS9:AT9))&gt;0.75,1,0)</f>
        <v>0</v>
      </c>
      <c r="AV9">
        <f>IF((AC9-SUM($AS9:AU9))&gt;0.75,1,0)</f>
        <v>0</v>
      </c>
      <c r="AW9">
        <f>IF((AD9-SUM($AS9:AV9))&gt;0.75,1,0)</f>
        <v>0</v>
      </c>
      <c r="AX9">
        <f>IF((AE9-SUM($AS9:AW9))&gt;0.75,1,0)</f>
        <v>0</v>
      </c>
      <c r="AY9">
        <f>IF((AF9-SUM($AS9:AX9))&gt;0.75,1,0)</f>
        <v>0</v>
      </c>
      <c r="AZ9">
        <f>IF((AG9-SUM($AS9:AY9))&gt;0.75,1,0)</f>
        <v>0</v>
      </c>
      <c r="BA9">
        <f>IF((AH9-SUM($AS9:AZ9))&gt;0.75,1,0)</f>
        <v>0</v>
      </c>
      <c r="BB9">
        <f>IF((AI9-SUM($AS9:BA9))&gt;0.75,1,0)</f>
        <v>0</v>
      </c>
      <c r="BC9">
        <f>IF((AJ9-SUM($AS9:BB9))&gt;0.75,1,0)</f>
        <v>1</v>
      </c>
      <c r="BD9">
        <f>IF((AK9-SUM($AS9:BC9))&gt;0.75,1,0)</f>
        <v>0</v>
      </c>
      <c r="BE9">
        <f>IF((AL9-SUM($AS9:BD9))&gt;0.75,1,0)</f>
        <v>0</v>
      </c>
      <c r="BF9">
        <f>IF((AM9-SUM($AS9:BE9))&gt;0.75,1,0)</f>
        <v>1</v>
      </c>
      <c r="BG9">
        <f>IF((AN9-SUM($AS9:BF9))&gt;0.75,1,0)</f>
        <v>0</v>
      </c>
      <c r="BH9">
        <f>IF((AO9-SUM($AS9:BG9))&gt;0.75,1,0)</f>
        <v>1</v>
      </c>
      <c r="BI9">
        <v>1</v>
      </c>
      <c r="BJ9" s="247">
        <f t="shared" si="8"/>
        <v>4</v>
      </c>
    </row>
    <row r="10" spans="1:62" x14ac:dyDescent="0.3">
      <c r="A10" t="s">
        <v>135</v>
      </c>
      <c r="B10">
        <v>63</v>
      </c>
      <c r="C10" s="246">
        <v>1</v>
      </c>
      <c r="D10" s="246">
        <f>'[2]OS Acq model'!K63</f>
        <v>0</v>
      </c>
      <c r="E10" s="66">
        <f>'[2]OS Acq model'!AB63</f>
        <v>7.0999999999999994E-2</v>
      </c>
      <c r="F10" s="66">
        <f>'[2]OS Acq model'!AC63</f>
        <v>3.7543052523597763E-2</v>
      </c>
      <c r="G10" s="66">
        <f>'[2]OS Acq model'!AD63</f>
        <v>4.5514348152835955E-2</v>
      </c>
      <c r="H10" s="66">
        <f>'[2]OS Acq model'!AE63</f>
        <v>1.8122514202664898E-2</v>
      </c>
      <c r="I10" s="66">
        <f>'[2]OS Acq model'!AF63</f>
        <v>2.9436634290174995E-2</v>
      </c>
      <c r="J10" s="66">
        <f>'[2]OS Acq model'!AG63</f>
        <v>6.8898554427072656E-2</v>
      </c>
      <c r="K10" s="66">
        <f>'[2]OS Acq model'!AH63</f>
        <v>5.6492768691534537E-2</v>
      </c>
      <c r="L10" s="66">
        <f>'[2]OS Acq model'!AI63</f>
        <v>6.104858397150742E-2</v>
      </c>
      <c r="M10" s="66">
        <f>'[2]OS Acq model'!AJ63</f>
        <v>4.7218433489156879E-2</v>
      </c>
      <c r="N10" s="66">
        <f>'[2]OS Acq model'!AK63</f>
        <v>1.3445716477434186E-2</v>
      </c>
      <c r="O10" s="66">
        <f>'[2]OS Acq model'!AL63</f>
        <v>0.27500000000000002</v>
      </c>
      <c r="P10" s="66">
        <f>'[2]OS Acq model'!AM63</f>
        <v>0.27627939377402067</v>
      </c>
      <c r="Q10" s="66">
        <f>'[2]OS Acq model'!AN63</f>
        <v>0</v>
      </c>
      <c r="R10" s="66">
        <f>'[2]OS Acq model'!AO63</f>
        <v>0</v>
      </c>
      <c r="S10" s="66">
        <f>'[2]OS Acq model'!AP63</f>
        <v>0</v>
      </c>
      <c r="T10" s="66">
        <f>'[2]OS Acq model'!AQ63</f>
        <v>0</v>
      </c>
      <c r="U10" s="66">
        <f>'[2]OS Acq model'!AR63</f>
        <v>0</v>
      </c>
      <c r="V10" s="66">
        <f>'[2]OS Acq model'!AS63</f>
        <v>0</v>
      </c>
      <c r="W10" s="67">
        <f t="shared" si="7"/>
        <v>1</v>
      </c>
      <c r="Y10" s="247">
        <f>SUM($E10:E10)*SUM($C10:$D10)</f>
        <v>7.0999999999999994E-2</v>
      </c>
      <c r="Z10" s="247">
        <f>SUM($E10:F10)*SUM($C10:$D10)</f>
        <v>0.10854305252359775</v>
      </c>
      <c r="AA10" s="247">
        <f>SUM($E10:G10)*SUM($C10:$D10)</f>
        <v>0.1540574006764337</v>
      </c>
      <c r="AB10" s="247">
        <f>SUM($E10:H10)*SUM($C10:$D10)</f>
        <v>0.17217991487909859</v>
      </c>
      <c r="AC10" s="247">
        <f>SUM($E10:I10)*SUM($C10:$D10)</f>
        <v>0.20161654916927357</v>
      </c>
      <c r="AD10" s="247">
        <f>SUM($E10:J10)*SUM($C10:$D10)</f>
        <v>0.27051510359634623</v>
      </c>
      <c r="AE10" s="247">
        <f>SUM($E10:K10)*SUM($C10:$D10)</f>
        <v>0.32700787228788075</v>
      </c>
      <c r="AF10" s="247">
        <f>SUM($E10:L10)*SUM($C10:$D10)</f>
        <v>0.38805645625938817</v>
      </c>
      <c r="AG10" s="247">
        <f>SUM($E10:M10)*SUM($C10:$D10)</f>
        <v>0.43527488974854506</v>
      </c>
      <c r="AH10" s="247">
        <f>SUM($E10:N10)*SUM($C10:$D10)</f>
        <v>0.44872060622597926</v>
      </c>
      <c r="AI10" s="247">
        <f>SUM($E10:O10)*SUM($C10:$D10)</f>
        <v>0.72372060622597933</v>
      </c>
      <c r="AJ10" s="247">
        <f>SUM($E10:P10)*SUM($C10:$D10)</f>
        <v>1</v>
      </c>
      <c r="AK10" s="247">
        <f>SUM($E10:Q10)*SUM($C10:$D10)</f>
        <v>1</v>
      </c>
      <c r="AL10" s="247">
        <f>SUM($E10:R10)*SUM($C10:$D10)</f>
        <v>1</v>
      </c>
      <c r="AM10" s="247">
        <f>SUM($E10:S10)*SUM($C10:$D10)</f>
        <v>1</v>
      </c>
      <c r="AN10" s="247">
        <f>SUM($E10:T10)*SUM($C10:$D10)</f>
        <v>1</v>
      </c>
      <c r="AO10" s="247">
        <f>SUM($E10:U10)*SUM($C10:$D10)</f>
        <v>1</v>
      </c>
      <c r="AP10" s="247">
        <f>SUM($E10:V10)*SUM($C10:$D10)</f>
        <v>1</v>
      </c>
      <c r="AR10">
        <v>2036</v>
      </c>
    </row>
    <row r="11" spans="1:62" x14ac:dyDescent="0.3">
      <c r="A11" t="str">
        <f>A10</f>
        <v>Hingaia</v>
      </c>
      <c r="B11">
        <v>65</v>
      </c>
      <c r="C11" s="246">
        <f>'[2]OS Acq model'!J65</f>
        <v>6</v>
      </c>
      <c r="D11" s="246">
        <f>'[2]OS Acq model'!K65</f>
        <v>0</v>
      </c>
      <c r="E11" s="66">
        <f>'[2]OS Acq model'!AB65</f>
        <v>7.0999999999999994E-2</v>
      </c>
      <c r="F11" s="66">
        <f>'[2]OS Acq model'!AC65</f>
        <v>3.7543052523597763E-2</v>
      </c>
      <c r="G11" s="66">
        <f>'[2]OS Acq model'!AD65</f>
        <v>4.5514348152835955E-2</v>
      </c>
      <c r="H11" s="66">
        <f>'[2]OS Acq model'!AE65</f>
        <v>1.8122514202664898E-2</v>
      </c>
      <c r="I11" s="66">
        <f>'[2]OS Acq model'!AF65</f>
        <v>2.9436634290174995E-2</v>
      </c>
      <c r="J11" s="66">
        <f>'[2]OS Acq model'!AG65</f>
        <v>6.8898554427072656E-2</v>
      </c>
      <c r="K11" s="66">
        <f>'[2]OS Acq model'!AH65</f>
        <v>5.6492768691534537E-2</v>
      </c>
      <c r="L11" s="66">
        <f>'[2]OS Acq model'!AI65</f>
        <v>6.104858397150742E-2</v>
      </c>
      <c r="M11" s="66">
        <f>'[2]OS Acq model'!AJ65</f>
        <v>4.7218433489156879E-2</v>
      </c>
      <c r="N11" s="66">
        <f>'[2]OS Acq model'!AK65</f>
        <v>1.3445716477434186E-2</v>
      </c>
      <c r="O11" s="66">
        <f>'[2]OS Acq model'!AL65</f>
        <v>0.10317424355676874</v>
      </c>
      <c r="P11" s="66">
        <f>'[2]OS Acq model'!AM65</f>
        <v>0.10437720006137982</v>
      </c>
      <c r="Q11" s="66">
        <f>'[2]OS Acq model'!AN65</f>
        <v>0.10605662509671779</v>
      </c>
      <c r="R11" s="66">
        <f>'[2]OS Acq model'!AO65</f>
        <v>0.10165489126390424</v>
      </c>
      <c r="S11" s="66">
        <f>'[2]OS Acq model'!AP65</f>
        <v>4.734280891885715E-2</v>
      </c>
      <c r="T11" s="66">
        <f>'[2]OS Acq model'!AQ65</f>
        <v>5.168471985812214E-2</v>
      </c>
      <c r="U11" s="66">
        <f>'[2]OS Acq model'!AR65</f>
        <v>3.698890501827079E-2</v>
      </c>
      <c r="V11" s="66">
        <f>'[2]OS Acq model'!AS65</f>
        <v>0</v>
      </c>
      <c r="W11" s="67">
        <f t="shared" si="7"/>
        <v>1</v>
      </c>
      <c r="Y11" s="247">
        <f>SUM($E11:E11)*SUM($C11:$D11)</f>
        <v>0.42599999999999993</v>
      </c>
      <c r="Z11" s="247">
        <f>SUM($E11:F11)*SUM($C11:$D11)</f>
        <v>0.6512583151415865</v>
      </c>
      <c r="AA11" s="247">
        <f>SUM($E11:G11)*SUM($C11:$D11)</f>
        <v>0.92434440405860219</v>
      </c>
      <c r="AB11" s="247">
        <f>SUM($E11:H11)*SUM($C11:$D11)</f>
        <v>1.0330794892745916</v>
      </c>
      <c r="AC11" s="247">
        <f>SUM($E11:I11)*SUM($C11:$D11)</f>
        <v>1.2096992950156413</v>
      </c>
      <c r="AD11" s="247">
        <f>SUM($E11:J11)*SUM($C11:$D11)</f>
        <v>1.6230906215780774</v>
      </c>
      <c r="AE11" s="247">
        <f>SUM($E11:K11)*SUM($C11:$D11)</f>
        <v>1.9620472337272845</v>
      </c>
      <c r="AF11" s="247">
        <f>SUM($E11:L11)*SUM($C11:$D11)</f>
        <v>2.3283387375563289</v>
      </c>
      <c r="AG11" s="247">
        <f>SUM($E11:M11)*SUM($C11:$D11)</f>
        <v>2.6116493384912705</v>
      </c>
      <c r="AH11" s="247">
        <f>SUM($E11:N11)*SUM($C11:$D11)</f>
        <v>2.6923236373558757</v>
      </c>
      <c r="AI11" s="247">
        <f>SUM($E11:O11)*SUM($C11:$D11)</f>
        <v>3.3113690986964883</v>
      </c>
      <c r="AJ11" s="247">
        <f>SUM($E11:P11)*SUM($C11:$D11)</f>
        <v>3.9376322990647674</v>
      </c>
      <c r="AK11" s="247">
        <f>SUM($E11:Q11)*SUM($C11:$D11)</f>
        <v>4.5739720496450742</v>
      </c>
      <c r="AL11" s="247">
        <f>SUM($E11:R11)*SUM($C11:$D11)</f>
        <v>5.1839013972284995</v>
      </c>
      <c r="AM11" s="247">
        <f>SUM($E11:S11)*SUM($C11:$D11)</f>
        <v>5.467958250741642</v>
      </c>
      <c r="AN11" s="247">
        <f>SUM($E11:T11)*SUM($C11:$D11)</f>
        <v>5.7780665698903757</v>
      </c>
      <c r="AO11" s="247">
        <f>SUM($E11:U11)*SUM($C11:$D11)</f>
        <v>6</v>
      </c>
      <c r="AP11" s="247">
        <f>SUM($E11:V11)*SUM($C11:$D11)</f>
        <v>6</v>
      </c>
      <c r="AT11">
        <f>IF((AA11-SUM($AS11:AS11))&gt;0.75,1,0)</f>
        <v>1</v>
      </c>
      <c r="AU11">
        <f>IF((AB11-SUM($AS11:AT11))&gt;0.75,1,0)</f>
        <v>0</v>
      </c>
      <c r="AV11">
        <f>IF((AC11-SUM($AS11:AU11))&gt;0.75,1,0)</f>
        <v>0</v>
      </c>
      <c r="AW11">
        <f>IF((AD11-SUM($AS11:AV11))&gt;0.75,1,0)</f>
        <v>0</v>
      </c>
      <c r="AX11">
        <f>IF((AE11-SUM($AS11:AW11))&gt;0.75,1,0)</f>
        <v>1</v>
      </c>
      <c r="AY11">
        <f>IF((AF11-SUM($AS11:AX11))&gt;0.75,1,0)</f>
        <v>0</v>
      </c>
      <c r="AZ11">
        <f>IF((AG11-SUM($AS11:AY11))&gt;0.75,1,0)</f>
        <v>0</v>
      </c>
      <c r="BA11">
        <f>IF((AH11-SUM($AS11:AZ11))&gt;0.75,1,0)</f>
        <v>0</v>
      </c>
      <c r="BB11">
        <f>IF((AI11-SUM($AS11:BA11))&gt;0.75,1,0)</f>
        <v>1</v>
      </c>
      <c r="BC11">
        <f>IF((AJ11-SUM($AS11:BB11))&gt;0.75,1,0)</f>
        <v>1</v>
      </c>
      <c r="BD11">
        <f>IF((AK11-SUM($AS11:BC11))&gt;0.75,1,0)</f>
        <v>0</v>
      </c>
      <c r="BE11">
        <f>IF((AL11-SUM($AS11:BD11))&gt;0.75,1,0)</f>
        <v>1</v>
      </c>
      <c r="BF11">
        <f>IF((AM11-SUM($AS11:BE11))&gt;0.75,1,0)</f>
        <v>0</v>
      </c>
      <c r="BG11">
        <f>IF((AN11-SUM($AS11:BF11))&gt;0.75,1,0)</f>
        <v>1</v>
      </c>
      <c r="BH11">
        <f>IF((AO11-SUM($AS11:BG11))&gt;0.75,1,0)</f>
        <v>0</v>
      </c>
      <c r="BI11">
        <f>IF((AP11-SUM($AS11:BH11))&gt;=1,1,0)</f>
        <v>0</v>
      </c>
      <c r="BJ11" s="247">
        <f t="shared" ref="BJ11:BJ12" si="9">SUM(AS11:BI11)</f>
        <v>6</v>
      </c>
    </row>
    <row r="12" spans="1:62" x14ac:dyDescent="0.3">
      <c r="A12" t="s">
        <v>206</v>
      </c>
      <c r="B12">
        <v>68</v>
      </c>
      <c r="C12" s="246">
        <f>'[2]OS Acq model'!J68</f>
        <v>5</v>
      </c>
      <c r="D12" s="246">
        <f>'[2]OS Acq model'!K68</f>
        <v>0</v>
      </c>
      <c r="E12" s="66">
        <f>'[2]OS Acq model'!AB68</f>
        <v>0</v>
      </c>
      <c r="F12" s="66">
        <f>'[2]OS Acq model'!AC68</f>
        <v>0</v>
      </c>
      <c r="G12" s="66">
        <f>'[2]OS Acq model'!AD68</f>
        <v>0</v>
      </c>
      <c r="H12" s="66">
        <f>'[2]OS Acq model'!AE68</f>
        <v>0</v>
      </c>
      <c r="I12" s="66">
        <f>'[2]OS Acq model'!AF68</f>
        <v>2.9436634290174995E-2</v>
      </c>
      <c r="J12" s="66">
        <f>'[2]OS Acq model'!AG68</f>
        <v>6.8898554427072656E-2</v>
      </c>
      <c r="K12" s="66">
        <f>'[2]OS Acq model'!AH68</f>
        <v>5.6492768691534537E-2</v>
      </c>
      <c r="L12" s="66">
        <f>'[2]OS Acq model'!AI68</f>
        <v>6.104858397150742E-2</v>
      </c>
      <c r="M12" s="66">
        <f>'[2]OS Acq model'!AJ68</f>
        <v>4.7218433489156879E-2</v>
      </c>
      <c r="N12" s="66">
        <f>'[2]OS Acq model'!AK68</f>
        <v>1.3445716477434186E-2</v>
      </c>
      <c r="O12" s="66">
        <f>'[2]OS Acq model'!AL68</f>
        <v>0.10317424355676874</v>
      </c>
      <c r="P12" s="66">
        <f>'[2]OS Acq model'!AM68</f>
        <v>0.10437720006137982</v>
      </c>
      <c r="Q12" s="66">
        <f>'[2]OS Acq model'!AN68</f>
        <v>0.10605662509671779</v>
      </c>
      <c r="R12" s="66">
        <f>'[2]OS Acq model'!AO68</f>
        <v>0.10165489126390424</v>
      </c>
      <c r="S12" s="66">
        <f>'[2]OS Acq model'!AP68</f>
        <v>4.734280891885715E-2</v>
      </c>
      <c r="T12" s="66">
        <f>'[2]OS Acq model'!AQ68</f>
        <v>5.168471985812214E-2</v>
      </c>
      <c r="U12" s="66">
        <f>'[2]OS Acq model'!AR68</f>
        <v>0.20916881989736946</v>
      </c>
      <c r="V12" s="66">
        <f>'[2]OS Acq model'!AS68</f>
        <v>0</v>
      </c>
      <c r="W12" s="67">
        <f t="shared" si="7"/>
        <v>1</v>
      </c>
      <c r="Y12" s="247">
        <f>SUM($E12:E12)*SUM($C12:$D12)</f>
        <v>0</v>
      </c>
      <c r="Z12" s="247">
        <f>SUM($E12:F12)*SUM($C12:$D12)</f>
        <v>0</v>
      </c>
      <c r="AA12" s="247">
        <f>SUM($E12:G12)*SUM($C12:$D12)</f>
        <v>0</v>
      </c>
      <c r="AB12" s="247">
        <f>SUM($E12:H12)*SUM($C12:$D12)</f>
        <v>0</v>
      </c>
      <c r="AC12" s="247">
        <f>SUM($E12:I12)*SUM($C12:$D12)</f>
        <v>0.14718317145087498</v>
      </c>
      <c r="AD12" s="247">
        <f>SUM($E12:J12)*SUM($C12:$D12)</f>
        <v>0.49167594358623828</v>
      </c>
      <c r="AE12" s="247">
        <f>SUM($E12:K12)*SUM($C12:$D12)</f>
        <v>0.77413978704391095</v>
      </c>
      <c r="AF12" s="247">
        <f>SUM($E12:L12)*SUM($C12:$D12)</f>
        <v>1.0793827069014481</v>
      </c>
      <c r="AG12" s="247">
        <f>SUM($E12:M12)*SUM($C12:$D12)</f>
        <v>1.3154748743472324</v>
      </c>
      <c r="AH12" s="247">
        <f>SUM($E12:N12)*SUM($C12:$D12)</f>
        <v>1.3827034567344034</v>
      </c>
      <c r="AI12" s="247">
        <f>SUM($E12:O12)*SUM($C12:$D12)</f>
        <v>1.8985746745182472</v>
      </c>
      <c r="AJ12" s="247">
        <f>SUM($E12:P12)*SUM($C12:$D12)</f>
        <v>2.4204606748251463</v>
      </c>
      <c r="AK12" s="247">
        <f>SUM($E12:Q12)*SUM($C12:$D12)</f>
        <v>2.950743800308735</v>
      </c>
      <c r="AL12" s="247">
        <f>SUM($E12:R12)*SUM($C12:$D12)</f>
        <v>3.4590182566282563</v>
      </c>
      <c r="AM12" s="247">
        <f>SUM($E12:S12)*SUM($C12:$D12)</f>
        <v>3.6957323012225416</v>
      </c>
      <c r="AN12" s="247">
        <f>SUM($E12:T12)*SUM($C12:$D12)</f>
        <v>3.9541559005131526</v>
      </c>
      <c r="AO12" s="247">
        <f>SUM($E12:U12)*SUM($C12:$D12)</f>
        <v>5</v>
      </c>
      <c r="AP12" s="247">
        <f>SUM($E12:V12)*SUM($C12:$D12)</f>
        <v>5</v>
      </c>
      <c r="AT12">
        <f>IF((AA12-SUM($AS12:AS12))&gt;0.75,1,0)</f>
        <v>0</v>
      </c>
      <c r="AU12">
        <f>IF((AB12-SUM($AS12:AT12))&gt;0.75,1,0)</f>
        <v>0</v>
      </c>
      <c r="AV12">
        <f>IF((AC12-SUM($AS12:AU12))&gt;0.75,1,0)</f>
        <v>0</v>
      </c>
      <c r="AW12">
        <f>IF((AD12-SUM($AS12:AV12))&gt;0.75,1,0)</f>
        <v>0</v>
      </c>
      <c r="AX12" s="248">
        <f>IF((AE12-SUM($AS12:AW12))&gt;0.75,1,0)</f>
        <v>1</v>
      </c>
      <c r="AY12">
        <f>IF((AF12-SUM($AS12:AX12))&gt;0.75,1,0)</f>
        <v>0</v>
      </c>
      <c r="AZ12">
        <f>IF((AG12-SUM($AS12:AY12))&gt;0.75,1,0)</f>
        <v>0</v>
      </c>
      <c r="BA12">
        <f>IF((AH12-SUM($AS12:AZ12))&gt;0.75,1,0)</f>
        <v>0</v>
      </c>
      <c r="BB12" s="250">
        <f>IF((AI12-SUM($AS12:BA12))&gt;0.75,1,0)</f>
        <v>1</v>
      </c>
      <c r="BC12" s="250">
        <f>IF((AJ12-SUM($AS12:BB12))&gt;0.75,1,0)</f>
        <v>0</v>
      </c>
      <c r="BD12" s="250">
        <f>IF((AK12-SUM($AS12:BC12))&gt;0.75,1,0)</f>
        <v>1</v>
      </c>
      <c r="BE12">
        <f>IF((AL12-SUM($AS12:BD12))&gt;0.75,1,0)</f>
        <v>0</v>
      </c>
      <c r="BF12">
        <f>IF((AM12-SUM($AS12:BE12))&gt;0.75,1,0)</f>
        <v>0</v>
      </c>
      <c r="BG12" s="251">
        <f>IF((AN12-SUM($AS12:BF12))&gt;0.75,1,0)</f>
        <v>1</v>
      </c>
      <c r="BH12" s="251">
        <f>IF((AO12-SUM($AS12:BG12))&gt;0.75,1,0)</f>
        <v>1</v>
      </c>
      <c r="BI12">
        <f>IF((AP12-SUM($AS12:BH12))&gt;=1,1,0)</f>
        <v>0</v>
      </c>
      <c r="BJ12" s="247">
        <f t="shared" si="9"/>
        <v>5</v>
      </c>
    </row>
    <row r="13" spans="1:62" x14ac:dyDescent="0.3">
      <c r="A13" t="str">
        <f>A12</f>
        <v>Drury</v>
      </c>
      <c r="B13">
        <v>69</v>
      </c>
      <c r="C13" s="246">
        <f>'[2]OS Acq model'!J69</f>
        <v>0</v>
      </c>
      <c r="D13" s="246">
        <f>'[2]OS Acq model'!K69</f>
        <v>1</v>
      </c>
      <c r="E13" s="66">
        <f>'[2]OS Acq model'!AB69</f>
        <v>0</v>
      </c>
      <c r="F13" s="66">
        <f>'[2]OS Acq model'!AC69</f>
        <v>3.7543052523597763E-2</v>
      </c>
      <c r="G13" s="66">
        <f>'[2]OS Acq model'!AD69</f>
        <v>4.5514348152835955E-2</v>
      </c>
      <c r="H13" s="66">
        <f>'[2]OS Acq model'!AE69</f>
        <v>1.8122514202664898E-2</v>
      </c>
      <c r="I13" s="66">
        <f>'[2]OS Acq model'!AF69</f>
        <v>2.9436634290174995E-2</v>
      </c>
      <c r="J13" s="66">
        <f>'[2]OS Acq model'!AG69</f>
        <v>6.8898554427072656E-2</v>
      </c>
      <c r="K13" s="66">
        <f>'[2]OS Acq model'!AH69</f>
        <v>5.6492768691534537E-2</v>
      </c>
      <c r="L13" s="66">
        <f>'[2]OS Acq model'!AI69</f>
        <v>6.104858397150742E-2</v>
      </c>
      <c r="M13" s="66">
        <f>'[2]OS Acq model'!AJ69</f>
        <v>4.7218433489156879E-2</v>
      </c>
      <c r="N13" s="66">
        <f>'[2]OS Acq model'!AK69</f>
        <v>1.3445716477434186E-2</v>
      </c>
      <c r="O13" s="66">
        <f>'[2]OS Acq model'!AL69</f>
        <v>0.10317424355676874</v>
      </c>
      <c r="P13" s="66">
        <f>'[2]OS Acq model'!AM69</f>
        <v>0.10437720006137982</v>
      </c>
      <c r="Q13" s="66">
        <f>'[2]OS Acq model'!AN69</f>
        <v>0.10605662509671779</v>
      </c>
      <c r="R13" s="66">
        <f>'[2]OS Acq model'!AO69</f>
        <v>0.10165489126390424</v>
      </c>
      <c r="S13" s="66">
        <f>'[2]OS Acq model'!AP69</f>
        <v>4.734280891885715E-2</v>
      </c>
      <c r="T13" s="66">
        <f>'[2]OS Acq model'!AQ69</f>
        <v>5.168471985812214E-2</v>
      </c>
      <c r="U13" s="66">
        <f>'[2]OS Acq model'!AR69</f>
        <v>0.10798890501827085</v>
      </c>
      <c r="V13" s="66">
        <f>'[2]OS Acq model'!AS69</f>
        <v>0</v>
      </c>
      <c r="W13" s="67">
        <f t="shared" si="7"/>
        <v>1</v>
      </c>
      <c r="Y13" s="247">
        <f>SUM($E13:E13)*SUM($C13:$D13)</f>
        <v>0</v>
      </c>
      <c r="Z13" s="247">
        <f>SUM($E13:F13)*SUM($C13:$D13)</f>
        <v>3.7543052523597763E-2</v>
      </c>
      <c r="AA13" s="247">
        <f>SUM($E13:G13)*SUM($C13:$D13)</f>
        <v>8.3057400676433718E-2</v>
      </c>
      <c r="AB13" s="247">
        <f>SUM($E13:H13)*SUM($C13:$D13)</f>
        <v>0.10117991487909861</v>
      </c>
      <c r="AC13" s="247">
        <f>SUM($E13:I13)*SUM($C13:$D13)</f>
        <v>0.13061654916927359</v>
      </c>
      <c r="AD13" s="247">
        <f>SUM($E13:J13)*SUM($C13:$D13)</f>
        <v>0.19951510359634625</v>
      </c>
      <c r="AE13" s="247">
        <f>SUM($E13:K13)*SUM($C13:$D13)</f>
        <v>0.2560078722878808</v>
      </c>
      <c r="AF13" s="247">
        <f>SUM($E13:L13)*SUM($C13:$D13)</f>
        <v>0.31705645625938822</v>
      </c>
      <c r="AG13" s="247">
        <f>SUM($E13:M13)*SUM($C13:$D13)</f>
        <v>0.36427488974854511</v>
      </c>
      <c r="AH13" s="247">
        <f>SUM($E13:N13)*SUM($C13:$D13)</f>
        <v>0.37772060622597931</v>
      </c>
      <c r="AI13" s="247">
        <f>SUM($E13:O13)*SUM($C13:$D13)</f>
        <v>0.48089484978274805</v>
      </c>
      <c r="AJ13" s="247">
        <f>SUM($E13:P13)*SUM($C13:$D13)</f>
        <v>0.58527204984412784</v>
      </c>
      <c r="AK13" s="247">
        <f>SUM($E13:Q13)*SUM($C13:$D13)</f>
        <v>0.6913286749408456</v>
      </c>
      <c r="AL13" s="247">
        <f>SUM($E13:R13)*SUM($C13:$D13)</f>
        <v>0.79298356620474986</v>
      </c>
      <c r="AM13" s="247">
        <f>SUM($E13:S13)*SUM($C13:$D13)</f>
        <v>0.84032637512360697</v>
      </c>
      <c r="AN13" s="247">
        <f>SUM($E13:T13)*SUM($C13:$D13)</f>
        <v>0.89201109498172915</v>
      </c>
      <c r="AO13" s="247">
        <f>SUM($E13:U13)*SUM($C13:$D13)</f>
        <v>1</v>
      </c>
      <c r="AP13" s="247">
        <f>SUM($E13:V13)*SUM($C13:$D13)</f>
        <v>1</v>
      </c>
      <c r="AR13">
        <v>2038</v>
      </c>
    </row>
    <row r="14" spans="1:62" x14ac:dyDescent="0.3">
      <c r="A14" t="str">
        <f t="shared" ref="A14:A15" si="10">A13</f>
        <v>Drury</v>
      </c>
      <c r="B14">
        <v>70</v>
      </c>
      <c r="C14" s="246">
        <f>'[2]OS Acq model'!J70</f>
        <v>7</v>
      </c>
      <c r="D14" s="246">
        <f>'[2]OS Acq model'!K70</f>
        <v>0</v>
      </c>
      <c r="E14" s="66">
        <f>'[2]OS Acq model'!AB70</f>
        <v>7.0999999999999994E-2</v>
      </c>
      <c r="F14" s="66">
        <f>'[2]OS Acq model'!AC70</f>
        <v>3.7543052523597763E-2</v>
      </c>
      <c r="G14" s="66">
        <f>'[2]OS Acq model'!AD70</f>
        <v>4.5514348152835955E-2</v>
      </c>
      <c r="H14" s="66">
        <f>'[2]OS Acq model'!AE70</f>
        <v>1.8122514202664898E-2</v>
      </c>
      <c r="I14" s="66">
        <f>'[2]OS Acq model'!AF70</f>
        <v>2.9436634290174995E-2</v>
      </c>
      <c r="J14" s="66">
        <f>'[2]OS Acq model'!AG70</f>
        <v>6.8898554427072656E-2</v>
      </c>
      <c r="K14" s="66">
        <f>'[2]OS Acq model'!AH70</f>
        <v>5.6492768691534537E-2</v>
      </c>
      <c r="L14" s="66">
        <f>'[2]OS Acq model'!AI70</f>
        <v>6.104858397150742E-2</v>
      </c>
      <c r="M14" s="66">
        <f>'[2]OS Acq model'!AJ70</f>
        <v>4.7218433489156879E-2</v>
      </c>
      <c r="N14" s="66">
        <f>'[2]OS Acq model'!AK70</f>
        <v>1.3445716477434186E-2</v>
      </c>
      <c r="O14" s="66">
        <f>'[2]OS Acq model'!AL70</f>
        <v>0.10317424355676874</v>
      </c>
      <c r="P14" s="66">
        <f>'[2]OS Acq model'!AM70</f>
        <v>0.10437720006137982</v>
      </c>
      <c r="Q14" s="66">
        <f>'[2]OS Acq model'!AN70</f>
        <v>0.10605662509671779</v>
      </c>
      <c r="R14" s="66">
        <f>'[2]OS Acq model'!AO70</f>
        <v>0.10165489126390424</v>
      </c>
      <c r="S14" s="66">
        <f>'[2]OS Acq model'!AP70</f>
        <v>4.734280891885715E-2</v>
      </c>
      <c r="T14" s="66">
        <f>'[2]OS Acq model'!AQ70</f>
        <v>5.168471985812214E-2</v>
      </c>
      <c r="U14" s="66">
        <f>'[2]OS Acq model'!AR70</f>
        <v>3.698890501827079E-2</v>
      </c>
      <c r="V14" s="66">
        <f>'[2]OS Acq model'!AS70</f>
        <v>0</v>
      </c>
      <c r="W14" s="67">
        <f t="shared" si="7"/>
        <v>1</v>
      </c>
      <c r="Y14" s="247">
        <f>SUM($E14:E14)*SUM($C14:$D14)</f>
        <v>0.49699999999999994</v>
      </c>
      <c r="Z14" s="247">
        <f>SUM($E14:F14)*SUM($C14:$D14)</f>
        <v>0.75980136766518425</v>
      </c>
      <c r="AA14" s="247">
        <f>SUM($E14:G14)*SUM($C14:$D14)</f>
        <v>1.0784018047350359</v>
      </c>
      <c r="AB14" s="247">
        <f>SUM($E14:H14)*SUM($C14:$D14)</f>
        <v>1.2052594041536902</v>
      </c>
      <c r="AC14" s="247">
        <f>SUM($E14:I14)*SUM($C14:$D14)</f>
        <v>1.411315844184915</v>
      </c>
      <c r="AD14" s="247">
        <f>SUM($E14:J14)*SUM($C14:$D14)</f>
        <v>1.8936057251744236</v>
      </c>
      <c r="AE14" s="247">
        <f>SUM($E14:K14)*SUM($C14:$D14)</f>
        <v>2.2890551060151654</v>
      </c>
      <c r="AF14" s="247">
        <f>SUM($E14:L14)*SUM($C14:$D14)</f>
        <v>2.7163951938157171</v>
      </c>
      <c r="AG14" s="247">
        <f>SUM($E14:M14)*SUM($C14:$D14)</f>
        <v>3.0469242282398152</v>
      </c>
      <c r="AH14" s="247">
        <f>SUM($E14:N14)*SUM($C14:$D14)</f>
        <v>3.1410442435818546</v>
      </c>
      <c r="AI14" s="247">
        <f>SUM($E14:O14)*SUM($C14:$D14)</f>
        <v>3.8632639484792364</v>
      </c>
      <c r="AJ14" s="247">
        <f>SUM($E14:P14)*SUM($C14:$D14)</f>
        <v>4.5939043489088949</v>
      </c>
      <c r="AK14" s="247">
        <f>SUM($E14:Q14)*SUM($C14:$D14)</f>
        <v>5.3363007245859198</v>
      </c>
      <c r="AL14" s="247">
        <f>SUM($E14:R14)*SUM($C14:$D14)</f>
        <v>6.0478849634332494</v>
      </c>
      <c r="AM14" s="247">
        <f>SUM($E14:S14)*SUM($C14:$D14)</f>
        <v>6.3792846258652496</v>
      </c>
      <c r="AN14" s="247">
        <f>SUM($E14:T14)*SUM($C14:$D14)</f>
        <v>6.7410776648721047</v>
      </c>
      <c r="AO14" s="247">
        <f>SUM($E14:U14)*SUM($C14:$D14)</f>
        <v>7</v>
      </c>
      <c r="AP14" s="247">
        <f>SUM($E14:V14)*SUM($C14:$D14)</f>
        <v>7</v>
      </c>
      <c r="AT14" s="251">
        <f>IF((AA14-SUM($AS14:AS14))&gt;0.75,1,0)</f>
        <v>1</v>
      </c>
      <c r="AU14">
        <f>IF((AB14-SUM($AS14:AT14))&gt;0.75,1,0)</f>
        <v>0</v>
      </c>
      <c r="AV14">
        <f>IF((AC14-SUM($AS14:AU14))&gt;0.75,1,0)</f>
        <v>0</v>
      </c>
      <c r="AW14" s="250">
        <f>IF((AD14-SUM($AS14:AV14))&gt;0.75,1,0)</f>
        <v>1</v>
      </c>
      <c r="AX14">
        <f>IF((AE14-SUM($AS14:AW14))&gt;0.75,1,0)</f>
        <v>0</v>
      </c>
      <c r="AY14">
        <f>IF((AF14-SUM($AS14:AX14))&gt;0.75,1,0)</f>
        <v>0</v>
      </c>
      <c r="AZ14" s="248">
        <f>IF((AG14-SUM($AS14:AY14))&gt;0.75,1,0)</f>
        <v>1</v>
      </c>
      <c r="BA14">
        <f>IF((AH14-SUM($AS14:AZ14))&gt;0.75,1,0)</f>
        <v>0</v>
      </c>
      <c r="BB14" s="252">
        <f>IF((AI14-SUM($AS14:BA14))&gt;0.75,1,0)</f>
        <v>1</v>
      </c>
      <c r="BC14">
        <f>IF((AJ14-SUM($AS14:BB14))&gt;0.75,1,0)</f>
        <v>0</v>
      </c>
      <c r="BD14" s="11">
        <f>IF((AK14-SUM($AS14:BC14))&gt;0.75,1,0)</f>
        <v>1</v>
      </c>
      <c r="BE14" s="11">
        <f>IF((AL14-SUM($AS14:BD14))&gt;0.75,1,0)</f>
        <v>1</v>
      </c>
      <c r="BF14">
        <f>IF((AM14-SUM($AS14:BE14))&gt;0.75,1,0)</f>
        <v>0</v>
      </c>
      <c r="BG14">
        <f>IF((AN14-SUM($AS14:BF14))&gt;0.75,1,0)</f>
        <v>0</v>
      </c>
      <c r="BH14" s="254">
        <f>IF((AO14-SUM($AS14:BG14))&gt;0.75,1,0)</f>
        <v>1</v>
      </c>
      <c r="BI14">
        <f>IF((AP14-SUM($AS14:BH14))&gt;=1,1,0)</f>
        <v>0</v>
      </c>
      <c r="BJ14" s="247">
        <f>SUM(AS14:BI14)</f>
        <v>7</v>
      </c>
    </row>
    <row r="15" spans="1:62" x14ac:dyDescent="0.3">
      <c r="A15" t="str">
        <f t="shared" si="10"/>
        <v>Drury</v>
      </c>
      <c r="B15">
        <v>71</v>
      </c>
      <c r="C15" s="246">
        <f>'[2]OS Acq model'!J71</f>
        <v>0</v>
      </c>
      <c r="D15" s="246">
        <f>'[2]OS Acq model'!K71</f>
        <v>1</v>
      </c>
      <c r="E15" s="66">
        <f>'[2]OS Acq model'!AB71</f>
        <v>7.0999999999999994E-2</v>
      </c>
      <c r="F15" s="66">
        <f>'[2]OS Acq model'!AC71</f>
        <v>3.7543052523597763E-2</v>
      </c>
      <c r="G15" s="66">
        <f>'[2]OS Acq model'!AD71</f>
        <v>4.5514348152835955E-2</v>
      </c>
      <c r="H15" s="66">
        <f>'[2]OS Acq model'!AE71</f>
        <v>1.8122514202664898E-2</v>
      </c>
      <c r="I15" s="66">
        <f>'[2]OS Acq model'!AF71</f>
        <v>2.9436634290174995E-2</v>
      </c>
      <c r="J15" s="66">
        <f>'[2]OS Acq model'!AG71</f>
        <v>6.8898554427072656E-2</v>
      </c>
      <c r="K15" s="66">
        <f>'[2]OS Acq model'!AH71</f>
        <v>5.6492768691534537E-2</v>
      </c>
      <c r="L15" s="66">
        <f>'[2]OS Acq model'!AI71</f>
        <v>6.104858397150742E-2</v>
      </c>
      <c r="M15" s="66">
        <f>'[2]OS Acq model'!AJ71</f>
        <v>4.7218433489156879E-2</v>
      </c>
      <c r="N15" s="66">
        <f>'[2]OS Acq model'!AK71</f>
        <v>1.3445716477434186E-2</v>
      </c>
      <c r="O15" s="66">
        <f>'[2]OS Acq model'!AL71</f>
        <v>0.10317424355676874</v>
      </c>
      <c r="P15" s="66">
        <f>'[2]OS Acq model'!AM71</f>
        <v>0.10437720006137982</v>
      </c>
      <c r="Q15" s="66">
        <f>'[2]OS Acq model'!AN71</f>
        <v>0.10605662509671779</v>
      </c>
      <c r="R15" s="66">
        <f>'[2]OS Acq model'!AO71</f>
        <v>0.10165489126390424</v>
      </c>
      <c r="S15" s="66">
        <f>'[2]OS Acq model'!AP71</f>
        <v>4.734280891885715E-2</v>
      </c>
      <c r="T15" s="66">
        <f>'[2]OS Acq model'!AQ71</f>
        <v>5.168471985812214E-2</v>
      </c>
      <c r="U15" s="66">
        <f>'[2]OS Acq model'!AR71</f>
        <v>3.698890501827079E-2</v>
      </c>
      <c r="V15" s="66">
        <f>'[2]OS Acq model'!AS71</f>
        <v>0</v>
      </c>
      <c r="W15" s="67">
        <f t="shared" si="7"/>
        <v>1</v>
      </c>
      <c r="Y15" s="247">
        <f>SUM($E15:E15)*SUM($C15:$D15)</f>
        <v>7.0999999999999994E-2</v>
      </c>
      <c r="Z15" s="247">
        <f>SUM($E15:F15)*SUM($C15:$D15)</f>
        <v>0.10854305252359775</v>
      </c>
      <c r="AA15" s="247">
        <f>SUM($E15:G15)*SUM($C15:$D15)</f>
        <v>0.1540574006764337</v>
      </c>
      <c r="AB15" s="247">
        <f>SUM($E15:H15)*SUM($C15:$D15)</f>
        <v>0.17217991487909859</v>
      </c>
      <c r="AC15" s="247">
        <f>SUM($E15:I15)*SUM($C15:$D15)</f>
        <v>0.20161654916927357</v>
      </c>
      <c r="AD15" s="247">
        <f>SUM($E15:J15)*SUM($C15:$D15)</f>
        <v>0.27051510359634623</v>
      </c>
      <c r="AE15" s="247">
        <f>SUM($E15:K15)*SUM($C15:$D15)</f>
        <v>0.32700787228788075</v>
      </c>
      <c r="AF15" s="247">
        <f>SUM($E15:L15)*SUM($C15:$D15)</f>
        <v>0.38805645625938817</v>
      </c>
      <c r="AG15" s="247">
        <f>SUM($E15:M15)*SUM($C15:$D15)</f>
        <v>0.43527488974854506</v>
      </c>
      <c r="AH15" s="247">
        <f>SUM($E15:N15)*SUM($C15:$D15)</f>
        <v>0.44872060622597926</v>
      </c>
      <c r="AI15" s="247">
        <f>SUM($E15:O15)*SUM($C15:$D15)</f>
        <v>0.55189484978274805</v>
      </c>
      <c r="AJ15" s="247">
        <f>SUM($E15:P15)*SUM($C15:$D15)</f>
        <v>0.6562720498441279</v>
      </c>
      <c r="AK15" s="247">
        <f>SUM($E15:Q15)*SUM($C15:$D15)</f>
        <v>0.76232867494084566</v>
      </c>
      <c r="AL15" s="247">
        <f>SUM($E15:R15)*SUM($C15:$D15)</f>
        <v>0.86398356620474992</v>
      </c>
      <c r="AM15" s="247">
        <f>SUM($E15:S15)*SUM($C15:$D15)</f>
        <v>0.91132637512360704</v>
      </c>
      <c r="AN15" s="247">
        <f>SUM($E15:T15)*SUM($C15:$D15)</f>
        <v>0.96301109498172921</v>
      </c>
      <c r="AO15" s="247">
        <f>SUM($E15:U15)*SUM($C15:$D15)</f>
        <v>1</v>
      </c>
      <c r="AP15" s="247">
        <f>SUM($E15:V15)*SUM($C15:$D15)</f>
        <v>1</v>
      </c>
      <c r="AR15">
        <v>2037</v>
      </c>
    </row>
    <row r="16" spans="1:62" x14ac:dyDescent="0.3">
      <c r="A16" t="s">
        <v>889</v>
      </c>
      <c r="B16">
        <v>83</v>
      </c>
      <c r="C16" s="246">
        <f>'[2]OS Acq model'!J83</f>
        <v>5</v>
      </c>
      <c r="D16" s="246">
        <f>'[2]OS Acq model'!K83</f>
        <v>0</v>
      </c>
      <c r="E16" s="66">
        <f>'[2]OS Acq model'!AB83</f>
        <v>7.0999999999999994E-2</v>
      </c>
      <c r="F16" s="66">
        <f>'[2]OS Acq model'!AC83</f>
        <v>3.7543052523597763E-2</v>
      </c>
      <c r="G16" s="66">
        <f>'[2]OS Acq model'!AD83</f>
        <v>4.5514348152835955E-2</v>
      </c>
      <c r="H16" s="66">
        <f>'[2]OS Acq model'!AE83</f>
        <v>1.8122514202664898E-2</v>
      </c>
      <c r="I16" s="66">
        <f>'[2]OS Acq model'!AF83</f>
        <v>2.9436634290174995E-2</v>
      </c>
      <c r="J16" s="66">
        <f>'[2]OS Acq model'!AG83</f>
        <v>6.8898554427072656E-2</v>
      </c>
      <c r="K16" s="66">
        <f>'[2]OS Acq model'!AH83</f>
        <v>5.6492768691534537E-2</v>
      </c>
      <c r="L16" s="66">
        <f>'[2]OS Acq model'!AI83</f>
        <v>6.104858397150742E-2</v>
      </c>
      <c r="M16" s="66">
        <f>'[2]OS Acq model'!AJ83</f>
        <v>4.7218433489156879E-2</v>
      </c>
      <c r="N16" s="66">
        <f>'[2]OS Acq model'!AK83</f>
        <v>1.3445716477434186E-2</v>
      </c>
      <c r="O16" s="66">
        <f>'[2]OS Acq model'!AL83</f>
        <v>0.10317424355676874</v>
      </c>
      <c r="P16" s="66">
        <f>'[2]OS Acq model'!AM83</f>
        <v>0.10437720006137982</v>
      </c>
      <c r="Q16" s="66">
        <f>'[2]OS Acq model'!AN83</f>
        <v>0.10605662509671779</v>
      </c>
      <c r="R16" s="66">
        <f>'[2]OS Acq model'!AO83</f>
        <v>0.10165489126390424</v>
      </c>
      <c r="S16" s="66">
        <f>'[2]OS Acq model'!AP83</f>
        <v>4.734280891885715E-2</v>
      </c>
      <c r="T16" s="66">
        <f>'[2]OS Acq model'!AQ83</f>
        <v>5.168471985812214E-2</v>
      </c>
      <c r="U16" s="66">
        <f>'[2]OS Acq model'!AR83</f>
        <v>3.698890501827079E-2</v>
      </c>
      <c r="V16" s="66">
        <f>'[2]OS Acq model'!AS83</f>
        <v>0</v>
      </c>
      <c r="W16" s="67">
        <f t="shared" si="7"/>
        <v>1</v>
      </c>
      <c r="Y16" s="247">
        <f>SUM($E16:E16)*SUM($C16:$D16)</f>
        <v>0.35499999999999998</v>
      </c>
      <c r="Z16" s="247">
        <f>SUM($E16:F16)*SUM($C16:$D16)</f>
        <v>0.54271526261798875</v>
      </c>
      <c r="AA16" s="247">
        <f>SUM($E16:G16)*SUM($C16:$D16)</f>
        <v>0.77028700338216849</v>
      </c>
      <c r="AB16" s="247">
        <f>SUM($E16:H16)*SUM($C16:$D16)</f>
        <v>0.86089957439549292</v>
      </c>
      <c r="AC16" s="247">
        <f>SUM($E16:I16)*SUM($C16:$D16)</f>
        <v>1.0080827458463679</v>
      </c>
      <c r="AD16" s="247">
        <f>SUM($E16:J16)*SUM($C16:$D16)</f>
        <v>1.3525755179817311</v>
      </c>
      <c r="AE16" s="247">
        <f>SUM($E16:K16)*SUM($C16:$D16)</f>
        <v>1.6350393614394036</v>
      </c>
      <c r="AF16" s="247">
        <f>SUM($E16:L16)*SUM($C16:$D16)</f>
        <v>1.9402822812969409</v>
      </c>
      <c r="AG16" s="247">
        <f>SUM($E16:M16)*SUM($C16:$D16)</f>
        <v>2.1763744487427252</v>
      </c>
      <c r="AH16" s="247">
        <f>SUM($E16:N16)*SUM($C16:$D16)</f>
        <v>2.2436030311298962</v>
      </c>
      <c r="AI16" s="247">
        <f>SUM($E16:O16)*SUM($C16:$D16)</f>
        <v>2.7594742489137403</v>
      </c>
      <c r="AJ16" s="247">
        <f>SUM($E16:P16)*SUM($C16:$D16)</f>
        <v>3.2813602492206395</v>
      </c>
      <c r="AK16" s="247">
        <f>SUM($E16:Q16)*SUM($C16:$D16)</f>
        <v>3.8116433747042282</v>
      </c>
      <c r="AL16" s="247">
        <f>SUM($E16:R16)*SUM($C16:$D16)</f>
        <v>4.3199178310237496</v>
      </c>
      <c r="AM16" s="247">
        <f>SUM($E16:S16)*SUM($C16:$D16)</f>
        <v>4.5566318756180353</v>
      </c>
      <c r="AN16" s="247">
        <f>SUM($E16:T16)*SUM($C16:$D16)</f>
        <v>4.8150554749086458</v>
      </c>
      <c r="AO16" s="247">
        <f>SUM($E16:U16)*SUM($C16:$D16)</f>
        <v>5</v>
      </c>
      <c r="AP16" s="247">
        <f>SUM($E16:V16)*SUM($C16:$D16)</f>
        <v>5</v>
      </c>
      <c r="AT16">
        <f>IF((AA16-SUM($AS16:AS16))&gt;0.75,1,0)</f>
        <v>1</v>
      </c>
      <c r="AU16">
        <f>IF((AB16-SUM($AS16:AT16))&gt;0.75,1,0)</f>
        <v>0</v>
      </c>
      <c r="AV16">
        <f>IF((AC16-SUM($AS16:AU16))&gt;0.75,1,0)</f>
        <v>0</v>
      </c>
      <c r="AW16">
        <f>IF((AD16-SUM($AS16:AV16))&gt;0.75,1,0)</f>
        <v>0</v>
      </c>
      <c r="AX16">
        <f>IF((AE16-SUM($AS16:AW16))&gt;0.75,1,0)</f>
        <v>0</v>
      </c>
      <c r="AY16">
        <f>IF((AF16-SUM($AS16:AX16))&gt;0.75,1,0)</f>
        <v>1</v>
      </c>
      <c r="AZ16">
        <f>IF((AG16-SUM($AS16:AY16))&gt;0.75,1,0)</f>
        <v>0</v>
      </c>
      <c r="BA16">
        <f>IF((AH16-SUM($AS16:AZ16))&gt;0.75,1,0)</f>
        <v>0</v>
      </c>
      <c r="BB16">
        <f>IF((AI16-SUM($AS16:BA16))&gt;0.75,1,0)</f>
        <v>1</v>
      </c>
      <c r="BC16">
        <f>IF((AJ16-SUM($AS16:BB16))&gt;0.75,1,0)</f>
        <v>0</v>
      </c>
      <c r="BD16">
        <f>IF((AK16-SUM($AS16:BC16))&gt;0.75,1,0)</f>
        <v>1</v>
      </c>
      <c r="BE16">
        <f>IF((AL16-SUM($AS16:BD16))&gt;0.75,1,0)</f>
        <v>0</v>
      </c>
      <c r="BF16">
        <f>IF((AM16-SUM($AS16:BE16))&gt;0.75,1,0)</f>
        <v>0</v>
      </c>
      <c r="BG16">
        <f>IF((AN16-SUM($AS16:BF16))&gt;0.75,1,0)</f>
        <v>1</v>
      </c>
      <c r="BH16">
        <f>IF((AO16-SUM($AS16:BG16))&gt;0.75,1,0)</f>
        <v>0</v>
      </c>
      <c r="BI16">
        <f>IF((AP16-SUM($AS16:BH16))&gt;=1,1,0)</f>
        <v>0</v>
      </c>
      <c r="BJ16" s="247">
        <f>SUM(AS16:BI16)</f>
        <v>5</v>
      </c>
    </row>
    <row r="17" spans="1:66" x14ac:dyDescent="0.3">
      <c r="A17" t="s">
        <v>889</v>
      </c>
      <c r="B17">
        <v>84</v>
      </c>
      <c r="C17" s="246">
        <f>'[2]OS Acq model'!J84</f>
        <v>0</v>
      </c>
      <c r="D17" s="246">
        <f>'[2]OS Acq model'!K84</f>
        <v>1</v>
      </c>
      <c r="E17" s="66">
        <f>'[2]OS Acq model'!AB84</f>
        <v>7.0999999999999994E-2</v>
      </c>
      <c r="F17" s="66">
        <f>'[2]OS Acq model'!AC84</f>
        <v>3.7543052523597763E-2</v>
      </c>
      <c r="G17" s="66">
        <f>'[2]OS Acq model'!AD84</f>
        <v>4.5514348152835955E-2</v>
      </c>
      <c r="H17" s="66">
        <f>'[2]OS Acq model'!AE84</f>
        <v>1.8122514202664898E-2</v>
      </c>
      <c r="I17" s="66">
        <f>'[2]OS Acq model'!AF84</f>
        <v>2.9436634290174995E-2</v>
      </c>
      <c r="J17" s="66">
        <f>'[2]OS Acq model'!AG84</f>
        <v>6.8898554427072656E-2</v>
      </c>
      <c r="K17" s="66">
        <f>'[2]OS Acq model'!AH84</f>
        <v>5.6492768691534537E-2</v>
      </c>
      <c r="L17" s="66">
        <f>'[2]OS Acq model'!AI84</f>
        <v>6.104858397150742E-2</v>
      </c>
      <c r="M17" s="66">
        <f>'[2]OS Acq model'!AJ84</f>
        <v>4.7218433489156879E-2</v>
      </c>
      <c r="N17" s="66">
        <f>'[2]OS Acq model'!AK84</f>
        <v>1.3445716477434186E-2</v>
      </c>
      <c r="O17" s="66">
        <f>'[2]OS Acq model'!AL84</f>
        <v>0.10317424355676874</v>
      </c>
      <c r="P17" s="66">
        <f>'[2]OS Acq model'!AM84</f>
        <v>0.10437720006137982</v>
      </c>
      <c r="Q17" s="66">
        <f>'[2]OS Acq model'!AN84</f>
        <v>0.10605662509671779</v>
      </c>
      <c r="R17" s="66">
        <f>'[2]OS Acq model'!AO84</f>
        <v>0.10165489126390424</v>
      </c>
      <c r="S17" s="66">
        <f>'[2]OS Acq model'!AP84</f>
        <v>4.734280891885715E-2</v>
      </c>
      <c r="T17" s="66">
        <f>'[2]OS Acq model'!AQ84</f>
        <v>5.168471985812214E-2</v>
      </c>
      <c r="U17" s="66">
        <f>'[2]OS Acq model'!AR84</f>
        <v>3.698890501827079E-2</v>
      </c>
      <c r="V17" s="66">
        <f>'[2]OS Acq model'!AS84</f>
        <v>0</v>
      </c>
      <c r="W17" s="67">
        <f t="shared" si="7"/>
        <v>1</v>
      </c>
      <c r="Y17" s="247">
        <f>SUM($E17:E17)*SUM($C17:$D17)</f>
        <v>7.0999999999999994E-2</v>
      </c>
      <c r="Z17" s="247">
        <f>SUM($E17:F17)*SUM($C17:$D17)</f>
        <v>0.10854305252359775</v>
      </c>
      <c r="AA17" s="247">
        <f>SUM($E17:G17)*SUM($C17:$D17)</f>
        <v>0.1540574006764337</v>
      </c>
      <c r="AB17" s="247">
        <f>SUM($E17:H17)*SUM($C17:$D17)</f>
        <v>0.17217991487909859</v>
      </c>
      <c r="AC17" s="247">
        <f>SUM($E17:I17)*SUM($C17:$D17)</f>
        <v>0.20161654916927357</v>
      </c>
      <c r="AD17" s="247">
        <f>SUM($E17:J17)*SUM($C17:$D17)</f>
        <v>0.27051510359634623</v>
      </c>
      <c r="AE17" s="247">
        <f>SUM($E17:K17)*SUM($C17:$D17)</f>
        <v>0.32700787228788075</v>
      </c>
      <c r="AF17" s="247">
        <f>SUM($E17:L17)*SUM($C17:$D17)</f>
        <v>0.38805645625938817</v>
      </c>
      <c r="AG17" s="247">
        <f>SUM($E17:M17)*SUM($C17:$D17)</f>
        <v>0.43527488974854506</v>
      </c>
      <c r="AH17" s="247">
        <f>SUM($E17:N17)*SUM($C17:$D17)</f>
        <v>0.44872060622597926</v>
      </c>
      <c r="AI17" s="247">
        <f>SUM($E17:O17)*SUM($C17:$D17)</f>
        <v>0.55189484978274805</v>
      </c>
      <c r="AJ17" s="247">
        <f>SUM($E17:P17)*SUM($C17:$D17)</f>
        <v>0.6562720498441279</v>
      </c>
      <c r="AK17" s="247">
        <f>SUM($E17:Q17)*SUM($C17:$D17)</f>
        <v>0.76232867494084566</v>
      </c>
      <c r="AL17" s="247">
        <f>SUM($E17:R17)*SUM($C17:$D17)</f>
        <v>0.86398356620474992</v>
      </c>
      <c r="AM17" s="247">
        <f>SUM($E17:S17)*SUM($C17:$D17)</f>
        <v>0.91132637512360704</v>
      </c>
      <c r="AN17" s="247">
        <f>SUM($E17:T17)*SUM($C17:$D17)</f>
        <v>0.96301109498172921</v>
      </c>
      <c r="AO17" s="247">
        <f>SUM($E17:U17)*SUM($C17:$D17)</f>
        <v>1</v>
      </c>
      <c r="AP17" s="247">
        <f>SUM($E17:V17)*SUM($C17:$D17)</f>
        <v>1</v>
      </c>
      <c r="AR17">
        <v>2037</v>
      </c>
    </row>
    <row r="18" spans="1:66" x14ac:dyDescent="0.3">
      <c r="A18" t="s">
        <v>889</v>
      </c>
      <c r="B18">
        <v>85</v>
      </c>
      <c r="C18" s="246" t="s">
        <v>894</v>
      </c>
      <c r="D18" s="246">
        <v>1</v>
      </c>
      <c r="E18" s="66">
        <f>'[2]OS Acq model'!AB85</f>
        <v>7.0999999999999994E-2</v>
      </c>
      <c r="F18" s="66">
        <f>'[2]OS Acq model'!AC85</f>
        <v>3.7543052523597763E-2</v>
      </c>
      <c r="G18" s="66">
        <f>'[2]OS Acq model'!AD85</f>
        <v>4.5514348152835955E-2</v>
      </c>
      <c r="H18" s="66">
        <f>'[2]OS Acq model'!AE85</f>
        <v>1.8122514202664898E-2</v>
      </c>
      <c r="I18" s="66">
        <f>'[2]OS Acq model'!AF85</f>
        <v>2.9436634290174995E-2</v>
      </c>
      <c r="J18" s="66">
        <f>'[2]OS Acq model'!AG85</f>
        <v>6.8898554427072656E-2</v>
      </c>
      <c r="K18" s="66">
        <f>'[2]OS Acq model'!AH85</f>
        <v>5.6492768691534537E-2</v>
      </c>
      <c r="L18" s="66">
        <f>'[2]OS Acq model'!AI85</f>
        <v>6.104858397150742E-2</v>
      </c>
      <c r="M18" s="66">
        <f>'[2]OS Acq model'!AJ85</f>
        <v>4.7218433489156879E-2</v>
      </c>
      <c r="N18" s="66">
        <f>'[2]OS Acq model'!AK85</f>
        <v>1.3445716477434186E-2</v>
      </c>
      <c r="O18" s="66">
        <f>'[2]OS Acq model'!AL85</f>
        <v>0.10317424355676874</v>
      </c>
      <c r="P18" s="66">
        <f>'[2]OS Acq model'!AM85</f>
        <v>0.10437720006137982</v>
      </c>
      <c r="Q18" s="66">
        <f>'[2]OS Acq model'!AN85</f>
        <v>0.10605662509671779</v>
      </c>
      <c r="R18" s="66">
        <f>'[2]OS Acq model'!AO85</f>
        <v>0.10165489126390424</v>
      </c>
      <c r="S18" s="66">
        <f>'[2]OS Acq model'!AP85</f>
        <v>4.734280891885715E-2</v>
      </c>
      <c r="T18" s="66">
        <f>'[2]OS Acq model'!AQ85</f>
        <v>5.168471985812214E-2</v>
      </c>
      <c r="U18" s="66">
        <f>'[2]OS Acq model'!AR85</f>
        <v>3.698890501827079E-2</v>
      </c>
      <c r="V18" s="66">
        <f>'[2]OS Acq model'!AS85</f>
        <v>0</v>
      </c>
      <c r="W18" s="67">
        <f t="shared" si="7"/>
        <v>1</v>
      </c>
      <c r="Y18" s="247">
        <f>SUM($E18:E18)*SUM($C18:$D18)</f>
        <v>7.0999999999999994E-2</v>
      </c>
      <c r="Z18" s="247">
        <f>SUM($E18:F18)*SUM($C18:$D18)</f>
        <v>0.10854305252359775</v>
      </c>
      <c r="AA18" s="247">
        <f>SUM($E18:G18)*SUM($C18:$D18)</f>
        <v>0.1540574006764337</v>
      </c>
      <c r="AB18" s="247">
        <f>SUM($E18:H18)*SUM($C18:$D18)</f>
        <v>0.17217991487909859</v>
      </c>
      <c r="AC18" s="247">
        <f>SUM($E18:I18)*SUM($C18:$D18)</f>
        <v>0.20161654916927357</v>
      </c>
      <c r="AD18" s="247">
        <f>SUM($E18:J18)*SUM($C18:$D18)</f>
        <v>0.27051510359634623</v>
      </c>
      <c r="AE18" s="247">
        <f>SUM($E18:K18)*SUM($C18:$D18)</f>
        <v>0.32700787228788075</v>
      </c>
      <c r="AF18" s="247">
        <f>SUM($E18:L18)*SUM($C18:$D18)</f>
        <v>0.38805645625938817</v>
      </c>
      <c r="AG18" s="247">
        <f>SUM($E18:M18)*SUM($C18:$D18)</f>
        <v>0.43527488974854506</v>
      </c>
      <c r="AH18" s="247">
        <f>SUM($E18:N18)*SUM($C18:$D18)</f>
        <v>0.44872060622597926</v>
      </c>
      <c r="AI18" s="247">
        <f>SUM($E18:O18)*SUM($C18:$D18)</f>
        <v>0.55189484978274805</v>
      </c>
      <c r="AJ18" s="247">
        <f>SUM($E18:P18)*SUM($C18:$D18)</f>
        <v>0.6562720498441279</v>
      </c>
      <c r="AK18" s="247">
        <f>SUM($E18:Q18)*SUM($C18:$D18)</f>
        <v>0.76232867494084566</v>
      </c>
      <c r="AL18" s="247">
        <f>SUM($E18:R18)*SUM($C18:$D18)</f>
        <v>0.86398356620474992</v>
      </c>
      <c r="AM18" s="247">
        <f>SUM($E18:S18)*SUM($C18:$D18)</f>
        <v>0.91132637512360704</v>
      </c>
      <c r="AN18" s="247">
        <f>SUM($E18:T18)*SUM($C18:$D18)</f>
        <v>0.96301109498172921</v>
      </c>
      <c r="AO18" s="247">
        <f>SUM($E18:U18)*SUM($C18:$D18)</f>
        <v>1</v>
      </c>
      <c r="AP18" s="247">
        <f>SUM($E18:V18)*SUM($C18:$D18)</f>
        <v>1</v>
      </c>
      <c r="AR18">
        <v>2037</v>
      </c>
    </row>
    <row r="19" spans="1:66" x14ac:dyDescent="0.3">
      <c r="A19" t="s">
        <v>889</v>
      </c>
      <c r="B19">
        <v>90</v>
      </c>
      <c r="C19" s="246">
        <f>'[2]OS Acq model'!J90</f>
        <v>0</v>
      </c>
      <c r="D19" s="246">
        <f>'[2]OS Acq model'!K90</f>
        <v>1</v>
      </c>
      <c r="E19" s="66">
        <f>'[2]OS Acq model'!AB90</f>
        <v>7.0999999999999994E-2</v>
      </c>
      <c r="F19" s="66">
        <f>'[2]OS Acq model'!AC90</f>
        <v>3.7543052523597763E-2</v>
      </c>
      <c r="G19" s="66">
        <f>'[2]OS Acq model'!AD90</f>
        <v>4.5514348152835955E-2</v>
      </c>
      <c r="H19" s="66">
        <f>'[2]OS Acq model'!AE90</f>
        <v>1.8122514202664898E-2</v>
      </c>
      <c r="I19" s="66">
        <f>'[2]OS Acq model'!AF90</f>
        <v>2.9436634290174995E-2</v>
      </c>
      <c r="J19" s="66">
        <f>'[2]OS Acq model'!AG90</f>
        <v>6.8898554427072656E-2</v>
      </c>
      <c r="K19" s="66">
        <f>'[2]OS Acq model'!AH90</f>
        <v>5.6492768691534537E-2</v>
      </c>
      <c r="L19" s="66">
        <f>'[2]OS Acq model'!AI90</f>
        <v>6.104858397150742E-2</v>
      </c>
      <c r="M19" s="66">
        <f>'[2]OS Acq model'!AJ90</f>
        <v>4.7218433489156879E-2</v>
      </c>
      <c r="N19" s="66">
        <f>'[2]OS Acq model'!AK90</f>
        <v>1.3445716477434186E-2</v>
      </c>
      <c r="O19" s="66">
        <f>'[2]OS Acq model'!AL90</f>
        <v>0.10317424355676874</v>
      </c>
      <c r="P19" s="66">
        <f>'[2]OS Acq model'!AM90</f>
        <v>0.10437720006137982</v>
      </c>
      <c r="Q19" s="66">
        <f>'[2]OS Acq model'!AN90</f>
        <v>0.10605662509671779</v>
      </c>
      <c r="R19" s="66">
        <f>'[2]OS Acq model'!AO90</f>
        <v>0.10165489126390424</v>
      </c>
      <c r="S19" s="66">
        <f>'[2]OS Acq model'!AP90</f>
        <v>4.734280891885715E-2</v>
      </c>
      <c r="T19" s="66">
        <f>'[2]OS Acq model'!AQ90</f>
        <v>5.168471985812214E-2</v>
      </c>
      <c r="U19" s="66">
        <f>'[2]OS Acq model'!AR90</f>
        <v>3.698890501827079E-2</v>
      </c>
      <c r="V19" s="66">
        <f>'[2]OS Acq model'!AS90</f>
        <v>0</v>
      </c>
      <c r="W19" s="67">
        <f t="shared" si="7"/>
        <v>1</v>
      </c>
      <c r="Y19" s="247">
        <f>SUM($E19:E19)*SUM($C19:$D19)</f>
        <v>7.0999999999999994E-2</v>
      </c>
      <c r="Z19" s="247">
        <f>SUM($E19:F19)*SUM($C19:$D19)</f>
        <v>0.10854305252359775</v>
      </c>
      <c r="AA19" s="247">
        <f>SUM($E19:G19)*SUM($C19:$D19)</f>
        <v>0.1540574006764337</v>
      </c>
      <c r="AB19" s="247">
        <f>SUM($E19:H19)*SUM($C19:$D19)</f>
        <v>0.17217991487909859</v>
      </c>
      <c r="AC19" s="247">
        <f>SUM($E19:I19)*SUM($C19:$D19)</f>
        <v>0.20161654916927357</v>
      </c>
      <c r="AD19" s="247">
        <f>SUM($E19:J19)*SUM($C19:$D19)</f>
        <v>0.27051510359634623</v>
      </c>
      <c r="AE19" s="247">
        <f>SUM($E19:K19)*SUM($C19:$D19)</f>
        <v>0.32700787228788075</v>
      </c>
      <c r="AF19" s="247">
        <f>SUM($E19:L19)*SUM($C19:$D19)</f>
        <v>0.38805645625938817</v>
      </c>
      <c r="AG19" s="247">
        <f>SUM($E19:M19)*SUM($C19:$D19)</f>
        <v>0.43527488974854506</v>
      </c>
      <c r="AH19" s="247">
        <f>SUM($E19:N19)*SUM($C19:$D19)</f>
        <v>0.44872060622597926</v>
      </c>
      <c r="AI19" s="247">
        <f>SUM($E19:O19)*SUM($C19:$D19)</f>
        <v>0.55189484978274805</v>
      </c>
      <c r="AJ19" s="247">
        <f>SUM($E19:P19)*SUM($C19:$D19)</f>
        <v>0.6562720498441279</v>
      </c>
      <c r="AK19" s="247">
        <f>SUM($E19:Q19)*SUM($C19:$D19)</f>
        <v>0.76232867494084566</v>
      </c>
      <c r="AL19" s="247">
        <f>SUM($E19:R19)*SUM($C19:$D19)</f>
        <v>0.86398356620474992</v>
      </c>
      <c r="AM19" s="247">
        <f>SUM($E19:S19)*SUM($C19:$D19)</f>
        <v>0.91132637512360704</v>
      </c>
      <c r="AN19" s="247">
        <f>SUM($E19:T19)*SUM($C19:$D19)</f>
        <v>0.96301109498172921</v>
      </c>
      <c r="AO19" s="247">
        <f>SUM($E19:U19)*SUM($C19:$D19)</f>
        <v>1</v>
      </c>
      <c r="AP19" s="247">
        <f>SUM($E19:V19)*SUM($C19:$D19)</f>
        <v>1</v>
      </c>
      <c r="AR19">
        <v>2037</v>
      </c>
    </row>
    <row r="22" spans="1:66" x14ac:dyDescent="0.3">
      <c r="A22" t="s">
        <v>892</v>
      </c>
    </row>
    <row r="23" spans="1:66" x14ac:dyDescent="0.3">
      <c r="B23" t="s">
        <v>222</v>
      </c>
      <c r="C23" t="s">
        <v>223</v>
      </c>
      <c r="D23" t="s">
        <v>224</v>
      </c>
      <c r="E23" t="s">
        <v>225</v>
      </c>
    </row>
    <row r="24" spans="1:66" x14ac:dyDescent="0.3">
      <c r="A24" t="s">
        <v>228</v>
      </c>
      <c r="B24" s="245">
        <v>0.1</v>
      </c>
      <c r="C24" s="245">
        <v>0.9</v>
      </c>
    </row>
    <row r="25" spans="1:66" x14ac:dyDescent="0.3">
      <c r="A25" t="s">
        <v>436</v>
      </c>
      <c r="B25" s="245">
        <v>0.1</v>
      </c>
      <c r="C25" s="245">
        <v>0.1</v>
      </c>
      <c r="D25" s="245">
        <v>0.4</v>
      </c>
      <c r="E25" s="245">
        <v>0.4</v>
      </c>
      <c r="AW25" s="253" t="s">
        <v>926</v>
      </c>
      <c r="AX25" s="253" t="s">
        <v>927</v>
      </c>
    </row>
    <row r="26" spans="1:66" x14ac:dyDescent="0.3">
      <c r="AW26" s="253">
        <v>2.1055821894494833</v>
      </c>
      <c r="AX26" s="253">
        <v>3.5928375056403317</v>
      </c>
      <c r="AY26" s="253" t="s">
        <v>928</v>
      </c>
    </row>
    <row r="27" spans="1:66" x14ac:dyDescent="0.3">
      <c r="A27" t="s">
        <v>906</v>
      </c>
      <c r="AM27" t="s">
        <v>922</v>
      </c>
      <c r="AN27" t="s">
        <v>923</v>
      </c>
      <c r="AO27" t="s">
        <v>924</v>
      </c>
      <c r="AS27">
        <f t="shared" ref="AS27:BI27" si="11">F2</f>
        <v>2026</v>
      </c>
      <c r="AT27">
        <f t="shared" si="11"/>
        <v>2027</v>
      </c>
      <c r="AU27">
        <f t="shared" si="11"/>
        <v>2028</v>
      </c>
      <c r="AV27">
        <f t="shared" si="11"/>
        <v>2029</v>
      </c>
      <c r="AW27">
        <f t="shared" si="11"/>
        <v>2030</v>
      </c>
      <c r="AX27">
        <f t="shared" si="11"/>
        <v>2031</v>
      </c>
      <c r="AY27">
        <f t="shared" si="11"/>
        <v>2032</v>
      </c>
      <c r="AZ27">
        <f t="shared" si="11"/>
        <v>2033</v>
      </c>
      <c r="BA27">
        <f t="shared" si="11"/>
        <v>2034</v>
      </c>
      <c r="BB27">
        <f t="shared" si="11"/>
        <v>2035</v>
      </c>
      <c r="BC27">
        <f t="shared" si="11"/>
        <v>2036</v>
      </c>
      <c r="BD27">
        <f t="shared" si="11"/>
        <v>2037</v>
      </c>
      <c r="BE27">
        <f t="shared" si="11"/>
        <v>2038</v>
      </c>
      <c r="BF27">
        <f t="shared" si="11"/>
        <v>2039</v>
      </c>
      <c r="BG27">
        <f t="shared" si="11"/>
        <v>2040</v>
      </c>
      <c r="BH27">
        <f t="shared" si="11"/>
        <v>2041</v>
      </c>
      <c r="BI27">
        <f t="shared" si="11"/>
        <v>2042</v>
      </c>
      <c r="BJ27">
        <v>2043</v>
      </c>
      <c r="BK27">
        <v>2044</v>
      </c>
      <c r="BL27">
        <v>2045</v>
      </c>
      <c r="BM27">
        <v>2046</v>
      </c>
      <c r="BN27" t="s">
        <v>413</v>
      </c>
    </row>
    <row r="28" spans="1:66" x14ac:dyDescent="0.3">
      <c r="A28" t="str">
        <f t="shared" ref="A28:A44" si="12">A3</f>
        <v>Gulf Harbour</v>
      </c>
      <c r="C28">
        <f>C3</f>
        <v>1</v>
      </c>
      <c r="D28">
        <f>D3</f>
        <v>0</v>
      </c>
      <c r="AL28" t="str">
        <f>A28</f>
        <v>Gulf Harbour</v>
      </c>
      <c r="AM28" s="255"/>
      <c r="AQ28" s="256" t="s">
        <v>900</v>
      </c>
      <c r="BJ28">
        <v>0.1</v>
      </c>
      <c r="BK28">
        <v>0.9</v>
      </c>
      <c r="BN28">
        <f>SUM(AR28:BL28)</f>
        <v>1</v>
      </c>
    </row>
    <row r="29" spans="1:66" x14ac:dyDescent="0.3">
      <c r="A29" t="str">
        <f t="shared" si="12"/>
        <v>Wainui</v>
      </c>
      <c r="C29">
        <f t="shared" ref="C29:D29" si="13">C4</f>
        <v>7</v>
      </c>
      <c r="D29">
        <f t="shared" si="13"/>
        <v>0</v>
      </c>
      <c r="AL29" t="str">
        <f t="shared" ref="AL29:AL44" si="14">A29</f>
        <v>Wainui</v>
      </c>
      <c r="AM29" s="255">
        <f>'OS Dev model'!X46</f>
        <v>7.0757777809601645</v>
      </c>
      <c r="AN29">
        <f>SUM(AS29:BA29)</f>
        <v>0.2857142857142857</v>
      </c>
      <c r="AQ29" s="256" t="s">
        <v>899</v>
      </c>
      <c r="AV29">
        <f>0.1/7</f>
        <v>1.4285714285714287E-2</v>
      </c>
      <c r="AW29" s="253">
        <f>AV29*$AW$26</f>
        <v>3.0079745563564051E-2</v>
      </c>
      <c r="AX29" s="253">
        <f>AV29*$AX$26</f>
        <v>5.1326250080576175E-2</v>
      </c>
      <c r="AY29">
        <f>0.1/7+(1/7-SUM(AV29:AX29))</f>
        <v>6.1451147213002627E-2</v>
      </c>
      <c r="AZ29">
        <f>BC29</f>
        <v>0.12857142857142859</v>
      </c>
      <c r="BB29">
        <f>0.1/7</f>
        <v>1.4285714285714287E-2</v>
      </c>
      <c r="BC29">
        <f>BB29*9</f>
        <v>0.12857142857142859</v>
      </c>
      <c r="BD29">
        <f>0.1/7</f>
        <v>1.4285714285714287E-2</v>
      </c>
      <c r="BE29">
        <f>BD29*9</f>
        <v>0.12857142857142859</v>
      </c>
      <c r="BF29">
        <f>0.1/7</f>
        <v>1.4285714285714287E-2</v>
      </c>
      <c r="BG29">
        <f>BF29*10</f>
        <v>0.14285714285714288</v>
      </c>
      <c r="BH29">
        <f>BF29*9</f>
        <v>0.12857142857142859</v>
      </c>
      <c r="BJ29">
        <f>0.1/7</f>
        <v>1.4285714285714287E-2</v>
      </c>
      <c r="BK29">
        <f>BJ29*9</f>
        <v>0.12857142857142859</v>
      </c>
      <c r="BN29">
        <f>SUM(AR29:BL29)</f>
        <v>1</v>
      </c>
    </row>
    <row r="30" spans="1:66" x14ac:dyDescent="0.3">
      <c r="A30" t="str">
        <f t="shared" si="12"/>
        <v>Wainui</v>
      </c>
      <c r="C30">
        <f t="shared" ref="C30:D30" si="15">C5</f>
        <v>0</v>
      </c>
      <c r="D30">
        <f t="shared" si="15"/>
        <v>1</v>
      </c>
      <c r="AL30" t="str">
        <f t="shared" si="14"/>
        <v>Wainui</v>
      </c>
      <c r="AQ30" s="256" t="s">
        <v>898</v>
      </c>
      <c r="BF30">
        <v>0.1</v>
      </c>
      <c r="BG30">
        <v>0.1</v>
      </c>
      <c r="BH30">
        <v>0.4</v>
      </c>
      <c r="BI30">
        <v>0.4</v>
      </c>
      <c r="BN30">
        <f>SUM(AR30:BL30)</f>
        <v>1</v>
      </c>
    </row>
    <row r="31" spans="1:66" x14ac:dyDescent="0.3">
      <c r="A31" t="str">
        <f t="shared" si="12"/>
        <v>Scott Point</v>
      </c>
      <c r="C31">
        <f t="shared" ref="C31:D31" si="16">C6</f>
        <v>0</v>
      </c>
      <c r="D31">
        <f t="shared" si="16"/>
        <v>1</v>
      </c>
      <c r="AL31" t="str">
        <f t="shared" si="14"/>
        <v>Scott Point</v>
      </c>
      <c r="AQ31" s="256" t="s">
        <v>898</v>
      </c>
      <c r="BJ31">
        <v>0.1</v>
      </c>
      <c r="BK31">
        <v>0.1</v>
      </c>
      <c r="BL31">
        <v>0.4</v>
      </c>
      <c r="BM31">
        <v>0.4</v>
      </c>
      <c r="BN31">
        <f>SUM(AR31:BM31)</f>
        <v>1</v>
      </c>
    </row>
    <row r="32" spans="1:66" x14ac:dyDescent="0.3">
      <c r="A32" t="str">
        <f t="shared" si="12"/>
        <v>Redhills</v>
      </c>
      <c r="C32">
        <v>11</v>
      </c>
      <c r="D32">
        <f t="shared" ref="D32" si="17">D7</f>
        <v>0</v>
      </c>
      <c r="AL32" t="str">
        <f t="shared" si="14"/>
        <v>Redhills</v>
      </c>
      <c r="AM32" s="255">
        <f>'OS Dev model'!X109</f>
        <v>10.597227266011474</v>
      </c>
      <c r="AN32">
        <f>SUM(AS32:BA32)</f>
        <v>0.28181818181818186</v>
      </c>
      <c r="AQ32" s="256" t="s">
        <v>899</v>
      </c>
      <c r="AR32" t="s">
        <v>925</v>
      </c>
      <c r="AU32" s="257">
        <f>1/11</f>
        <v>9.0909090909090912E-2</v>
      </c>
      <c r="AV32" s="248"/>
      <c r="AW32" s="258"/>
      <c r="AX32" s="259">
        <f>AU32</f>
        <v>9.0909090909090912E-2</v>
      </c>
      <c r="AY32" s="250">
        <f>0.1/11</f>
        <v>9.0909090909090922E-3</v>
      </c>
      <c r="AZ32" s="250">
        <f>AY32*9</f>
        <v>8.1818181818181832E-2</v>
      </c>
      <c r="BA32" s="251">
        <f>0.1/11</f>
        <v>9.0909090909090922E-3</v>
      </c>
      <c r="BB32" s="251">
        <f>BA32*10</f>
        <v>9.0909090909090925E-2</v>
      </c>
      <c r="BC32" s="251">
        <f>BA32*9</f>
        <v>8.1818181818181832E-2</v>
      </c>
      <c r="BD32" s="252">
        <f>0.1/11</f>
        <v>9.0909090909090922E-3</v>
      </c>
      <c r="BE32" s="252">
        <f>BD32*10</f>
        <v>9.0909090909090925E-2</v>
      </c>
      <c r="BF32" s="252">
        <f>BE32</f>
        <v>9.0909090909090925E-2</v>
      </c>
      <c r="BG32" s="252">
        <f t="shared" ref="BG32:BH32" si="18">BF32</f>
        <v>9.0909090909090925E-2</v>
      </c>
      <c r="BH32" s="252">
        <f t="shared" si="18"/>
        <v>9.0909090909090925E-2</v>
      </c>
      <c r="BI32" s="252">
        <f>BD32*9</f>
        <v>8.1818181818181832E-2</v>
      </c>
      <c r="BJ32" s="253">
        <f>0.1/11</f>
        <v>9.0909090909090922E-3</v>
      </c>
      <c r="BK32" s="253">
        <f>BJ32*9</f>
        <v>8.1818181818181832E-2</v>
      </c>
      <c r="BN32">
        <f>SUM(AR32:BK32)</f>
        <v>1.0000000000000002</v>
      </c>
    </row>
    <row r="33" spans="1:66" x14ac:dyDescent="0.3">
      <c r="A33" t="str">
        <f t="shared" si="12"/>
        <v>Redhills</v>
      </c>
      <c r="C33">
        <f t="shared" ref="C33:D33" si="19">C8</f>
        <v>0</v>
      </c>
      <c r="D33">
        <f t="shared" si="19"/>
        <v>2</v>
      </c>
      <c r="AL33" t="str">
        <f t="shared" si="14"/>
        <v>Redhills</v>
      </c>
      <c r="AQ33" s="256" t="s">
        <v>898</v>
      </c>
      <c r="BA33">
        <f>0.1/2</f>
        <v>0.05</v>
      </c>
      <c r="BB33">
        <f>BA33</f>
        <v>0.05</v>
      </c>
      <c r="BC33">
        <f>BB33*4</f>
        <v>0.2</v>
      </c>
      <c r="BD33">
        <f>BC33</f>
        <v>0.2</v>
      </c>
      <c r="BH33">
        <f>0.1/2</f>
        <v>0.05</v>
      </c>
      <c r="BI33">
        <f>BH33</f>
        <v>0.05</v>
      </c>
      <c r="BJ33">
        <f>BI33*4</f>
        <v>0.2</v>
      </c>
      <c r="BK33">
        <f>BJ33</f>
        <v>0.2</v>
      </c>
      <c r="BN33">
        <f t="shared" ref="BN33:BN39" si="20">SUM(AR33:BL33)</f>
        <v>1</v>
      </c>
    </row>
    <row r="34" spans="1:66" x14ac:dyDescent="0.3">
      <c r="A34" t="str">
        <f t="shared" si="12"/>
        <v>Flatbush</v>
      </c>
      <c r="C34">
        <f t="shared" ref="C34:D34" si="21">C9</f>
        <v>4</v>
      </c>
      <c r="D34">
        <f t="shared" si="21"/>
        <v>0</v>
      </c>
      <c r="AL34" t="str">
        <f t="shared" si="14"/>
        <v>Flatbush</v>
      </c>
      <c r="AQ34" s="256" t="s">
        <v>899</v>
      </c>
      <c r="BE34">
        <f>0.1/4</f>
        <v>2.5000000000000001E-2</v>
      </c>
      <c r="BF34">
        <f>BE34*9</f>
        <v>0.22500000000000001</v>
      </c>
      <c r="BH34">
        <f>0.1/4</f>
        <v>2.5000000000000001E-2</v>
      </c>
      <c r="BI34">
        <f>BH34*9</f>
        <v>0.22500000000000001</v>
      </c>
      <c r="BJ34">
        <f>0.1/4</f>
        <v>2.5000000000000001E-2</v>
      </c>
      <c r="BK34">
        <f>BJ34*10</f>
        <v>0.25</v>
      </c>
      <c r="BL34">
        <f>BJ34*9</f>
        <v>0.22500000000000001</v>
      </c>
      <c r="BN34">
        <f t="shared" si="20"/>
        <v>1</v>
      </c>
    </row>
    <row r="35" spans="1:66" x14ac:dyDescent="0.3">
      <c r="A35" t="str">
        <f t="shared" si="12"/>
        <v>Hingaia</v>
      </c>
      <c r="C35">
        <f t="shared" ref="C35:D35" si="22">C10</f>
        <v>1</v>
      </c>
      <c r="D35">
        <f t="shared" si="22"/>
        <v>0</v>
      </c>
      <c r="AL35" t="str">
        <f t="shared" si="14"/>
        <v>Hingaia</v>
      </c>
      <c r="AQ35" s="256" t="s">
        <v>899</v>
      </c>
      <c r="BE35">
        <f>0.1</f>
        <v>0.1</v>
      </c>
      <c r="BF35">
        <v>0.9</v>
      </c>
      <c r="BN35">
        <f t="shared" si="20"/>
        <v>1</v>
      </c>
    </row>
    <row r="36" spans="1:66" x14ac:dyDescent="0.3">
      <c r="A36" t="str">
        <f t="shared" si="12"/>
        <v>Hingaia</v>
      </c>
      <c r="C36">
        <f t="shared" ref="C36:D36" si="23">C11</f>
        <v>6</v>
      </c>
      <c r="D36">
        <f t="shared" si="23"/>
        <v>0</v>
      </c>
      <c r="AL36" t="str">
        <f t="shared" si="14"/>
        <v>Hingaia</v>
      </c>
      <c r="AM36" s="255">
        <f>'OS Dev model'!X218</f>
        <v>7.1887453366053942</v>
      </c>
      <c r="AN36">
        <f>SUM(AS36:BA36)</f>
        <v>0.33333333333333331</v>
      </c>
      <c r="AQ36" s="256" t="s">
        <v>899</v>
      </c>
      <c r="AV36">
        <f>0.1/6</f>
        <v>1.6666666666666666E-2</v>
      </c>
      <c r="AW36" s="253">
        <f>AV36*$AW$26</f>
        <v>3.5093036490824722E-2</v>
      </c>
      <c r="AX36" s="253">
        <f>AV36*$AX$26</f>
        <v>5.9880625094005525E-2</v>
      </c>
      <c r="AY36">
        <f>1/6-SUM(AV36:AX36)</f>
        <v>5.502633841516974E-2</v>
      </c>
      <c r="AZ36">
        <f>0.1/6</f>
        <v>1.6666666666666666E-2</v>
      </c>
      <c r="BA36">
        <f>AZ36*9</f>
        <v>0.15</v>
      </c>
      <c r="BD36">
        <f>0.1/6</f>
        <v>1.6666666666666666E-2</v>
      </c>
      <c r="BE36">
        <f>BD36*10</f>
        <v>0.16666666666666666</v>
      </c>
      <c r="BF36">
        <f>BD36*9</f>
        <v>0.15</v>
      </c>
      <c r="BG36">
        <f>0.1/6</f>
        <v>1.6666666666666666E-2</v>
      </c>
      <c r="BH36">
        <f>BG36*9</f>
        <v>0.15</v>
      </c>
      <c r="BI36">
        <f>0.1/6</f>
        <v>1.6666666666666666E-2</v>
      </c>
      <c r="BJ36">
        <f>BI36*9</f>
        <v>0.15</v>
      </c>
      <c r="BN36">
        <f t="shared" si="20"/>
        <v>1</v>
      </c>
    </row>
    <row r="37" spans="1:66" x14ac:dyDescent="0.3">
      <c r="A37" t="str">
        <f t="shared" si="12"/>
        <v>Drury</v>
      </c>
      <c r="C37">
        <f t="shared" ref="C37:D37" si="24">C12</f>
        <v>5</v>
      </c>
      <c r="D37">
        <f t="shared" si="24"/>
        <v>0</v>
      </c>
      <c r="AL37" t="str">
        <f t="shared" si="14"/>
        <v>Drury</v>
      </c>
      <c r="AQ37" s="256" t="s">
        <v>899</v>
      </c>
      <c r="AZ37" s="248">
        <f>0.1/5</f>
        <v>0.02</v>
      </c>
      <c r="BA37" s="248">
        <f>AZ37*9</f>
        <v>0.18</v>
      </c>
      <c r="BD37" s="250">
        <f>0.1/5</f>
        <v>0.02</v>
      </c>
      <c r="BE37" s="250">
        <f>BD37*9</f>
        <v>0.18</v>
      </c>
      <c r="BF37" s="250">
        <f>0.1/5</f>
        <v>0.02</v>
      </c>
      <c r="BG37" s="250">
        <f>BF37*9</f>
        <v>0.18</v>
      </c>
      <c r="BI37" s="251">
        <f>0.1/5</f>
        <v>0.02</v>
      </c>
      <c r="BJ37" s="251">
        <f>BI37*10</f>
        <v>0.2</v>
      </c>
      <c r="BK37" s="251">
        <f>BI37*9</f>
        <v>0.18</v>
      </c>
      <c r="BN37">
        <f t="shared" si="20"/>
        <v>1</v>
      </c>
    </row>
    <row r="38" spans="1:66" x14ac:dyDescent="0.3">
      <c r="A38" t="str">
        <f t="shared" si="12"/>
        <v>Drury</v>
      </c>
      <c r="C38">
        <f t="shared" ref="C38:D38" si="25">C13</f>
        <v>0</v>
      </c>
      <c r="D38">
        <f t="shared" si="25"/>
        <v>1</v>
      </c>
      <c r="AL38" t="str">
        <f t="shared" si="14"/>
        <v>Drury</v>
      </c>
      <c r="AQ38" s="256" t="s">
        <v>898</v>
      </c>
      <c r="BG38">
        <v>0.1</v>
      </c>
      <c r="BH38">
        <v>0.1</v>
      </c>
      <c r="BI38">
        <v>0.4</v>
      </c>
      <c r="BJ38">
        <v>0.4</v>
      </c>
      <c r="BN38">
        <f t="shared" si="20"/>
        <v>1</v>
      </c>
    </row>
    <row r="39" spans="1:66" x14ac:dyDescent="0.3">
      <c r="A39" t="str">
        <f t="shared" si="12"/>
        <v>Drury</v>
      </c>
      <c r="C39">
        <f t="shared" ref="C39:D39" si="26">C14</f>
        <v>7</v>
      </c>
      <c r="D39">
        <f t="shared" si="26"/>
        <v>0</v>
      </c>
      <c r="AL39" t="str">
        <f t="shared" si="14"/>
        <v>Drury</v>
      </c>
      <c r="AM39" s="255">
        <f>'OS Dev model'!X228</f>
        <v>7.0757777809601645</v>
      </c>
      <c r="AN39">
        <f>SUM(AS39:BA39)</f>
        <v>0.2857142857142857</v>
      </c>
      <c r="AQ39" s="256" t="s">
        <v>899</v>
      </c>
      <c r="AV39" s="251">
        <f>0.1/7</f>
        <v>1.4285714285714287E-2</v>
      </c>
      <c r="AW39" s="253">
        <f>AV39*$AW$26</f>
        <v>3.0079745563564051E-2</v>
      </c>
      <c r="AX39" s="253">
        <f>AV39*$AX$26</f>
        <v>5.1326250080576175E-2</v>
      </c>
      <c r="AY39" s="250">
        <f>0.1/7+(1/7-SUM(AV39:AX39))</f>
        <v>6.1451147213002627E-2</v>
      </c>
      <c r="AZ39" s="250">
        <f>BC39</f>
        <v>0.12857142857142859</v>
      </c>
      <c r="BB39" s="248">
        <f>0.1/7</f>
        <v>1.4285714285714287E-2</v>
      </c>
      <c r="BC39" s="248">
        <f>BB39*9</f>
        <v>0.12857142857142859</v>
      </c>
      <c r="BD39" s="252">
        <f>0.1/7</f>
        <v>1.4285714285714287E-2</v>
      </c>
      <c r="BE39" s="252">
        <f>BD39*9</f>
        <v>0.12857142857142859</v>
      </c>
      <c r="BF39" s="11">
        <f>0.1/7</f>
        <v>1.4285714285714287E-2</v>
      </c>
      <c r="BG39" s="11">
        <f>BF39*10</f>
        <v>0.14285714285714288</v>
      </c>
      <c r="BH39" s="11">
        <f>BF39*9</f>
        <v>0.12857142857142859</v>
      </c>
      <c r="BJ39" s="254">
        <f>0.1/7</f>
        <v>1.4285714285714287E-2</v>
      </c>
      <c r="BK39" s="254">
        <f>BJ39*9</f>
        <v>0.12857142857142859</v>
      </c>
      <c r="BN39">
        <f t="shared" si="20"/>
        <v>1</v>
      </c>
    </row>
    <row r="40" spans="1:66" x14ac:dyDescent="0.3">
      <c r="A40" t="str">
        <f t="shared" si="12"/>
        <v>Drury</v>
      </c>
      <c r="C40">
        <f t="shared" ref="C40:D40" si="27">C15</f>
        <v>0</v>
      </c>
      <c r="D40">
        <f t="shared" si="27"/>
        <v>1</v>
      </c>
      <c r="AL40" t="str">
        <f t="shared" si="14"/>
        <v>Drury</v>
      </c>
      <c r="AQ40" s="256" t="s">
        <v>898</v>
      </c>
      <c r="BF40">
        <v>0.1</v>
      </c>
      <c r="BG40">
        <v>0.1</v>
      </c>
      <c r="BH40">
        <v>0.4</v>
      </c>
      <c r="BI40">
        <v>0.4</v>
      </c>
      <c r="BN40">
        <f t="shared" ref="BN40:BN44" si="28">SUM(AR40:BL40)</f>
        <v>1</v>
      </c>
    </row>
    <row r="41" spans="1:66" x14ac:dyDescent="0.3">
      <c r="A41" t="str">
        <f t="shared" si="12"/>
        <v>Puke/Paerata</v>
      </c>
      <c r="C41">
        <f t="shared" ref="C41:D41" si="29">C16</f>
        <v>5</v>
      </c>
      <c r="D41">
        <f t="shared" si="29"/>
        <v>0</v>
      </c>
      <c r="AL41" t="str">
        <f t="shared" si="14"/>
        <v>Puke/Paerata</v>
      </c>
      <c r="AM41" s="255">
        <f>'OS Dev model'!X244</f>
        <v>3.8085043906118052</v>
      </c>
      <c r="AN41">
        <f>SUM(AS41:BA41)</f>
        <v>0.22</v>
      </c>
      <c r="AQ41" s="256" t="s">
        <v>899</v>
      </c>
      <c r="AV41">
        <f>0.1/5</f>
        <v>0.02</v>
      </c>
      <c r="AW41" s="253">
        <f>AV41*$AW$26</f>
        <v>4.2111643788989669E-2</v>
      </c>
      <c r="AX41" s="253">
        <f>AV41*$AX$26</f>
        <v>7.1856750112806636E-2</v>
      </c>
      <c r="AY41">
        <f>0.2-SUM(AV41:AX41)</f>
        <v>6.6031606098203688E-2</v>
      </c>
      <c r="BA41">
        <f>0.1/5</f>
        <v>0.02</v>
      </c>
      <c r="BB41">
        <f>BA41*9</f>
        <v>0.18</v>
      </c>
      <c r="BD41">
        <f>0.1/5</f>
        <v>0.02</v>
      </c>
      <c r="BE41">
        <f>BD41*9</f>
        <v>0.18</v>
      </c>
      <c r="BF41">
        <f>0.1/5</f>
        <v>0.02</v>
      </c>
      <c r="BG41">
        <f>BF41*9</f>
        <v>0.18</v>
      </c>
      <c r="BI41">
        <f>0.1/5</f>
        <v>0.02</v>
      </c>
      <c r="BJ41">
        <f>BI41*9</f>
        <v>0.18</v>
      </c>
      <c r="BN41">
        <f t="shared" si="28"/>
        <v>1</v>
      </c>
    </row>
    <row r="42" spans="1:66" x14ac:dyDescent="0.3">
      <c r="A42" t="str">
        <f t="shared" si="12"/>
        <v>Puke/Paerata</v>
      </c>
      <c r="C42">
        <f t="shared" ref="C42:D42" si="30">C17</f>
        <v>0</v>
      </c>
      <c r="D42">
        <f t="shared" si="30"/>
        <v>1</v>
      </c>
      <c r="AL42" t="str">
        <f t="shared" si="14"/>
        <v>Puke/Paerata</v>
      </c>
      <c r="AQ42" s="256" t="s">
        <v>898</v>
      </c>
      <c r="BF42">
        <v>0.1</v>
      </c>
      <c r="BG42">
        <v>0.1</v>
      </c>
      <c r="BH42">
        <v>0.4</v>
      </c>
      <c r="BI42">
        <v>0.4</v>
      </c>
      <c r="BN42">
        <f t="shared" si="28"/>
        <v>1</v>
      </c>
    </row>
    <row r="43" spans="1:66" x14ac:dyDescent="0.3">
      <c r="A43" t="str">
        <f t="shared" si="12"/>
        <v>Puke/Paerata</v>
      </c>
      <c r="C43" t="str">
        <f t="shared" ref="C43:D43" si="31">C18</f>
        <v>civic</v>
      </c>
      <c r="D43">
        <f t="shared" si="31"/>
        <v>1</v>
      </c>
      <c r="AL43" t="str">
        <f t="shared" si="14"/>
        <v>Puke/Paerata</v>
      </c>
      <c r="AQ43" s="256" t="s">
        <v>899</v>
      </c>
      <c r="BF43">
        <v>0.1</v>
      </c>
      <c r="BG43">
        <v>0.9</v>
      </c>
      <c r="BN43">
        <f t="shared" si="28"/>
        <v>1</v>
      </c>
    </row>
    <row r="44" spans="1:66" x14ac:dyDescent="0.3">
      <c r="A44" t="str">
        <f t="shared" si="12"/>
        <v>Puke/Paerata</v>
      </c>
      <c r="C44">
        <f t="shared" ref="C44:D44" si="32">C19</f>
        <v>0</v>
      </c>
      <c r="D44">
        <f t="shared" si="32"/>
        <v>1</v>
      </c>
      <c r="AL44" t="str">
        <f t="shared" si="14"/>
        <v>Puke/Paerata</v>
      </c>
      <c r="AQ44" s="256" t="s">
        <v>898</v>
      </c>
      <c r="BF44">
        <v>0.1</v>
      </c>
      <c r="BG44">
        <v>0.1</v>
      </c>
      <c r="BH44">
        <v>0.4</v>
      </c>
      <c r="BI44">
        <v>0.4</v>
      </c>
      <c r="BN44">
        <f t="shared" si="28"/>
        <v>1</v>
      </c>
    </row>
    <row r="45" spans="1:66" x14ac:dyDescent="0.3">
      <c r="AP45" t="s">
        <v>921</v>
      </c>
      <c r="AS45" s="255">
        <f>'OS Dev model'!AA4</f>
        <v>10.048681310000001</v>
      </c>
      <c r="AT45" s="255">
        <f>'OS Dev model'!AB4</f>
        <v>14.072409761862552</v>
      </c>
      <c r="AU45" s="255">
        <f>'OS Dev model'!AC4</f>
        <v>0.77838634757168279</v>
      </c>
      <c r="AV45" s="255">
        <f>'OS Dev model'!AD4</f>
        <v>0.42541658145996308</v>
      </c>
      <c r="AW45" s="255">
        <f>'OS Dev model'!AE4</f>
        <v>4.2632564145606011E-14</v>
      </c>
      <c r="AX45" s="255">
        <f>'OS Dev model'!AF4</f>
        <v>0</v>
      </c>
      <c r="AY45" s="255">
        <f>'OS Dev model'!AG4</f>
        <v>32.561883051170362</v>
      </c>
      <c r="AZ45" s="255">
        <f>'OS Dev model'!AH4</f>
        <v>70.198117137466852</v>
      </c>
      <c r="BA45" s="255">
        <f>'OS Dev model'!AI4</f>
        <v>76.30578122560317</v>
      </c>
    </row>
  </sheetData>
  <sheetProtection algorithmName="SHA-512" hashValue="xSt9PlTqjaYJIWTG7DIcHhxnwL9HohP/UX+oUPbTXY39kgUoJGkrlVEhdO7uqA+l0QYRis/9t4KRbAkP43+ifA==" saltValue="zPt2g/3jIEUfQtr4qvMlvA==" spinCount="100000" sheet="1" objects="1" scenarios="1"/>
  <phoneticPr fontId="13"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76522-ED8F-41CA-8948-C97C0165A277}">
  <dimension ref="A1:U65"/>
  <sheetViews>
    <sheetView workbookViewId="0">
      <selection activeCell="E2" sqref="E2"/>
    </sheetView>
  </sheetViews>
  <sheetFormatPr defaultColWidth="13.33203125" defaultRowHeight="13.8" x14ac:dyDescent="0.3"/>
  <cols>
    <col min="1" max="14" width="13.33203125" style="2"/>
    <col min="15" max="19" width="8.6640625" style="2" customWidth="1"/>
    <col min="20" max="22" width="7.44140625" style="2" customWidth="1"/>
    <col min="23" max="16384" width="13.33203125" style="2"/>
  </cols>
  <sheetData>
    <row r="1" spans="1:21" x14ac:dyDescent="0.3">
      <c r="A1" s="5" t="s">
        <v>694</v>
      </c>
    </row>
    <row r="2" spans="1:21" x14ac:dyDescent="0.3">
      <c r="A2" s="2" t="s">
        <v>695</v>
      </c>
      <c r="B2" s="2">
        <v>100000</v>
      </c>
    </row>
    <row r="3" spans="1:21" x14ac:dyDescent="0.3">
      <c r="A3" s="2" t="s">
        <v>696</v>
      </c>
      <c r="B3" s="3">
        <v>0.5</v>
      </c>
    </row>
    <row r="4" spans="1:21" x14ac:dyDescent="0.3">
      <c r="A4" s="2" t="s">
        <v>697</v>
      </c>
      <c r="B4" s="2">
        <v>10000</v>
      </c>
    </row>
    <row r="5" spans="1:21" x14ac:dyDescent="0.3">
      <c r="A5" s="2" t="s">
        <v>698</v>
      </c>
      <c r="B5" s="2">
        <f>B2*B3/B4</f>
        <v>5</v>
      </c>
    </row>
    <row r="6" spans="1:21" x14ac:dyDescent="0.3">
      <c r="A6" s="2" t="s">
        <v>699</v>
      </c>
      <c r="B6" s="2">
        <v>20</v>
      </c>
      <c r="C6" s="2" t="s">
        <v>700</v>
      </c>
    </row>
    <row r="8" spans="1:21" x14ac:dyDescent="0.3">
      <c r="A8" s="2" t="s">
        <v>701</v>
      </c>
      <c r="B8" s="2">
        <v>83460</v>
      </c>
      <c r="C8" s="2" t="s">
        <v>702</v>
      </c>
    </row>
    <row r="9" spans="1:21" x14ac:dyDescent="0.3">
      <c r="A9" s="2" t="s">
        <v>703</v>
      </c>
      <c r="B9" s="2">
        <v>275</v>
      </c>
      <c r="C9" s="2" t="s">
        <v>704</v>
      </c>
    </row>
    <row r="10" spans="1:21" x14ac:dyDescent="0.3">
      <c r="A10" s="2" t="s">
        <v>746</v>
      </c>
    </row>
    <row r="12" spans="1:21" x14ac:dyDescent="0.3">
      <c r="H12" s="29"/>
      <c r="O12" s="28"/>
      <c r="P12" s="28"/>
      <c r="Q12" s="28"/>
      <c r="R12" s="28"/>
      <c r="S12" s="28"/>
    </row>
    <row r="13" spans="1:21" x14ac:dyDescent="0.3">
      <c r="A13" s="5" t="s">
        <v>705</v>
      </c>
      <c r="D13" s="7" t="s">
        <v>706</v>
      </c>
      <c r="E13" s="7" t="s">
        <v>707</v>
      </c>
      <c r="F13" s="7" t="s">
        <v>708</v>
      </c>
      <c r="G13" s="7" t="s">
        <v>709</v>
      </c>
      <c r="H13" s="7" t="s">
        <v>710</v>
      </c>
      <c r="I13" s="7" t="s">
        <v>820</v>
      </c>
      <c r="J13" s="7" t="s">
        <v>413</v>
      </c>
      <c r="K13" s="2" t="s">
        <v>821</v>
      </c>
      <c r="M13" s="2" t="s">
        <v>827</v>
      </c>
      <c r="N13" s="2" t="s">
        <v>829</v>
      </c>
      <c r="O13" s="7"/>
      <c r="Q13" s="7"/>
      <c r="S13" s="7"/>
    </row>
    <row r="14" spans="1:21" x14ac:dyDescent="0.3">
      <c r="A14" s="2" t="str">
        <f>'OS Dev model'!E65</f>
        <v>N.010011.11.01 - Waikaraka Park - improve and extnd field</v>
      </c>
      <c r="D14" s="24">
        <f>'OS Dev model'!Z65</f>
        <v>0.5</v>
      </c>
      <c r="E14" s="24">
        <f>'OS Dev model'!AA65</f>
        <v>1.2036519999999999</v>
      </c>
      <c r="F14" s="24">
        <f>'OS Dev model'!AB65</f>
        <v>0</v>
      </c>
      <c r="G14" s="24">
        <f>'OS Dev model'!AC65</f>
        <v>0</v>
      </c>
      <c r="H14" s="24">
        <f>'OS Dev model'!AD65</f>
        <v>0</v>
      </c>
      <c r="I14" s="24">
        <f>'OS Dev model'!AE65</f>
        <v>0</v>
      </c>
      <c r="J14" s="24">
        <f>SUM(D14:I14)</f>
        <v>1.7036519999999999</v>
      </c>
      <c r="K14" s="24" t="s">
        <v>711</v>
      </c>
      <c r="L14" s="24"/>
      <c r="M14" s="24"/>
      <c r="N14" s="24">
        <f>J14/0.08</f>
        <v>21.295649999999998</v>
      </c>
      <c r="O14" s="51"/>
      <c r="P14" s="24" t="s">
        <v>869</v>
      </c>
      <c r="Q14" s="51">
        <f>IF(P14="up",J14)</f>
        <v>1.7036519999999999</v>
      </c>
      <c r="R14" s="24"/>
      <c r="S14" s="51"/>
      <c r="T14" s="24"/>
      <c r="U14" s="24"/>
    </row>
    <row r="15" spans="1:21" x14ac:dyDescent="0.3">
      <c r="A15" s="2" t="str">
        <f>'OS Dev model'!E66</f>
        <v>N.010036.07.01 - Ostrich Farm - sand slits, drain, irrig</v>
      </c>
      <c r="D15" s="24">
        <f>'OS Dev model'!Z66</f>
        <v>1.1160079999999999E-2</v>
      </c>
      <c r="E15" s="24">
        <f>'OS Dev model'!AA66</f>
        <v>0</v>
      </c>
      <c r="F15" s="24">
        <f>'OS Dev model'!AB66</f>
        <v>2.1528</v>
      </c>
      <c r="G15" s="24">
        <f>'OS Dev model'!AC66</f>
        <v>4.184215</v>
      </c>
      <c r="H15" s="24">
        <f>'OS Dev model'!AD66</f>
        <v>0</v>
      </c>
      <c r="I15" s="24">
        <f>'OS Dev model'!AE66</f>
        <v>0</v>
      </c>
      <c r="J15" s="24">
        <f t="shared" ref="J15:J27" si="0">SUM(D15:I15)</f>
        <v>6.3481750799999999</v>
      </c>
      <c r="K15" s="52" t="s">
        <v>828</v>
      </c>
      <c r="L15" s="24"/>
      <c r="M15" s="24">
        <v>1</v>
      </c>
      <c r="N15" s="24">
        <f>M15*20</f>
        <v>20</v>
      </c>
      <c r="O15" s="51"/>
      <c r="P15" s="24" t="s">
        <v>870</v>
      </c>
      <c r="Q15" s="51"/>
      <c r="R15" s="24"/>
      <c r="S15" s="51"/>
      <c r="T15" s="24"/>
      <c r="U15" s="24"/>
    </row>
    <row r="16" spans="1:21" x14ac:dyDescent="0.3">
      <c r="A16" s="31" t="str">
        <f>'OS Dev model'!E67</f>
        <v>N.009960.17.02 - Scott Point-dvp sus spts prk (Stage 1b)</v>
      </c>
      <c r="B16" s="31"/>
      <c r="C16" s="31"/>
      <c r="D16" s="83">
        <f>'OS Dev model'!Z67</f>
        <v>3.9022640000000002</v>
      </c>
      <c r="E16" s="83">
        <f>'OS Dev model'!AA67</f>
        <v>4.8561969999999999</v>
      </c>
      <c r="F16" s="83">
        <f>'OS Dev model'!AB67</f>
        <v>2.6118030000000001</v>
      </c>
      <c r="G16" s="83">
        <f>'OS Dev model'!AC67</f>
        <v>0</v>
      </c>
      <c r="H16" s="83">
        <f>'OS Dev model'!AD67</f>
        <v>0</v>
      </c>
      <c r="I16" s="83">
        <f>'OS Dev model'!AE67</f>
        <v>0</v>
      </c>
      <c r="J16" s="83">
        <f>SUM(D16:I16)</f>
        <v>11.370264000000001</v>
      </c>
      <c r="K16" s="83">
        <f>100000*'Cost inputs'!B62/1000000</f>
        <v>27.551688604689922</v>
      </c>
      <c r="L16" s="84" t="s">
        <v>824</v>
      </c>
      <c r="M16" s="83"/>
      <c r="N16" s="31"/>
      <c r="O16" s="31"/>
      <c r="P16" s="83" t="s">
        <v>870</v>
      </c>
      <c r="Q16" s="84"/>
      <c r="R16" s="24"/>
      <c r="S16" s="51"/>
      <c r="T16" s="24"/>
      <c r="U16" s="24"/>
    </row>
    <row r="17" spans="1:21" x14ac:dyDescent="0.3">
      <c r="A17" s="31" t="str">
        <f>'OS Dev model'!E74</f>
        <v>N.009963.37.01 - PFund - Scott Point-dev sustain sprt prk</v>
      </c>
      <c r="B17" s="31"/>
      <c r="C17" s="31"/>
      <c r="D17" s="83">
        <f>'OS Dev model'!Z74</f>
        <v>3.2</v>
      </c>
      <c r="E17" s="83">
        <f>'OS Dev model'!AA74</f>
        <v>1.8</v>
      </c>
      <c r="F17" s="83">
        <f>'OS Dev model'!AB74</f>
        <v>0</v>
      </c>
      <c r="G17" s="83">
        <f>'OS Dev model'!AC74</f>
        <v>0</v>
      </c>
      <c r="H17" s="83">
        <f>'OS Dev model'!AD74</f>
        <v>0</v>
      </c>
      <c r="I17" s="83">
        <f>'OS Dev model'!AE74</f>
        <v>0</v>
      </c>
      <c r="J17" s="83">
        <f>SUM(D17:I17)</f>
        <v>5</v>
      </c>
      <c r="K17" s="85">
        <f>(J16+J17)/K16</f>
        <v>0.59416554226057161</v>
      </c>
      <c r="L17" s="83" t="s">
        <v>826</v>
      </c>
      <c r="M17" s="83">
        <v>3</v>
      </c>
      <c r="N17" s="83">
        <f t="shared" ref="N17:N18" si="1">M17*20</f>
        <v>60</v>
      </c>
      <c r="O17" s="84"/>
      <c r="P17" s="83" t="s">
        <v>870</v>
      </c>
      <c r="Q17" s="84"/>
      <c r="R17" s="24"/>
      <c r="S17" s="51"/>
      <c r="T17" s="24"/>
      <c r="U17" s="24"/>
    </row>
    <row r="18" spans="1:21" x14ac:dyDescent="0.3">
      <c r="A18" s="2" t="str">
        <f>'OS Dev model'!E68</f>
        <v>N.009963.03.05 - Belmont Park - develop sports park</v>
      </c>
      <c r="D18" s="24">
        <f>'OS Dev model'!Z68</f>
        <v>2.5000000000000001E-2</v>
      </c>
      <c r="E18" s="24">
        <f>'OS Dev model'!AA68</f>
        <v>0.2</v>
      </c>
      <c r="F18" s="24">
        <f>'OS Dev model'!AB68</f>
        <v>1</v>
      </c>
      <c r="G18" s="24">
        <f>'OS Dev model'!AC68</f>
        <v>1.7749999999999999</v>
      </c>
      <c r="H18" s="24">
        <f>'OS Dev model'!AD68</f>
        <v>2</v>
      </c>
      <c r="I18" s="24">
        <f>'OS Dev model'!AE68</f>
        <v>0</v>
      </c>
      <c r="J18" s="24">
        <f t="shared" si="0"/>
        <v>5</v>
      </c>
      <c r="K18" s="27">
        <f>J18/K16</f>
        <v>0.18147708010712951</v>
      </c>
      <c r="L18" s="24" t="s">
        <v>825</v>
      </c>
      <c r="M18" s="24">
        <v>1</v>
      </c>
      <c r="N18" s="24">
        <f t="shared" si="1"/>
        <v>20</v>
      </c>
      <c r="O18" s="51"/>
      <c r="P18" s="24" t="s">
        <v>870</v>
      </c>
      <c r="Q18" s="51"/>
      <c r="R18" s="24"/>
      <c r="S18" s="51"/>
      <c r="T18" s="24"/>
      <c r="U18" s="24"/>
    </row>
    <row r="19" spans="1:21" x14ac:dyDescent="0.3">
      <c r="A19" s="2" t="str">
        <f>'OS Dev model'!E69</f>
        <v>N.009963.09.02 - WM Park-upg sports fields &amp; lighting</v>
      </c>
      <c r="D19" s="24">
        <f>'OS Dev model'!Z69</f>
        <v>0.65</v>
      </c>
      <c r="E19" s="24">
        <f>'OS Dev model'!AA69</f>
        <v>1</v>
      </c>
      <c r="F19" s="24">
        <f>'OS Dev model'!AB69</f>
        <v>0.85</v>
      </c>
      <c r="G19" s="24">
        <f>'OS Dev model'!AC69</f>
        <v>0</v>
      </c>
      <c r="H19" s="24">
        <f>'OS Dev model'!AD69</f>
        <v>0</v>
      </c>
      <c r="I19" s="24">
        <f>'OS Dev model'!AE69</f>
        <v>0</v>
      </c>
      <c r="J19" s="24">
        <f t="shared" si="0"/>
        <v>2.5</v>
      </c>
      <c r="K19" s="24" t="s">
        <v>713</v>
      </c>
      <c r="L19" s="24"/>
      <c r="M19" s="24"/>
      <c r="N19" s="24">
        <f t="shared" ref="N19:N27" si="2">J19/0.08</f>
        <v>31.25</v>
      </c>
      <c r="O19" s="51"/>
      <c r="P19" s="24" t="s">
        <v>869</v>
      </c>
      <c r="Q19" s="51">
        <f t="shared" ref="Q19:Q27" si="3">IF(P19="up",J19)</f>
        <v>2.5</v>
      </c>
      <c r="R19" s="24"/>
      <c r="S19" s="51"/>
      <c r="T19" s="24"/>
      <c r="U19" s="24"/>
    </row>
    <row r="20" spans="1:21" x14ac:dyDescent="0.3">
      <c r="A20" s="2" t="str">
        <f>'OS Dev model'!E70</f>
        <v>N.009963.12.04 - CM Park-dvlp sports infst-stage 2</v>
      </c>
      <c r="D20" s="24">
        <f>'OS Dev model'!Z70</f>
        <v>0</v>
      </c>
      <c r="E20" s="24">
        <f>'OS Dev model'!AA70</f>
        <v>0.1</v>
      </c>
      <c r="F20" s="24">
        <f>'OS Dev model'!AB70</f>
        <v>2.9</v>
      </c>
      <c r="G20" s="24">
        <f>'OS Dev model'!AC70</f>
        <v>0</v>
      </c>
      <c r="H20" s="24">
        <f>'OS Dev model'!AD70</f>
        <v>0</v>
      </c>
      <c r="I20" s="24">
        <f>'OS Dev model'!AE70</f>
        <v>0</v>
      </c>
      <c r="J20" s="24">
        <f t="shared" si="0"/>
        <v>3</v>
      </c>
      <c r="K20" s="24" t="s">
        <v>714</v>
      </c>
      <c r="L20" s="24"/>
      <c r="M20" s="24"/>
      <c r="N20" s="24">
        <f t="shared" si="2"/>
        <v>37.5</v>
      </c>
      <c r="O20" s="51"/>
      <c r="P20" s="24" t="s">
        <v>869</v>
      </c>
      <c r="Q20" s="51">
        <f t="shared" si="3"/>
        <v>3</v>
      </c>
      <c r="R20" s="24"/>
      <c r="S20" s="51"/>
      <c r="T20" s="24"/>
      <c r="U20" s="24"/>
    </row>
    <row r="21" spans="1:21" x14ac:dyDescent="0.3">
      <c r="A21" s="2" t="str">
        <f>'OS Dev model'!E71</f>
        <v>N.009963.13.02 - Rongomai Park - upgrade sportsfields</v>
      </c>
      <c r="D21" s="24">
        <f>'OS Dev model'!Z71</f>
        <v>0</v>
      </c>
      <c r="E21" s="24">
        <f>'OS Dev model'!AA71</f>
        <v>0.77439100000000005</v>
      </c>
      <c r="F21" s="24">
        <f>'OS Dev model'!AB71</f>
        <v>0.25</v>
      </c>
      <c r="G21" s="24">
        <f>'OS Dev model'!AC71</f>
        <v>0</v>
      </c>
      <c r="H21" s="24">
        <f>'OS Dev model'!AD71</f>
        <v>0</v>
      </c>
      <c r="I21" s="24">
        <f>'OS Dev model'!AE71</f>
        <v>0</v>
      </c>
      <c r="J21" s="24">
        <f t="shared" si="0"/>
        <v>1.0243910000000001</v>
      </c>
      <c r="K21" s="24" t="s">
        <v>715</v>
      </c>
      <c r="L21" s="24"/>
      <c r="M21" s="24"/>
      <c r="N21" s="24">
        <f t="shared" si="2"/>
        <v>12.8048875</v>
      </c>
      <c r="O21" s="51"/>
      <c r="P21" s="24" t="s">
        <v>869</v>
      </c>
      <c r="Q21" s="51">
        <f t="shared" si="3"/>
        <v>1.0243910000000001</v>
      </c>
      <c r="R21" s="24"/>
      <c r="S21" s="51"/>
      <c r="T21" s="24"/>
      <c r="U21" s="24"/>
    </row>
    <row r="22" spans="1:21" x14ac:dyDescent="0.3">
      <c r="A22" s="2" t="str">
        <f>'OS Dev model'!E72</f>
        <v>N.009963.13.03 - East Tamaki Res - upgrade sports fields</v>
      </c>
      <c r="D22" s="24">
        <f>'OS Dev model'!Z72</f>
        <v>7.4999999999999997E-2</v>
      </c>
      <c r="E22" s="24">
        <f>'OS Dev model'!AA72</f>
        <v>0.5</v>
      </c>
      <c r="F22" s="24">
        <f>'OS Dev model'!AB72</f>
        <v>0.72499999999999998</v>
      </c>
      <c r="G22" s="24">
        <f>'OS Dev model'!AC72</f>
        <v>0</v>
      </c>
      <c r="H22" s="24">
        <f>'OS Dev model'!AD72</f>
        <v>0</v>
      </c>
      <c r="I22" s="24">
        <f>'OS Dev model'!AE72</f>
        <v>0</v>
      </c>
      <c r="J22" s="24">
        <f t="shared" si="0"/>
        <v>1.2999999999999998</v>
      </c>
      <c r="K22" s="24"/>
      <c r="L22" s="24"/>
      <c r="M22" s="24"/>
      <c r="N22" s="24">
        <f t="shared" si="2"/>
        <v>16.249999999999996</v>
      </c>
      <c r="O22" s="51"/>
      <c r="P22" s="24" t="s">
        <v>869</v>
      </c>
      <c r="Q22" s="51">
        <f t="shared" si="3"/>
        <v>1.2999999999999998</v>
      </c>
      <c r="R22" s="24"/>
      <c r="S22" s="51"/>
      <c r="T22" s="24"/>
      <c r="U22" s="24"/>
    </row>
    <row r="23" spans="1:21" x14ac:dyDescent="0.3">
      <c r="A23" s="2" t="str">
        <f>'OS Dev model'!E73</f>
        <v>N.009963.13.04 - Rongomai prk-upgrade sportsfields 4 &amp; 5</v>
      </c>
      <c r="D23" s="24">
        <f>'OS Dev model'!Z73</f>
        <v>0</v>
      </c>
      <c r="E23" s="24">
        <f>'OS Dev model'!AA73</f>
        <v>0.1</v>
      </c>
      <c r="F23" s="24">
        <f>'OS Dev model'!AB73</f>
        <v>0.25</v>
      </c>
      <c r="G23" s="24">
        <f>'OS Dev model'!AC73</f>
        <v>0.5</v>
      </c>
      <c r="H23" s="24">
        <f>'OS Dev model'!AD73</f>
        <v>0.75000000000000011</v>
      </c>
      <c r="I23" s="24">
        <f>'OS Dev model'!AE73</f>
        <v>0</v>
      </c>
      <c r="J23" s="24">
        <f t="shared" si="0"/>
        <v>1.6</v>
      </c>
      <c r="K23" s="24" t="s">
        <v>716</v>
      </c>
      <c r="L23" s="24"/>
      <c r="M23" s="24"/>
      <c r="N23" s="24">
        <f t="shared" si="2"/>
        <v>20</v>
      </c>
      <c r="O23" s="51"/>
      <c r="P23" s="24" t="s">
        <v>869</v>
      </c>
      <c r="Q23" s="51">
        <f t="shared" si="3"/>
        <v>1.6</v>
      </c>
      <c r="R23" s="24"/>
      <c r="S23" s="51"/>
      <c r="T23" s="24"/>
      <c r="U23" s="24"/>
    </row>
    <row r="24" spans="1:21" x14ac:dyDescent="0.3">
      <c r="A24" s="2" t="str">
        <f>'OS Dev model'!E75</f>
        <v>N.007739.19.01 - Sports lighting &amp; sportfield upgrades</v>
      </c>
      <c r="D24" s="24">
        <f>'OS Dev model'!Z75</f>
        <v>0.2</v>
      </c>
      <c r="E24" s="24">
        <f>'OS Dev model'!AA75</f>
        <v>0</v>
      </c>
      <c r="F24" s="24">
        <f>'OS Dev model'!AB75</f>
        <v>0</v>
      </c>
      <c r="G24" s="24">
        <f>'OS Dev model'!AC75</f>
        <v>0</v>
      </c>
      <c r="H24" s="24">
        <f>'OS Dev model'!AD75</f>
        <v>0</v>
      </c>
      <c r="I24" s="24">
        <f>'OS Dev model'!AE75</f>
        <v>0</v>
      </c>
      <c r="J24" s="24">
        <f t="shared" si="0"/>
        <v>0.2</v>
      </c>
      <c r="K24" s="24" t="s">
        <v>717</v>
      </c>
      <c r="L24" s="24"/>
      <c r="M24" s="24"/>
      <c r="N24" s="24">
        <f t="shared" si="2"/>
        <v>2.5</v>
      </c>
      <c r="O24" s="51"/>
      <c r="P24" s="24" t="s">
        <v>869</v>
      </c>
      <c r="Q24" s="51">
        <f t="shared" si="3"/>
        <v>0.2</v>
      </c>
      <c r="R24" s="24"/>
      <c r="S24" s="51"/>
      <c r="T24" s="24"/>
      <c r="U24" s="24"/>
    </row>
    <row r="25" spans="1:21" x14ac:dyDescent="0.3">
      <c r="A25" s="2" t="str">
        <f>'OS Dev model'!E78</f>
        <v>Otara-Papatoetoe - to be detrmined which sportsfields</v>
      </c>
      <c r="D25" s="24">
        <f>'OS Dev model'!Z78</f>
        <v>0</v>
      </c>
      <c r="E25" s="24">
        <f>'OS Dev model'!AA78</f>
        <v>0.1</v>
      </c>
      <c r="F25" s="24">
        <f>'OS Dev model'!AB78</f>
        <v>0.4</v>
      </c>
      <c r="G25" s="24">
        <f>'OS Dev model'!AC78</f>
        <v>0.8</v>
      </c>
      <c r="H25" s="24">
        <f>'OS Dev model'!AD78</f>
        <v>2</v>
      </c>
      <c r="I25" s="24">
        <f>'OS Dev model'!AE78</f>
        <v>2</v>
      </c>
      <c r="J25" s="24">
        <f t="shared" si="0"/>
        <v>5.3</v>
      </c>
      <c r="K25" s="24"/>
      <c r="L25" s="24"/>
      <c r="M25" s="24"/>
      <c r="N25" s="24">
        <f t="shared" si="2"/>
        <v>66.25</v>
      </c>
      <c r="O25" s="51"/>
      <c r="P25" s="24" t="s">
        <v>869</v>
      </c>
      <c r="Q25" s="51">
        <f t="shared" si="3"/>
        <v>5.3</v>
      </c>
      <c r="R25" s="24"/>
      <c r="S25" s="51"/>
      <c r="T25" s="24"/>
      <c r="U25" s="24"/>
    </row>
    <row r="26" spans="1:21" x14ac:dyDescent="0.3">
      <c r="A26" s="2" t="str">
        <f>'OS Dev model'!E81</f>
        <v>Boggust Park, Norana Pk, DB Grounds sand, lighting, irrigation, drainage</v>
      </c>
      <c r="D26" s="24">
        <f>'OS Dev model'!Z81</f>
        <v>0</v>
      </c>
      <c r="E26" s="24">
        <f>'OS Dev model'!AA81</f>
        <v>0</v>
      </c>
      <c r="F26" s="24">
        <f>'OS Dev model'!AB81</f>
        <v>0.3</v>
      </c>
      <c r="G26" s="24">
        <f>'OS Dev model'!AC81</f>
        <v>0.6</v>
      </c>
      <c r="H26" s="24">
        <f>'OS Dev model'!AD81</f>
        <v>0.8</v>
      </c>
      <c r="I26" s="24">
        <f>'OS Dev model'!AE81</f>
        <v>0.8</v>
      </c>
      <c r="J26" s="24">
        <f t="shared" si="0"/>
        <v>2.5</v>
      </c>
      <c r="K26" s="24"/>
      <c r="L26" s="24"/>
      <c r="M26" s="24"/>
      <c r="N26" s="24">
        <f t="shared" si="2"/>
        <v>31.25</v>
      </c>
      <c r="O26" s="51"/>
      <c r="P26" s="24" t="s">
        <v>869</v>
      </c>
      <c r="Q26" s="51">
        <f t="shared" si="3"/>
        <v>2.5</v>
      </c>
      <c r="R26" s="24"/>
      <c r="S26" s="51"/>
      <c r="T26" s="24"/>
      <c r="U26" s="24"/>
    </row>
    <row r="27" spans="1:21" x14ac:dyDescent="0.3">
      <c r="A27" s="2" t="str">
        <f>'OS Dev model'!D82</f>
        <v>Moyle Park - install sand carpet, irrigation and lights</v>
      </c>
      <c r="D27" s="24">
        <f>'OS Dev model'!Z82</f>
        <v>0</v>
      </c>
      <c r="E27" s="24">
        <f>'OS Dev model'!AA82</f>
        <v>0.2</v>
      </c>
      <c r="F27" s="24">
        <f>'OS Dev model'!AB82</f>
        <v>0.8</v>
      </c>
      <c r="G27" s="24">
        <f>'OS Dev model'!AC82</f>
        <v>0</v>
      </c>
      <c r="H27" s="24">
        <f>'OS Dev model'!AD82</f>
        <v>0</v>
      </c>
      <c r="I27" s="24">
        <f>'OS Dev model'!AE82</f>
        <v>0</v>
      </c>
      <c r="J27" s="24">
        <f t="shared" si="0"/>
        <v>1</v>
      </c>
      <c r="K27" s="24"/>
      <c r="L27" s="24"/>
      <c r="M27" s="24"/>
      <c r="N27" s="24">
        <f t="shared" si="2"/>
        <v>12.5</v>
      </c>
      <c r="O27" s="51"/>
      <c r="P27" s="24" t="s">
        <v>869</v>
      </c>
      <c r="Q27" s="51">
        <f t="shared" si="3"/>
        <v>1</v>
      </c>
      <c r="R27" s="24"/>
      <c r="S27" s="51"/>
      <c r="T27" s="24"/>
      <c r="U27" s="24"/>
    </row>
    <row r="28" spans="1:21" x14ac:dyDescent="0.3">
      <c r="D28" s="24">
        <f>SUM(D14:D27)</f>
        <v>8.563424079999999</v>
      </c>
      <c r="E28" s="24">
        <f t="shared" ref="E28:J28" si="4">SUM(E14:E27)</f>
        <v>10.834239999999998</v>
      </c>
      <c r="F28" s="24">
        <f t="shared" si="4"/>
        <v>12.239603000000001</v>
      </c>
      <c r="G28" s="24">
        <f t="shared" si="4"/>
        <v>7.8592149999999998</v>
      </c>
      <c r="H28" s="24">
        <f t="shared" si="4"/>
        <v>5.55</v>
      </c>
      <c r="I28" s="24">
        <f t="shared" si="4"/>
        <v>2.8</v>
      </c>
      <c r="J28" s="24">
        <f t="shared" si="4"/>
        <v>47.846482080000001</v>
      </c>
      <c r="K28" s="24"/>
      <c r="L28" s="24"/>
      <c r="M28" s="24"/>
      <c r="N28" s="24">
        <f>SUM(N14:N27)</f>
        <v>351.60053749999997</v>
      </c>
      <c r="O28" s="51"/>
      <c r="P28" s="24"/>
      <c r="Q28" s="51"/>
      <c r="R28" s="24"/>
      <c r="S28" s="51"/>
      <c r="T28" s="24"/>
      <c r="U28" s="24"/>
    </row>
    <row r="29" spans="1:21" x14ac:dyDescent="0.3">
      <c r="C29" s="7" t="s">
        <v>830</v>
      </c>
      <c r="D29" s="27">
        <f>D28/$J$28</f>
        <v>0.17897708896720624</v>
      </c>
      <c r="E29" s="27">
        <f t="shared" ref="E29:J29" si="5">E28/$J$28</f>
        <v>0.22643754627320339</v>
      </c>
      <c r="F29" s="27">
        <f t="shared" si="5"/>
        <v>0.2558098833585134</v>
      </c>
      <c r="G29" s="27">
        <f t="shared" si="5"/>
        <v>0.1642589937303913</v>
      </c>
      <c r="H29" s="27">
        <f t="shared" si="5"/>
        <v>0.1159959888110545</v>
      </c>
      <c r="I29" s="27">
        <f t="shared" si="5"/>
        <v>5.85204988596311E-2</v>
      </c>
      <c r="J29" s="27">
        <f t="shared" si="5"/>
        <v>1</v>
      </c>
      <c r="K29" s="24"/>
      <c r="L29" s="24"/>
      <c r="M29" s="24"/>
      <c r="N29" s="24"/>
      <c r="O29" s="51"/>
      <c r="P29" s="24"/>
      <c r="Q29" s="51"/>
      <c r="R29" s="24"/>
      <c r="S29" s="51"/>
      <c r="T29" s="24"/>
      <c r="U29" s="24"/>
    </row>
    <row r="30" spans="1:21" x14ac:dyDescent="0.3">
      <c r="A30" s="5" t="s">
        <v>422</v>
      </c>
      <c r="D30" s="24"/>
      <c r="E30" s="24"/>
      <c r="F30" s="24"/>
      <c r="G30" s="24"/>
      <c r="H30" s="24"/>
      <c r="I30" s="24"/>
      <c r="J30" s="24"/>
      <c r="K30" s="24"/>
      <c r="L30" s="24"/>
      <c r="M30" s="24"/>
      <c r="N30" s="24"/>
      <c r="O30" s="51"/>
      <c r="P30" s="24"/>
      <c r="Q30" s="51"/>
      <c r="R30" s="24"/>
      <c r="S30" s="51"/>
      <c r="T30" s="24"/>
      <c r="U30" s="24"/>
    </row>
    <row r="31" spans="1:21" x14ac:dyDescent="0.3">
      <c r="A31" s="2" t="s">
        <v>915</v>
      </c>
      <c r="D31" s="24"/>
      <c r="E31" s="24"/>
      <c r="F31" s="24"/>
      <c r="G31" s="24"/>
      <c r="H31" s="24"/>
      <c r="I31" s="24"/>
      <c r="J31" s="24"/>
      <c r="K31" s="24"/>
      <c r="L31" s="24"/>
      <c r="M31" s="24"/>
      <c r="N31" s="24"/>
      <c r="O31" s="24"/>
      <c r="P31" s="24"/>
      <c r="Q31" s="24"/>
      <c r="R31" s="24"/>
      <c r="S31" s="24"/>
      <c r="T31" s="24"/>
      <c r="U31" s="24"/>
    </row>
    <row r="32" spans="1:21" x14ac:dyDescent="0.3">
      <c r="A32" s="2" t="s">
        <v>916</v>
      </c>
      <c r="D32" s="24"/>
      <c r="E32" s="24"/>
      <c r="F32" s="24"/>
      <c r="G32" s="24"/>
      <c r="H32" s="24"/>
      <c r="I32" s="24"/>
      <c r="J32" s="24"/>
      <c r="K32" s="24"/>
      <c r="L32" s="24"/>
      <c r="M32" s="24"/>
      <c r="N32" s="24"/>
      <c r="O32" s="51"/>
      <c r="P32" s="24"/>
      <c r="Q32" s="51"/>
      <c r="R32" s="24"/>
      <c r="S32" s="51"/>
      <c r="T32" s="24"/>
      <c r="U32" s="24"/>
    </row>
    <row r="33" spans="1:21" x14ac:dyDescent="0.3">
      <c r="D33" s="24"/>
      <c r="E33" s="24"/>
      <c r="F33" s="24"/>
      <c r="G33" s="24"/>
      <c r="H33" s="24"/>
      <c r="I33" s="24"/>
      <c r="J33" s="24"/>
      <c r="K33" s="24"/>
      <c r="L33" s="24"/>
      <c r="M33" s="24"/>
      <c r="N33" s="24"/>
      <c r="O33" s="51"/>
      <c r="P33" s="24"/>
      <c r="Q33" s="51"/>
      <c r="R33" s="24"/>
      <c r="S33" s="51"/>
      <c r="T33" s="24"/>
      <c r="U33" s="24"/>
    </row>
    <row r="34" spans="1:21" x14ac:dyDescent="0.3">
      <c r="D34" s="24"/>
      <c r="E34" s="24"/>
      <c r="F34" s="24"/>
      <c r="G34" s="24"/>
      <c r="H34" s="24"/>
      <c r="I34" s="24"/>
      <c r="J34" s="24"/>
      <c r="K34" s="24"/>
      <c r="L34" s="24"/>
      <c r="M34" s="24"/>
      <c r="N34" s="24"/>
      <c r="O34" s="51"/>
      <c r="P34" s="24"/>
      <c r="Q34" s="51"/>
      <c r="R34" s="24"/>
      <c r="S34" s="51"/>
      <c r="T34" s="24"/>
      <c r="U34" s="24"/>
    </row>
    <row r="35" spans="1:21" x14ac:dyDescent="0.3">
      <c r="D35" s="24"/>
      <c r="E35" s="24"/>
      <c r="F35" s="24"/>
      <c r="G35" s="24"/>
      <c r="H35" s="24"/>
      <c r="I35" s="24"/>
      <c r="J35" s="24"/>
      <c r="K35" s="24"/>
      <c r="L35" s="24"/>
      <c r="M35" s="24"/>
      <c r="N35" s="24"/>
      <c r="O35" s="51"/>
      <c r="P35" s="24"/>
      <c r="Q35" s="51"/>
      <c r="R35" s="24"/>
      <c r="S35" s="51"/>
      <c r="T35" s="24"/>
      <c r="U35" s="24"/>
    </row>
    <row r="36" spans="1:21" x14ac:dyDescent="0.3">
      <c r="A36" s="5" t="s">
        <v>823</v>
      </c>
      <c r="D36" s="24"/>
      <c r="E36" s="24"/>
      <c r="F36" s="24"/>
      <c r="G36" s="24"/>
      <c r="H36" s="24"/>
      <c r="I36" s="24"/>
      <c r="J36" s="24"/>
      <c r="K36" s="24"/>
      <c r="L36" s="24"/>
      <c r="M36" s="24"/>
      <c r="N36" s="24"/>
      <c r="O36" s="51"/>
      <c r="P36" s="24"/>
      <c r="Q36" s="51"/>
      <c r="R36" s="24"/>
      <c r="S36" s="51"/>
      <c r="T36" s="24"/>
      <c r="U36" s="24"/>
    </row>
    <row r="37" spans="1:21" x14ac:dyDescent="0.3">
      <c r="A37" s="2" t="str">
        <f>'OS Dev model'!E79</f>
        <v>Three Kings Quarry sports changing rooms and toilets</v>
      </c>
      <c r="D37" s="24">
        <f>'OS Dev model'!Z79</f>
        <v>0</v>
      </c>
      <c r="E37" s="24">
        <f>'OS Dev model'!AA79</f>
        <v>0.05</v>
      </c>
      <c r="F37" s="24">
        <f>'OS Dev model'!AB79</f>
        <v>1</v>
      </c>
      <c r="G37" s="24">
        <f>'OS Dev model'!AC79</f>
        <v>1.3</v>
      </c>
      <c r="H37" s="24">
        <f>'OS Dev model'!AD79</f>
        <v>0</v>
      </c>
      <c r="I37" s="24">
        <f>'OS Dev model'!AE79</f>
        <v>0</v>
      </c>
      <c r="J37" s="24">
        <f>SUM(D37:I37)</f>
        <v>2.35</v>
      </c>
      <c r="K37" s="24"/>
      <c r="L37" s="24"/>
      <c r="M37" s="24"/>
      <c r="N37" s="24"/>
      <c r="O37" s="51"/>
      <c r="P37" s="24"/>
      <c r="Q37" s="51"/>
      <c r="R37" s="24"/>
      <c r="S37" s="51"/>
      <c r="T37" s="24"/>
      <c r="U37" s="24"/>
    </row>
    <row r="38" spans="1:21" x14ac:dyDescent="0.3">
      <c r="A38" s="2" t="str">
        <f>'OS Dev model'!E77</f>
        <v>N.009964.09.09 - N H Mgr ctr prk-constof new ablution blk</v>
      </c>
      <c r="D38" s="24">
        <f>'OS Dev model'!Z77</f>
        <v>8.8496309999999995E-2</v>
      </c>
      <c r="E38" s="24">
        <f>'OS Dev model'!AA77</f>
        <v>0.3</v>
      </c>
      <c r="F38" s="24">
        <f>'OS Dev model'!AB77</f>
        <v>0</v>
      </c>
      <c r="G38" s="24">
        <f>'OS Dev model'!AC77</f>
        <v>0</v>
      </c>
      <c r="H38" s="24">
        <f>'OS Dev model'!AD77</f>
        <v>0</v>
      </c>
      <c r="I38" s="24">
        <f>'OS Dev model'!AE77</f>
        <v>0</v>
      </c>
      <c r="J38" s="24">
        <f t="shared" ref="J38:J42" si="6">SUM(D38:I38)</f>
        <v>0.38849630999999996</v>
      </c>
      <c r="K38" s="24"/>
      <c r="L38" s="24"/>
      <c r="M38" s="24"/>
      <c r="N38" s="24"/>
      <c r="O38" s="51"/>
      <c r="P38" s="24"/>
      <c r="Q38" s="51"/>
      <c r="R38" s="24"/>
      <c r="S38" s="51"/>
      <c r="T38" s="24"/>
      <c r="U38" s="24"/>
    </row>
    <row r="39" spans="1:21" x14ac:dyDescent="0.3">
      <c r="A39" s="2" t="str">
        <f>'OS Dev model'!D96</f>
        <v>Ngā Hau Māngere / Mangere Centre Park - renew toilet and changing room facilities</v>
      </c>
      <c r="D39" s="24">
        <f>'OS Dev model'!Z96</f>
        <v>0</v>
      </c>
      <c r="E39" s="24">
        <f>'OS Dev model'!AA96</f>
        <v>0</v>
      </c>
      <c r="F39" s="24">
        <f>'OS Dev model'!AB96</f>
        <v>0</v>
      </c>
      <c r="G39" s="24">
        <f>'OS Dev model'!AC96</f>
        <v>0</v>
      </c>
      <c r="H39" s="24">
        <f>'OS Dev model'!AD96</f>
        <v>0</v>
      </c>
      <c r="I39" s="24">
        <f>'OS Dev model'!AE96</f>
        <v>0.16490648658472981</v>
      </c>
      <c r="J39" s="24">
        <f t="shared" si="6"/>
        <v>0.16490648658472981</v>
      </c>
      <c r="K39" s="24"/>
      <c r="L39" s="24"/>
      <c r="M39" s="24"/>
      <c r="N39" s="24"/>
      <c r="O39" s="51"/>
      <c r="P39" s="24"/>
      <c r="Q39" s="51"/>
      <c r="R39" s="24"/>
      <c r="S39" s="51"/>
      <c r="T39" s="24"/>
      <c r="U39" s="24"/>
    </row>
    <row r="40" spans="1:21" x14ac:dyDescent="0.3">
      <c r="A40" s="2" t="str">
        <f>'OS Dev model'!E97</f>
        <v>N.005219.05.03 - Aorere PK- demolish &amp; rebuild change FAC</v>
      </c>
      <c r="D40" s="24">
        <f>'OS Dev model'!Z97</f>
        <v>0.5</v>
      </c>
      <c r="E40" s="24">
        <f>'OS Dev model'!AA97</f>
        <v>0</v>
      </c>
      <c r="F40" s="24">
        <f>'OS Dev model'!AB97</f>
        <v>0</v>
      </c>
      <c r="G40" s="24">
        <f>'OS Dev model'!AC97</f>
        <v>0</v>
      </c>
      <c r="H40" s="24">
        <f>'OS Dev model'!AD97</f>
        <v>0</v>
      </c>
      <c r="I40" s="24">
        <f>'OS Dev model'!AE97</f>
        <v>0</v>
      </c>
      <c r="J40" s="24">
        <f t="shared" si="6"/>
        <v>0.5</v>
      </c>
      <c r="K40" s="24"/>
      <c r="L40" s="24"/>
      <c r="M40" s="24"/>
      <c r="N40" s="24"/>
      <c r="O40" s="51"/>
      <c r="P40" s="24"/>
      <c r="Q40" s="51"/>
      <c r="R40" s="24"/>
      <c r="S40" s="51"/>
      <c r="T40" s="24"/>
      <c r="U40" s="24"/>
    </row>
    <row r="41" spans="1:21" x14ac:dyDescent="0.3">
      <c r="A41" s="2" t="str">
        <f>'OS Dev model'!D98</f>
        <v>Walter Massey Park - upgrade toilet and changing rooms</v>
      </c>
      <c r="D41" s="24">
        <f>'OS Dev model'!Z98</f>
        <v>0</v>
      </c>
      <c r="E41" s="24">
        <f>'OS Dev model'!AA98</f>
        <v>0</v>
      </c>
      <c r="F41" s="24">
        <f>'OS Dev model'!AB98</f>
        <v>0</v>
      </c>
      <c r="G41" s="24">
        <f>'OS Dev model'!AC98</f>
        <v>0</v>
      </c>
      <c r="H41" s="24">
        <f>'OS Dev model'!AD98</f>
        <v>0</v>
      </c>
      <c r="I41" s="24">
        <f>'OS Dev model'!AE98</f>
        <v>1.7901160668237492</v>
      </c>
      <c r="J41" s="24">
        <f t="shared" si="6"/>
        <v>1.7901160668237492</v>
      </c>
      <c r="K41" s="24"/>
      <c r="L41" s="24"/>
      <c r="M41" s="24"/>
      <c r="N41" s="24"/>
      <c r="O41" s="51"/>
      <c r="P41" s="24"/>
      <c r="Q41" s="51"/>
      <c r="R41" s="24"/>
      <c r="S41" s="51"/>
      <c r="T41" s="24"/>
      <c r="U41" s="24"/>
    </row>
    <row r="42" spans="1:21" x14ac:dyDescent="0.3">
      <c r="A42" s="2" t="str">
        <f>'OS Dev model'!E99</f>
        <v>N.005219.03.07 - Sturges Park - demolish &amp; upgrade FAC</v>
      </c>
      <c r="D42" s="24">
        <f>'OS Dev model'!Z99</f>
        <v>0</v>
      </c>
      <c r="E42" s="24">
        <f>'OS Dev model'!AA99</f>
        <v>0.05</v>
      </c>
      <c r="F42" s="24">
        <f>'OS Dev model'!AB99</f>
        <v>0.2</v>
      </c>
      <c r="G42" s="24">
        <f>'OS Dev model'!AC99</f>
        <v>0.8</v>
      </c>
      <c r="H42" s="24">
        <f>'OS Dev model'!AD99</f>
        <v>0</v>
      </c>
      <c r="I42" s="24">
        <f>'OS Dev model'!AE99</f>
        <v>0</v>
      </c>
      <c r="J42" s="24">
        <f t="shared" si="6"/>
        <v>1.05</v>
      </c>
      <c r="K42" s="24"/>
      <c r="L42" s="24"/>
      <c r="M42" s="24"/>
      <c r="N42" s="24"/>
      <c r="O42" s="51"/>
      <c r="P42" s="24"/>
      <c r="Q42" s="51"/>
      <c r="R42" s="24"/>
      <c r="S42" s="51"/>
      <c r="T42" s="24"/>
      <c r="U42" s="24"/>
    </row>
    <row r="43" spans="1:21" x14ac:dyDescent="0.3">
      <c r="A43" s="2" t="str">
        <f>'OS Dev model'!E80</f>
        <v>Opaheke Sports Park wastewater and stormater</v>
      </c>
      <c r="D43" s="24">
        <f>'OS Dev model'!Z80</f>
        <v>0.1</v>
      </c>
      <c r="E43" s="24">
        <f>'OS Dev model'!AA80</f>
        <v>0.6</v>
      </c>
      <c r="F43" s="24">
        <f>'OS Dev model'!AB80</f>
        <v>0</v>
      </c>
      <c r="G43" s="24">
        <f>'OS Dev model'!AC80</f>
        <v>0</v>
      </c>
      <c r="H43" s="24">
        <f>'OS Dev model'!AD80</f>
        <v>0</v>
      </c>
      <c r="I43" s="24">
        <f>'OS Dev model'!AE80</f>
        <v>0</v>
      </c>
      <c r="J43" s="24">
        <f>SUM(D43:I43)</f>
        <v>0.7</v>
      </c>
      <c r="K43" s="24"/>
      <c r="L43" s="24"/>
      <c r="M43" s="24"/>
      <c r="N43" s="24"/>
      <c r="O43" s="51"/>
      <c r="P43" s="24"/>
      <c r="Q43" s="51"/>
      <c r="R43" s="24"/>
      <c r="S43" s="51"/>
      <c r="T43" s="24"/>
      <c r="U43" s="24"/>
    </row>
    <row r="44" spans="1:21" x14ac:dyDescent="0.3">
      <c r="J44" s="23"/>
      <c r="O44" s="7"/>
      <c r="Q44" s="7"/>
      <c r="S44" s="7"/>
    </row>
    <row r="45" spans="1:21" x14ac:dyDescent="0.3">
      <c r="J45" s="23"/>
      <c r="O45" s="7"/>
      <c r="Q45" s="7"/>
      <c r="S45" s="7"/>
    </row>
    <row r="47" spans="1:21" x14ac:dyDescent="0.3">
      <c r="B47" s="2" t="s">
        <v>719</v>
      </c>
    </row>
    <row r="48" spans="1:21" x14ac:dyDescent="0.3">
      <c r="A48" s="2">
        <v>2024</v>
      </c>
      <c r="B48" s="32">
        <v>1742946.9953854929</v>
      </c>
    </row>
    <row r="49" spans="1:14" x14ac:dyDescent="0.3">
      <c r="A49" s="2">
        <v>2034</v>
      </c>
      <c r="B49" s="32">
        <v>1960309.9571120967</v>
      </c>
    </row>
    <row r="50" spans="1:14" x14ac:dyDescent="0.3">
      <c r="A50" s="2" t="s">
        <v>720</v>
      </c>
      <c r="B50" s="26">
        <f>(B49-B48)</f>
        <v>217362.9617266038</v>
      </c>
    </row>
    <row r="51" spans="1:14" x14ac:dyDescent="0.3">
      <c r="A51" s="2" t="s">
        <v>721</v>
      </c>
      <c r="B51" s="25">
        <f>B50/275</f>
        <v>790.41076991492287</v>
      </c>
      <c r="C51" s="2" t="s">
        <v>722</v>
      </c>
      <c r="E51" s="25">
        <f>B51/10</f>
        <v>79.041076991492289</v>
      </c>
      <c r="F51" s="2" t="s">
        <v>723</v>
      </c>
    </row>
    <row r="52" spans="1:14" x14ac:dyDescent="0.3">
      <c r="A52" s="2" t="s">
        <v>724</v>
      </c>
      <c r="B52" s="25">
        <f>N28</f>
        <v>351.60053749999997</v>
      </c>
      <c r="C52" s="2" t="s">
        <v>725</v>
      </c>
    </row>
    <row r="53" spans="1:14" x14ac:dyDescent="0.3">
      <c r="A53" s="2" t="s">
        <v>528</v>
      </c>
      <c r="B53" s="25">
        <f>B51-B52</f>
        <v>438.81023241492289</v>
      </c>
      <c r="C53" s="25"/>
    </row>
    <row r="54" spans="1:14" x14ac:dyDescent="0.3">
      <c r="B54" s="25"/>
    </row>
    <row r="56" spans="1:14" x14ac:dyDescent="0.3">
      <c r="C56" s="7" t="s">
        <v>831</v>
      </c>
      <c r="D56" s="2">
        <v>2025</v>
      </c>
      <c r="E56" s="2">
        <v>2026</v>
      </c>
      <c r="F56" s="2">
        <v>2027</v>
      </c>
      <c r="G56" s="2">
        <v>2028</v>
      </c>
      <c r="H56" s="2">
        <v>2029</v>
      </c>
      <c r="I56" s="2">
        <v>2030</v>
      </c>
      <c r="J56" s="2">
        <v>2031</v>
      </c>
      <c r="K56" s="2">
        <v>2032</v>
      </c>
      <c r="L56" s="2">
        <v>2033</v>
      </c>
      <c r="M56" s="2">
        <v>2034</v>
      </c>
    </row>
    <row r="57" spans="1:14" x14ac:dyDescent="0.3">
      <c r="C57" s="2" t="s">
        <v>726</v>
      </c>
      <c r="D57" s="28">
        <v>1</v>
      </c>
      <c r="E57" s="28">
        <v>2</v>
      </c>
      <c r="F57" s="28">
        <v>3</v>
      </c>
      <c r="G57" s="28">
        <v>4</v>
      </c>
      <c r="H57" s="28">
        <v>5</v>
      </c>
      <c r="I57" s="28">
        <v>6</v>
      </c>
      <c r="J57" s="28">
        <v>7</v>
      </c>
      <c r="K57" s="28">
        <v>8</v>
      </c>
      <c r="L57" s="28">
        <v>9</v>
      </c>
      <c r="M57" s="28">
        <v>10</v>
      </c>
      <c r="N57" s="28" t="s">
        <v>413</v>
      </c>
    </row>
    <row r="58" spans="1:14" x14ac:dyDescent="0.3">
      <c r="A58" s="53" t="s">
        <v>833</v>
      </c>
      <c r="B58" s="34">
        <f>SUM(D58:I58)</f>
        <v>351.60053749999992</v>
      </c>
      <c r="C58" s="2" t="s">
        <v>832</v>
      </c>
      <c r="D58" s="34">
        <f>D29*$N$28</f>
        <v>62.928440681055029</v>
      </c>
      <c r="E58" s="34">
        <f t="shared" ref="E58:I58" si="7">E29*$N$28</f>
        <v>79.615562979839424</v>
      </c>
      <c r="F58" s="34">
        <f t="shared" si="7"/>
        <v>89.942892486665613</v>
      </c>
      <c r="G58" s="34">
        <f t="shared" si="7"/>
        <v>57.753550484814703</v>
      </c>
      <c r="H58" s="34">
        <f t="shared" si="7"/>
        <v>40.784252013810743</v>
      </c>
      <c r="I58" s="34">
        <f t="shared" si="7"/>
        <v>20.575838853814432</v>
      </c>
      <c r="N58" s="34">
        <f>SUM(D58:M58)</f>
        <v>351.60053749999992</v>
      </c>
    </row>
    <row r="59" spans="1:14" x14ac:dyDescent="0.3">
      <c r="A59" s="53"/>
      <c r="B59" s="34"/>
      <c r="C59" s="2" t="s">
        <v>834</v>
      </c>
      <c r="D59" s="34">
        <f>D58</f>
        <v>62.928440681055029</v>
      </c>
      <c r="E59" s="34">
        <f>E58+D59</f>
        <v>142.54400366089445</v>
      </c>
      <c r="F59" s="34">
        <f t="shared" ref="F59:I59" si="8">F58+E59</f>
        <v>232.48689614756006</v>
      </c>
      <c r="G59" s="34">
        <f t="shared" si="8"/>
        <v>290.24044663237476</v>
      </c>
      <c r="H59" s="34">
        <f t="shared" si="8"/>
        <v>331.02469864618547</v>
      </c>
      <c r="I59" s="34">
        <f t="shared" si="8"/>
        <v>351.60053749999992</v>
      </c>
      <c r="N59" s="34"/>
    </row>
    <row r="60" spans="1:14" x14ac:dyDescent="0.3">
      <c r="A60" s="53"/>
      <c r="B60" s="34"/>
      <c r="C60" s="2" t="s">
        <v>835</v>
      </c>
      <c r="D60" s="34">
        <f>E51</f>
        <v>79.041076991492289</v>
      </c>
      <c r="E60" s="34">
        <f>$E$51*E57</f>
        <v>158.08215398298458</v>
      </c>
      <c r="F60" s="34">
        <f>$E$51*F57</f>
        <v>237.12323097447688</v>
      </c>
      <c r="G60" s="34">
        <f>$E$51*G57</f>
        <v>316.16430796596916</v>
      </c>
      <c r="H60" s="34">
        <f>$E$51*H57</f>
        <v>395.20538495746143</v>
      </c>
      <c r="I60" s="34">
        <f>$E$51*I57</f>
        <v>474.24646194895377</v>
      </c>
      <c r="N60" s="34"/>
    </row>
    <row r="61" spans="1:14" x14ac:dyDescent="0.3">
      <c r="C61" s="2" t="s">
        <v>836</v>
      </c>
      <c r="D61" s="34"/>
      <c r="E61" s="34"/>
      <c r="F61" s="34"/>
      <c r="G61" s="34">
        <f>G60-G59</f>
        <v>25.923861333594402</v>
      </c>
      <c r="H61" s="25">
        <f>$E$51-H58</f>
        <v>38.256824977681546</v>
      </c>
      <c r="I61" s="25">
        <f>$E$51-I58</f>
        <v>58.465238137677858</v>
      </c>
      <c r="J61" s="25">
        <f t="shared" ref="J61:M61" si="9">$E$51-J58</f>
        <v>79.041076991492289</v>
      </c>
      <c r="K61" s="25">
        <f t="shared" si="9"/>
        <v>79.041076991492289</v>
      </c>
      <c r="L61" s="25">
        <f t="shared" si="9"/>
        <v>79.041076991492289</v>
      </c>
      <c r="M61" s="25">
        <f t="shared" si="9"/>
        <v>79.041076991492289</v>
      </c>
      <c r="N61" s="34">
        <f t="shared" ref="N61" si="10">SUM(D61:M61)</f>
        <v>438.81023241492295</v>
      </c>
    </row>
    <row r="62" spans="1:14" x14ac:dyDescent="0.3">
      <c r="C62" s="2" t="s">
        <v>837</v>
      </c>
      <c r="D62" s="34">
        <f>D58+D61</f>
        <v>62.928440681055029</v>
      </c>
      <c r="E62" s="34">
        <f t="shared" ref="E62:M62" si="11">E58+E61</f>
        <v>79.615562979839424</v>
      </c>
      <c r="F62" s="34">
        <f t="shared" si="11"/>
        <v>89.942892486665613</v>
      </c>
      <c r="G62" s="34">
        <f t="shared" si="11"/>
        <v>83.677411818409098</v>
      </c>
      <c r="H62" s="34">
        <f t="shared" si="11"/>
        <v>79.041076991492289</v>
      </c>
      <c r="I62" s="34">
        <f t="shared" si="11"/>
        <v>79.041076991492289</v>
      </c>
      <c r="J62" s="34">
        <f t="shared" si="11"/>
        <v>79.041076991492289</v>
      </c>
      <c r="K62" s="34">
        <f t="shared" si="11"/>
        <v>79.041076991492289</v>
      </c>
      <c r="L62" s="34">
        <f t="shared" si="11"/>
        <v>79.041076991492289</v>
      </c>
      <c r="M62" s="34">
        <f t="shared" si="11"/>
        <v>79.041076991492289</v>
      </c>
      <c r="N62" s="34">
        <f>SUM(D62:M62)</f>
        <v>790.41076991492298</v>
      </c>
    </row>
    <row r="63" spans="1:14" x14ac:dyDescent="0.3">
      <c r="D63" s="34"/>
      <c r="E63" s="34"/>
      <c r="F63" s="34"/>
      <c r="G63" s="34"/>
      <c r="H63" s="25"/>
      <c r="I63" s="25"/>
      <c r="J63" s="25"/>
      <c r="K63" s="25"/>
      <c r="L63" s="25"/>
      <c r="M63" s="25"/>
      <c r="N63" s="26"/>
    </row>
    <row r="64" spans="1:14" x14ac:dyDescent="0.3">
      <c r="C64" s="2" t="s">
        <v>838</v>
      </c>
      <c r="G64" s="25">
        <f>G61*$B$8/1000000</f>
        <v>2.1636054669017888</v>
      </c>
      <c r="H64" s="25">
        <f t="shared" ref="H64:M64" si="12">H61*$B$8/1000000</f>
        <v>3.1929146126373018</v>
      </c>
      <c r="I64" s="25">
        <f t="shared" si="12"/>
        <v>4.8795087749705939</v>
      </c>
      <c r="J64" s="25">
        <f t="shared" si="12"/>
        <v>6.5967682857099463</v>
      </c>
      <c r="K64" s="25">
        <f t="shared" si="12"/>
        <v>6.5967682857099463</v>
      </c>
      <c r="L64" s="25">
        <f t="shared" si="12"/>
        <v>6.5967682857099463</v>
      </c>
      <c r="M64" s="25">
        <f t="shared" si="12"/>
        <v>6.5967682857099463</v>
      </c>
    </row>
    <row r="65" spans="3:14" x14ac:dyDescent="0.3">
      <c r="C65" s="2" t="s">
        <v>839</v>
      </c>
      <c r="G65" s="25">
        <f>G64*'Cost inputs'!I10</f>
        <v>2.4493722615766491</v>
      </c>
      <c r="H65" s="25">
        <f>H64*'Cost inputs'!J10</f>
        <v>3.7266850819995794</v>
      </c>
      <c r="I65" s="25">
        <f>I64*'Cost inputs'!K10</f>
        <v>5.8717851878342344</v>
      </c>
      <c r="J65" s="25">
        <f>J64*'Cost inputs'!L10</f>
        <v>8.184345421816106</v>
      </c>
      <c r="K65" s="25">
        <f>K64*'Cost inputs'!M10</f>
        <v>8.4380601298924027</v>
      </c>
      <c r="L65" s="25">
        <f>L64*'Cost inputs'!N10</f>
        <v>8.6996399939190674</v>
      </c>
      <c r="M65" s="25">
        <f>M64*'Cost inputs'!O10</f>
        <v>8.9693288337305574</v>
      </c>
      <c r="N65" s="25">
        <f>SUM(G65:M65)</f>
        <v>46.339216910768599</v>
      </c>
    </row>
  </sheetData>
  <sheetProtection algorithmName="SHA-512" hashValue="t7yAJnndLG2XbdO0uo11KVoaUmq02TAwTKlMwVMp5qLCXpGb+VSJ66xBn/hZxEp2Y4toE2Ou2hvMov/AqYZGxA==" saltValue="1+GR9yLHUWM7+SWty8SF4g==" spinCount="100000" sheet="1" objects="1" scenarios="1"/>
  <phoneticPr fontId="13"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11A13-857C-45EA-89E5-63239F20A799}">
  <dimension ref="A1:AZ347"/>
  <sheetViews>
    <sheetView workbookViewId="0">
      <selection activeCell="Q3" sqref="Q3"/>
    </sheetView>
  </sheetViews>
  <sheetFormatPr defaultColWidth="9.109375" defaultRowHeight="13.8" x14ac:dyDescent="0.25"/>
  <cols>
    <col min="1" max="1" width="25.6640625" style="1" customWidth="1"/>
    <col min="2" max="2" width="20.5546875" style="1" customWidth="1"/>
    <col min="3" max="3" width="12" style="1" customWidth="1"/>
    <col min="4" max="4" width="11" style="1" customWidth="1"/>
    <col min="5" max="5" width="11.44140625" style="1" customWidth="1"/>
    <col min="6" max="6" width="12.109375" style="1" customWidth="1"/>
    <col min="7" max="7" width="9.6640625" style="1" customWidth="1"/>
    <col min="8" max="13" width="8.109375" style="1" customWidth="1"/>
    <col min="14" max="45" width="6.33203125" style="1" customWidth="1"/>
    <col min="46" max="52" width="6.109375" style="1" customWidth="1"/>
    <col min="53" max="16384" width="9.109375" style="1"/>
  </cols>
  <sheetData>
    <row r="1" spans="1:52" ht="14.4" x14ac:dyDescent="0.3">
      <c r="A1" s="5" t="s">
        <v>743</v>
      </c>
      <c r="B1" s="5"/>
    </row>
    <row r="2" spans="1:52" ht="14.4" x14ac:dyDescent="0.3">
      <c r="A2" s="5" t="s">
        <v>727</v>
      </c>
      <c r="B2" s="5"/>
    </row>
    <row r="3" spans="1:52" ht="14.4" x14ac:dyDescent="0.3">
      <c r="A3" s="2" t="s">
        <v>728</v>
      </c>
      <c r="B3" s="2"/>
      <c r="G3" s="65"/>
    </row>
    <row r="4" spans="1:52" ht="14.4" x14ac:dyDescent="0.3">
      <c r="A4" s="2" t="s">
        <v>744</v>
      </c>
      <c r="B4" s="2"/>
    </row>
    <row r="5" spans="1:52" ht="14.4" x14ac:dyDescent="0.3">
      <c r="A5" s="2"/>
      <c r="B5" s="2"/>
      <c r="F5" s="2"/>
      <c r="G5" s="2"/>
      <c r="H5" s="8" t="s">
        <v>429</v>
      </c>
      <c r="I5" s="8" t="s">
        <v>429</v>
      </c>
      <c r="J5" s="8" t="s">
        <v>429</v>
      </c>
      <c r="K5" s="8" t="s">
        <v>429</v>
      </c>
      <c r="L5" s="8" t="s">
        <v>429</v>
      </c>
      <c r="M5" s="8" t="s">
        <v>429</v>
      </c>
      <c r="N5" s="8" t="s">
        <v>429</v>
      </c>
      <c r="O5" s="8" t="s">
        <v>429</v>
      </c>
      <c r="P5" s="8" t="s">
        <v>429</v>
      </c>
      <c r="Q5" s="8" t="s">
        <v>429</v>
      </c>
      <c r="R5" s="8" t="s">
        <v>429</v>
      </c>
      <c r="S5" s="8" t="s">
        <v>429</v>
      </c>
      <c r="T5" s="8" t="s">
        <v>429</v>
      </c>
      <c r="U5" s="8" t="s">
        <v>429</v>
      </c>
      <c r="V5" s="8" t="s">
        <v>429</v>
      </c>
      <c r="W5" s="8" t="s">
        <v>429</v>
      </c>
      <c r="X5" s="8" t="s">
        <v>429</v>
      </c>
      <c r="Y5" s="8" t="s">
        <v>429</v>
      </c>
      <c r="Z5" s="8" t="s">
        <v>429</v>
      </c>
      <c r="AA5" s="8" t="s">
        <v>429</v>
      </c>
      <c r="AB5" s="8" t="s">
        <v>429</v>
      </c>
      <c r="AC5" s="8" t="s">
        <v>429</v>
      </c>
      <c r="AD5" s="8" t="s">
        <v>429</v>
      </c>
      <c r="AE5" s="8" t="s">
        <v>429</v>
      </c>
      <c r="AF5" s="8" t="s">
        <v>429</v>
      </c>
      <c r="AG5" s="8" t="s">
        <v>429</v>
      </c>
      <c r="AH5" s="8" t="s">
        <v>429</v>
      </c>
      <c r="AI5" s="8" t="s">
        <v>429</v>
      </c>
      <c r="AJ5" s="8" t="s">
        <v>429</v>
      </c>
      <c r="AK5" s="8" t="s">
        <v>429</v>
      </c>
      <c r="AL5" s="8" t="s">
        <v>429</v>
      </c>
      <c r="AM5" s="8" t="s">
        <v>429</v>
      </c>
      <c r="AN5" s="8" t="s">
        <v>429</v>
      </c>
      <c r="AO5" s="8" t="s">
        <v>429</v>
      </c>
      <c r="AP5" s="8" t="s">
        <v>429</v>
      </c>
      <c r="AQ5" s="8" t="s">
        <v>429</v>
      </c>
      <c r="AR5" s="8" t="s">
        <v>429</v>
      </c>
      <c r="AS5" s="8" t="s">
        <v>429</v>
      </c>
      <c r="AT5" s="8" t="s">
        <v>429</v>
      </c>
      <c r="AU5" s="8" t="s">
        <v>429</v>
      </c>
      <c r="AV5" s="8" t="s">
        <v>429</v>
      </c>
      <c r="AW5" s="8" t="s">
        <v>429</v>
      </c>
      <c r="AX5" s="8" t="s">
        <v>429</v>
      </c>
      <c r="AY5" s="8" t="s">
        <v>429</v>
      </c>
      <c r="AZ5" s="8" t="s">
        <v>429</v>
      </c>
    </row>
    <row r="6" spans="1:52" ht="14.4" x14ac:dyDescent="0.3">
      <c r="A6" s="5" t="s">
        <v>273</v>
      </c>
      <c r="B6" s="5" t="s">
        <v>907</v>
      </c>
      <c r="C6" s="5" t="s">
        <v>729</v>
      </c>
      <c r="D6" s="2" t="s">
        <v>730</v>
      </c>
      <c r="E6" s="2" t="s">
        <v>731</v>
      </c>
      <c r="F6" s="2" t="s">
        <v>732</v>
      </c>
      <c r="G6" s="2" t="s">
        <v>733</v>
      </c>
      <c r="H6" s="8" t="s">
        <v>734</v>
      </c>
      <c r="I6" s="8" t="s">
        <v>712</v>
      </c>
      <c r="J6" s="8" t="s">
        <v>735</v>
      </c>
      <c r="K6" s="8" t="s">
        <v>736</v>
      </c>
      <c r="L6" s="8" t="s">
        <v>737</v>
      </c>
      <c r="M6" s="8" t="s">
        <v>764</v>
      </c>
      <c r="N6" s="5">
        <v>2025</v>
      </c>
      <c r="O6" s="5">
        <v>2026</v>
      </c>
      <c r="P6" s="5">
        <v>2027</v>
      </c>
      <c r="Q6" s="5">
        <v>2028</v>
      </c>
      <c r="R6" s="5">
        <v>2029</v>
      </c>
      <c r="S6" s="5">
        <v>2030</v>
      </c>
      <c r="T6" s="5">
        <v>2031</v>
      </c>
      <c r="U6" s="5">
        <v>2032</v>
      </c>
      <c r="V6" s="5">
        <v>2033</v>
      </c>
      <c r="W6" s="5">
        <v>2034</v>
      </c>
      <c r="X6" s="5">
        <v>2035</v>
      </c>
      <c r="Y6" s="5">
        <v>2036</v>
      </c>
      <c r="Z6" s="5">
        <v>2037</v>
      </c>
      <c r="AA6" s="5">
        <v>2038</v>
      </c>
      <c r="AB6" s="5">
        <v>2039</v>
      </c>
      <c r="AC6" s="5">
        <v>2040</v>
      </c>
      <c r="AD6" s="5">
        <v>2041</v>
      </c>
      <c r="AE6" s="5">
        <v>2042</v>
      </c>
      <c r="AF6" s="5">
        <v>2043</v>
      </c>
      <c r="AG6" s="5">
        <v>2044</v>
      </c>
      <c r="AH6" s="5">
        <v>2045</v>
      </c>
      <c r="AI6" s="5">
        <v>2046</v>
      </c>
      <c r="AJ6" s="5">
        <v>2047</v>
      </c>
      <c r="AK6" s="5">
        <v>2048</v>
      </c>
      <c r="AL6" s="5">
        <v>2049</v>
      </c>
      <c r="AM6" s="5">
        <v>2050</v>
      </c>
      <c r="AN6" s="5">
        <v>2051</v>
      </c>
      <c r="AO6" s="5">
        <v>2052</v>
      </c>
      <c r="AP6" s="5">
        <v>2053</v>
      </c>
      <c r="AQ6" s="5">
        <v>2054</v>
      </c>
      <c r="AR6" s="5">
        <v>2055</v>
      </c>
      <c r="AS6" s="5">
        <v>2056</v>
      </c>
      <c r="AT6" s="5">
        <v>2057</v>
      </c>
      <c r="AU6" s="5">
        <v>2058</v>
      </c>
      <c r="AV6" s="5">
        <v>2059</v>
      </c>
      <c r="AW6" s="5">
        <v>2060</v>
      </c>
      <c r="AX6" s="5">
        <v>2061</v>
      </c>
      <c r="AY6" s="5">
        <v>2062</v>
      </c>
      <c r="AZ6" s="5">
        <v>2063</v>
      </c>
    </row>
    <row r="7" spans="1:52" ht="48" x14ac:dyDescent="0.25">
      <c r="A7" s="37" t="s">
        <v>186</v>
      </c>
      <c r="B7" s="37"/>
      <c r="C7" s="37" t="s">
        <v>747</v>
      </c>
      <c r="D7" s="37" t="s">
        <v>749</v>
      </c>
      <c r="E7" s="37" t="s">
        <v>738</v>
      </c>
      <c r="F7" s="37" t="s">
        <v>739</v>
      </c>
      <c r="G7" s="38" t="s">
        <v>740</v>
      </c>
      <c r="H7" s="266" t="s">
        <v>741</v>
      </c>
      <c r="I7" s="266"/>
      <c r="J7" s="37"/>
      <c r="K7" s="37"/>
      <c r="L7" s="37" t="s">
        <v>748</v>
      </c>
      <c r="M7" s="37" t="s">
        <v>742</v>
      </c>
    </row>
    <row r="8" spans="1:52" s="2" customFormat="1" x14ac:dyDescent="0.3">
      <c r="A8" s="9" t="str">
        <f>'OS Dev model'!B291</f>
        <v>Rural North</v>
      </c>
      <c r="B8" s="9"/>
      <c r="C8" s="42">
        <v>10</v>
      </c>
      <c r="D8" s="48"/>
      <c r="E8" s="43"/>
      <c r="F8" s="9"/>
      <c r="G8" s="9"/>
      <c r="H8" s="44">
        <f>SUM(N8:AQ8)</f>
        <v>22.227112126475816</v>
      </c>
      <c r="I8" s="44">
        <f>SUM(N8:W8)</f>
        <v>0</v>
      </c>
      <c r="J8" s="44">
        <f>SUM(X8:AG8)</f>
        <v>4.94514113276212</v>
      </c>
      <c r="K8" s="44">
        <f>SUM(AH8:AQ8)</f>
        <v>17.281970993713696</v>
      </c>
      <c r="L8" s="41">
        <f>SUM(AR8:AZ8)</f>
        <v>0</v>
      </c>
      <c r="M8" s="41">
        <f>SUM(N8:AZ8)</f>
        <v>22.227112126475816</v>
      </c>
      <c r="N8" s="41">
        <f>SUMIF('OS Dev model'!$C$291:$C$319,Summary!$A8,'OS Dev model'!Z$291:Z$319)</f>
        <v>0</v>
      </c>
      <c r="O8" s="41">
        <f>SUMIF('OS Dev model'!$C$291:$C$319,Summary!$A8,'OS Dev model'!AA$291:AA$319)</f>
        <v>0</v>
      </c>
      <c r="P8" s="41">
        <f>SUMIF('OS Dev model'!$C$291:$C$319,Summary!$A8,'OS Dev model'!AB$291:AB$319)</f>
        <v>0</v>
      </c>
      <c r="Q8" s="41">
        <f>SUMIF('OS Dev model'!$C$291:$C$319,Summary!$A8,'OS Dev model'!AC$291:AC$319)</f>
        <v>0</v>
      </c>
      <c r="R8" s="41">
        <f>SUMIF('OS Dev model'!$C$291:$C$319,Summary!$A8,'OS Dev model'!AD$291:AD$319)</f>
        <v>0</v>
      </c>
      <c r="S8" s="41">
        <f>SUMIF('OS Dev model'!$C$291:$C$319,Summary!$A8,'OS Dev model'!AE$291:AE$319)</f>
        <v>0</v>
      </c>
      <c r="T8" s="41">
        <f>SUMIF('OS Dev model'!$C$291:$C$319,Summary!$A8,'OS Dev model'!AF$291:AF$319)</f>
        <v>0</v>
      </c>
      <c r="U8" s="41">
        <f>SUMIF('OS Dev model'!$C$291:$C$319,Summary!$A8,'OS Dev model'!AG$291:AG$319)</f>
        <v>0</v>
      </c>
      <c r="V8" s="41">
        <f>SUMIF('OS Dev model'!$C$291:$C$319,Summary!$A8,'OS Dev model'!AH$291:AH$319)</f>
        <v>0</v>
      </c>
      <c r="W8" s="41">
        <f>SUMIF('OS Dev model'!$C$291:$C$319,Summary!$A8,'OS Dev model'!AI$291:AI$319)</f>
        <v>0</v>
      </c>
      <c r="X8" s="41">
        <f>SUMIF('OS Dev model'!$C$291:$C$319,Summary!$A8,'OS Dev model'!AJ$291:AJ$319)</f>
        <v>0</v>
      </c>
      <c r="Y8" s="41">
        <f>SUMIF('OS Dev model'!$C$291:$C$319,Summary!$A8,'OS Dev model'!AK$291:AK$319)</f>
        <v>0</v>
      </c>
      <c r="Z8" s="41">
        <f>SUMIF('OS Dev model'!$C$291:$C$319,Summary!$A8,'OS Dev model'!AL$291:AL$319)</f>
        <v>0</v>
      </c>
      <c r="AA8" s="41">
        <f>SUMIF('OS Dev model'!$C$291:$C$319,Summary!$A8,'OS Dev model'!AM$291:AM$319)</f>
        <v>0</v>
      </c>
      <c r="AB8" s="41">
        <f>SUMIF('OS Dev model'!$C$291:$C$319,Summary!$A8,'OS Dev model'!AN$291:AN$319)</f>
        <v>0</v>
      </c>
      <c r="AC8" s="41">
        <f>SUMIF('OS Dev model'!$C$291:$C$319,Summary!$A8,'OS Dev model'!AO$291:AO$319)</f>
        <v>0</v>
      </c>
      <c r="AD8" s="41">
        <f>SUMIF('OS Dev model'!$C$291:$C$319,Summary!$A8,'OS Dev model'!AP$291:AP$319)</f>
        <v>0</v>
      </c>
      <c r="AE8" s="41">
        <f>SUMIF('OS Dev model'!$C$291:$C$319,Summary!$A8,'OS Dev model'!AQ$291:AQ$319)</f>
        <v>0.48109165607180859</v>
      </c>
      <c r="AF8" s="41">
        <f>SUMIF('OS Dev model'!$C$291:$C$319,Summary!$A8,'OS Dev model'!AR$291:AR$319)</f>
        <v>4.4640494766903114</v>
      </c>
      <c r="AG8" s="41">
        <f>SUMIF('OS Dev model'!$C$291:$C$319,Summary!$A8,'OS Dev model'!AS$291:AS$319)</f>
        <v>0</v>
      </c>
      <c r="AH8" s="41">
        <f>SUMIF('OS Dev model'!$C$291:$C$319,Summary!$A8,'OS Dev model'!AT$291:AT$319)</f>
        <v>0</v>
      </c>
      <c r="AI8" s="41">
        <f>SUMIF('OS Dev model'!$C$291:$C$319,Summary!$A8,'OS Dev model'!AU$291:AU$319)</f>
        <v>0</v>
      </c>
      <c r="AJ8" s="41">
        <f>SUMIF('OS Dev model'!$C$291:$C$319,Summary!$A8,'OS Dev model'!AV$291:AV$319)</f>
        <v>1.681289132572594</v>
      </c>
      <c r="AK8" s="41">
        <f>SUMIF('OS Dev model'!$C$291:$C$319,Summary!$A8,'OS Dev model'!AW$291:AW$319)</f>
        <v>15.600681861141101</v>
      </c>
      <c r="AL8" s="41">
        <f>SUMIF('OS Dev model'!$C$291:$C$319,Summary!$A8,'OS Dev model'!AX$291:AX$319)</f>
        <v>0</v>
      </c>
      <c r="AM8" s="41">
        <f>SUMIF('OS Dev model'!$C$291:$C$319,Summary!$A8,'OS Dev model'!AY$291:AY$319)</f>
        <v>0</v>
      </c>
      <c r="AN8" s="41">
        <f>SUMIF('OS Dev model'!$C$291:$C$319,Summary!$A8,'OS Dev model'!AZ$291:AZ$319)</f>
        <v>0</v>
      </c>
      <c r="AO8" s="41">
        <f>SUMIF('OS Dev model'!$C$291:$C$319,Summary!$A8,'OS Dev model'!BA$291:BA$319)</f>
        <v>0</v>
      </c>
      <c r="AP8" s="41">
        <f>SUMIF('OS Dev model'!$C$291:$C$319,Summary!$A8,'OS Dev model'!BB$291:BB$319)</f>
        <v>0</v>
      </c>
      <c r="AQ8" s="41">
        <f>SUMIF('OS Dev model'!$C$291:$C$319,Summary!$A8,'OS Dev model'!BC$291:BC$319)</f>
        <v>0</v>
      </c>
      <c r="AR8" s="41">
        <f>SUMIF('OS Dev model'!$C$291:$C$319,Summary!$A8,'OS Dev model'!BD$291:BD$319)</f>
        <v>0</v>
      </c>
      <c r="AS8" s="41">
        <f>SUMIF('OS Dev model'!$C$291:$C$319,Summary!$A8,'OS Dev model'!BE$291:BE$319)</f>
        <v>0</v>
      </c>
      <c r="AT8" s="41">
        <f>SUMIF('OS Dev model'!$C$291:$C$319,Summary!$A8,'OS Dev model'!BF$291:BF$319)</f>
        <v>0</v>
      </c>
      <c r="AU8" s="41">
        <f>SUMIF('OS Dev model'!$C$291:$C$319,Summary!$A8,'OS Dev model'!BG$291:BG$319)</f>
        <v>0</v>
      </c>
      <c r="AV8" s="41">
        <f>SUMIF('OS Dev model'!$C$291:$C$319,Summary!$A8,'OS Dev model'!BH$291:BH$319)</f>
        <v>0</v>
      </c>
      <c r="AW8" s="41">
        <f>SUMIF('OS Dev model'!$C$291:$C$319,Summary!$A8,'OS Dev model'!BI$291:BI$319)</f>
        <v>0</v>
      </c>
      <c r="AX8" s="41">
        <f>SUMIF('OS Dev model'!$C$291:$C$319,Summary!$A8,'OS Dev model'!BJ$291:BJ$319)</f>
        <v>0</v>
      </c>
      <c r="AY8" s="41">
        <f>SUMIF('OS Dev model'!$C$291:$C$319,Summary!$A8,'OS Dev model'!BK$291:BK$319)</f>
        <v>0</v>
      </c>
      <c r="AZ8" s="41">
        <f>SUMIF('OS Dev model'!$C$291:$C$319,Summary!$A8,'OS Dev model'!BL$291:BL$319)</f>
        <v>0</v>
      </c>
    </row>
    <row r="9" spans="1:52" s="2" customFormat="1" x14ac:dyDescent="0.3">
      <c r="A9" s="2" t="str">
        <f>'OS Dev model'!B292</f>
        <v>Warkworth</v>
      </c>
      <c r="B9" s="2" t="str">
        <f>C46</f>
        <v>Warkworth</v>
      </c>
      <c r="C9" s="28">
        <v>10</v>
      </c>
      <c r="D9" s="49">
        <f>F46</f>
        <v>0.4193855518188328</v>
      </c>
      <c r="E9" s="58">
        <f t="shared" ref="E9:E35" si="0">1-D9</f>
        <v>0.58061444818116725</v>
      </c>
      <c r="F9" s="59">
        <f>1-D46/E46</f>
        <v>0.58061444818116725</v>
      </c>
      <c r="G9" s="22">
        <f t="shared" ref="G9:G15" si="1">AVERAGE(E9:F9)</f>
        <v>0.58061444818116725</v>
      </c>
      <c r="H9" s="41">
        <f t="shared" ref="H9:H32" si="2">SUM(N9:AQ9)</f>
        <v>115.94387264541814</v>
      </c>
      <c r="I9" s="41">
        <f t="shared" ref="I9:I35" si="3">SUM(N9:W9)</f>
        <v>1.0601</v>
      </c>
      <c r="J9" s="41">
        <f t="shared" ref="J9:J32" si="4">SUM(X9:AG9)</f>
        <v>9.1731234395464867</v>
      </c>
      <c r="K9" s="41">
        <f t="shared" ref="K9:K32" si="5">SUM(AH9:AQ9)</f>
        <v>105.71064920587166</v>
      </c>
      <c r="L9" s="41">
        <f t="shared" ref="L9:L35" si="6">SUM(AR9:AZ9)</f>
        <v>16.526070360461336</v>
      </c>
      <c r="M9" s="41">
        <f t="shared" ref="M9:M35" si="7">SUM(N9:AZ9)</f>
        <v>132.46994300587949</v>
      </c>
      <c r="N9" s="41">
        <f>SUMIF('OS Dev model'!$C$291:$C$319,Summary!$A9,'OS Dev model'!Z$291:Z$319)</f>
        <v>0.45</v>
      </c>
      <c r="O9" s="41">
        <f>SUMIF('OS Dev model'!$C$291:$C$319,Summary!$A9,'OS Dev model'!AA$291:AA$319)</f>
        <v>0.61009999999999998</v>
      </c>
      <c r="P9" s="41">
        <f>SUMIF('OS Dev model'!$C$291:$C$319,Summary!$A9,'OS Dev model'!AB$291:AB$319)</f>
        <v>0</v>
      </c>
      <c r="Q9" s="41">
        <f>SUMIF('OS Dev model'!$C$291:$C$319,Summary!$A9,'OS Dev model'!AC$291:AC$319)</f>
        <v>0</v>
      </c>
      <c r="R9" s="41">
        <f>SUMIF('OS Dev model'!$C$291:$C$319,Summary!$A9,'OS Dev model'!AD$291:AD$319)</f>
        <v>0</v>
      </c>
      <c r="S9" s="41">
        <f>SUMIF('OS Dev model'!$C$291:$C$319,Summary!$A9,'OS Dev model'!AE$291:AE$319)</f>
        <v>0</v>
      </c>
      <c r="T9" s="41">
        <f>SUMIF('OS Dev model'!$C$291:$C$319,Summary!$A9,'OS Dev model'!AF$291:AF$319)</f>
        <v>0</v>
      </c>
      <c r="U9" s="41">
        <f>SUMIF('OS Dev model'!$C$291:$C$319,Summary!$A9,'OS Dev model'!AG$291:AG$319)</f>
        <v>0</v>
      </c>
      <c r="V9" s="41">
        <f>SUMIF('OS Dev model'!$C$291:$C$319,Summary!$A9,'OS Dev model'!AH$291:AH$319)</f>
        <v>0</v>
      </c>
      <c r="W9" s="41">
        <f>SUMIF('OS Dev model'!$C$291:$C$319,Summary!$A9,'OS Dev model'!AI$291:AI$319)</f>
        <v>0</v>
      </c>
      <c r="X9" s="41">
        <f>SUMIF('OS Dev model'!$C$291:$C$319,Summary!$A9,'OS Dev model'!AJ$291:AJ$319)</f>
        <v>0</v>
      </c>
      <c r="Y9" s="41">
        <f>SUMIF('OS Dev model'!$C$291:$C$319,Summary!$A9,'OS Dev model'!AK$291:AK$319)</f>
        <v>0</v>
      </c>
      <c r="Z9" s="41">
        <f>SUMIF('OS Dev model'!$C$291:$C$319,Summary!$A9,'OS Dev model'!AL$291:AL$319)</f>
        <v>0</v>
      </c>
      <c r="AA9" s="41">
        <f>SUMIF('OS Dev model'!$C$291:$C$319,Summary!$A9,'OS Dev model'!AM$291:AM$319)</f>
        <v>0.425787750982346</v>
      </c>
      <c r="AB9" s="41">
        <f>SUMIF('OS Dev model'!$C$291:$C$319,Summary!$A9,'OS Dev model'!AN$291:AN$319)</f>
        <v>3.9508845413651876</v>
      </c>
      <c r="AC9" s="41">
        <f>SUMIF('OS Dev model'!$C$291:$C$319,Summary!$A9,'OS Dev model'!AO$291:AO$319)</f>
        <v>0</v>
      </c>
      <c r="AD9" s="41">
        <f>SUMIF('OS Dev model'!$C$291:$C$319,Summary!$A9,'OS Dev model'!AP$291:AP$319)</f>
        <v>0.46662624255267565</v>
      </c>
      <c r="AE9" s="41">
        <f>SUMIF('OS Dev model'!$C$291:$C$319,Summary!$A9,'OS Dev model'!AQ$291:AQ$319)</f>
        <v>4.3298249046462765</v>
      </c>
      <c r="AF9" s="41">
        <f>SUMIF('OS Dev model'!$C$291:$C$319,Summary!$A9,'OS Dev model'!AR$291:AR$319)</f>
        <v>0</v>
      </c>
      <c r="AG9" s="41">
        <f>SUMIF('OS Dev model'!$C$291:$C$319,Summary!$A9,'OS Dev model'!AS$291:AS$319)</f>
        <v>0</v>
      </c>
      <c r="AH9" s="41">
        <f>SUMIF('OS Dev model'!$C$291:$C$319,Summary!$A9,'OS Dev model'!AT$291:AT$319)</f>
        <v>1.0544689990649352</v>
      </c>
      <c r="AI9" s="41">
        <f>SUMIF('OS Dev model'!$C$291:$C$319,Summary!$A9,'OS Dev model'!AU$291:AU$319)</f>
        <v>9.7844178423235331</v>
      </c>
      <c r="AJ9" s="41">
        <f>SUMIF('OS Dev model'!$C$291:$C$319,Summary!$A9,'OS Dev model'!AV$291:AV$319)</f>
        <v>0</v>
      </c>
      <c r="AK9" s="41">
        <f>SUMIF('OS Dev model'!$C$291:$C$319,Summary!$A9,'OS Dev model'!AW$291:AW$319)</f>
        <v>3.4668181913646889</v>
      </c>
      <c r="AL9" s="41">
        <f>SUMIF('OS Dev model'!$C$291:$C$319,Summary!$A9,'OS Dev model'!AX$291:AX$319)</f>
        <v>32.168605997672948</v>
      </c>
      <c r="AM9" s="41">
        <f>SUMIF('OS Dev model'!$C$291:$C$319,Summary!$A9,'OS Dev model'!AY$291:AY$319)</f>
        <v>0</v>
      </c>
      <c r="AN9" s="41">
        <f>SUMIF('OS Dev model'!$C$291:$C$319,Summary!$A9,'OS Dev model'!AZ$291:AZ$319)</f>
        <v>0</v>
      </c>
      <c r="AO9" s="41">
        <f>SUMIF('OS Dev model'!$C$291:$C$319,Summary!$A9,'OS Dev model'!BA$291:BA$319)</f>
        <v>0</v>
      </c>
      <c r="AP9" s="41">
        <f>SUMIF('OS Dev model'!$C$291:$C$319,Summary!$A9,'OS Dev model'!BB$291:BB$319)</f>
        <v>7.2984574895308061</v>
      </c>
      <c r="AQ9" s="41">
        <f>SUMIF('OS Dev model'!$C$291:$C$319,Summary!$A9,'OS Dev model'!BC$291:BC$319)</f>
        <v>51.937880685914749</v>
      </c>
      <c r="AR9" s="41">
        <f>SUMIF('OS Dev model'!$C$291:$C$319,Summary!$A9,'OS Dev model'!BD$291:BD$319)</f>
        <v>8.13691302829214</v>
      </c>
      <c r="AS9" s="41">
        <f>SUMIF('OS Dev model'!$C$291:$C$319,Summary!$A9,'OS Dev model'!BE$291:BE$319)</f>
        <v>8.3891573321691961</v>
      </c>
      <c r="AT9" s="41">
        <f>SUMIF('OS Dev model'!$C$291:$C$319,Summary!$A9,'OS Dev model'!BF$291:BF$319)</f>
        <v>0</v>
      </c>
      <c r="AU9" s="41">
        <f>SUMIF('OS Dev model'!$C$291:$C$319,Summary!$A9,'OS Dev model'!BG$291:BG$319)</f>
        <v>0</v>
      </c>
      <c r="AV9" s="41">
        <f>SUMIF('OS Dev model'!$C$291:$C$319,Summary!$A9,'OS Dev model'!BH$291:BH$319)</f>
        <v>0</v>
      </c>
      <c r="AW9" s="41">
        <f>SUMIF('OS Dev model'!$C$291:$C$319,Summary!$A9,'OS Dev model'!BI$291:BI$319)</f>
        <v>0</v>
      </c>
      <c r="AX9" s="41">
        <f>SUMIF('OS Dev model'!$C$291:$C$319,Summary!$A9,'OS Dev model'!BJ$291:BJ$319)</f>
        <v>0</v>
      </c>
      <c r="AY9" s="41">
        <f>SUMIF('OS Dev model'!$C$291:$C$319,Summary!$A9,'OS Dev model'!BK$291:BK$319)</f>
        <v>0</v>
      </c>
      <c r="AZ9" s="41">
        <f>SUMIF('OS Dev model'!$C$291:$C$319,Summary!$A9,'OS Dev model'!BL$291:BL$319)</f>
        <v>0</v>
      </c>
    </row>
    <row r="10" spans="1:52" s="2" customFormat="1" x14ac:dyDescent="0.3">
      <c r="A10" s="2" t="str">
        <f>'OS Dev model'!B293</f>
        <v>Hibiscus</v>
      </c>
      <c r="B10" s="2" t="str">
        <f t="shared" ref="B10:B35" si="8">C47</f>
        <v>Hibiscus</v>
      </c>
      <c r="C10" s="28">
        <v>10</v>
      </c>
      <c r="D10" s="49">
        <f>F47*'OS Dev model'!X26/SUM('OS Dev model'!X26,'OS Dev model'!X28:X33,'OS Dev model'!X36:X37)</f>
        <v>0</v>
      </c>
      <c r="E10" s="58">
        <f t="shared" si="0"/>
        <v>1</v>
      </c>
      <c r="F10" s="22">
        <f t="shared" ref="F10:F15" si="9">1-F47</f>
        <v>5.4696756659125767E-2</v>
      </c>
      <c r="G10" s="22">
        <f t="shared" si="1"/>
        <v>0.52734837832956294</v>
      </c>
      <c r="H10" s="41">
        <f t="shared" si="2"/>
        <v>34.831306491905465</v>
      </c>
      <c r="I10" s="41">
        <f t="shared" si="3"/>
        <v>29.732865984027722</v>
      </c>
      <c r="J10" s="41">
        <f t="shared" si="4"/>
        <v>5.0984405078777444</v>
      </c>
      <c r="K10" s="41">
        <f t="shared" si="5"/>
        <v>0</v>
      </c>
      <c r="L10" s="41">
        <f t="shared" si="6"/>
        <v>0</v>
      </c>
      <c r="M10" s="41">
        <f t="shared" si="7"/>
        <v>34.831306491905465</v>
      </c>
      <c r="N10" s="41">
        <f>SUMIF('OS Dev model'!$C$291:$C$319,Summary!$A10,'OS Dev model'!Z$291:Z$319)</f>
        <v>0.33360499999999998</v>
      </c>
      <c r="O10" s="41">
        <f>SUMIF('OS Dev model'!$C$291:$C$319,Summary!$A10,'OS Dev model'!AA$291:AA$319)</f>
        <v>0.63512599999999997</v>
      </c>
      <c r="P10" s="41">
        <f>SUMIF('OS Dev model'!$C$291:$C$319,Summary!$A10,'OS Dev model'!AB$291:AB$319)</f>
        <v>2</v>
      </c>
      <c r="Q10" s="41">
        <f>SUMIF('OS Dev model'!$C$291:$C$319,Summary!$A10,'OS Dev model'!AC$291:AC$319)</f>
        <v>6.8330544426291198</v>
      </c>
      <c r="R10" s="41">
        <f>SUMIF('OS Dev model'!$C$291:$C$319,Summary!$A10,'OS Dev model'!AD$291:AD$319)</f>
        <v>3.6097845564931323</v>
      </c>
      <c r="S10" s="41">
        <f>SUMIF('OS Dev model'!$C$291:$C$319,Summary!$A10,'OS Dev model'!AE$291:AE$319)</f>
        <v>10.056943223151913</v>
      </c>
      <c r="T10" s="41">
        <f>SUMIF('OS Dev model'!$C$291:$C$319,Summary!$A10,'OS Dev model'!AF$291:AF$319)</f>
        <v>2.620238063520314</v>
      </c>
      <c r="U10" s="41">
        <f>SUMIF('OS Dev model'!$C$291:$C$319,Summary!$A10,'OS Dev model'!AG$291:AG$319)</f>
        <v>0.35452035200245563</v>
      </c>
      <c r="V10" s="41">
        <f>SUMIF('OS Dev model'!$C$291:$C$319,Summary!$A10,'OS Dev model'!AH$291:AH$319)</f>
        <v>3.2895943462307855</v>
      </c>
      <c r="W10" s="41">
        <f>SUMIF('OS Dev model'!$C$291:$C$319,Summary!$A10,'OS Dev model'!AI$291:AI$319)</f>
        <v>0</v>
      </c>
      <c r="X10" s="41">
        <f>SUMIF('OS Dev model'!$C$291:$C$319,Summary!$A10,'OS Dev model'!AJ$291:AJ$319)</f>
        <v>0</v>
      </c>
      <c r="Y10" s="41">
        <f>SUMIF('OS Dev model'!$C$291:$C$319,Summary!$A10,'OS Dev model'!AK$291:AK$319)</f>
        <v>0</v>
      </c>
      <c r="Z10" s="41">
        <f>SUMIF('OS Dev model'!$C$291:$C$319,Summary!$A10,'OS Dev model'!AL$291:AL$319)</f>
        <v>0</v>
      </c>
      <c r="AA10" s="41">
        <f>SUMIF('OS Dev model'!$C$291:$C$319,Summary!$A10,'OS Dev model'!AM$291:AM$319)</f>
        <v>0</v>
      </c>
      <c r="AB10" s="41">
        <f>SUMIF('OS Dev model'!$C$291:$C$319,Summary!$A10,'OS Dev model'!AN$291:AN$319)</f>
        <v>0</v>
      </c>
      <c r="AC10" s="41">
        <f>SUMIF('OS Dev model'!$C$291:$C$319,Summary!$A10,'OS Dev model'!AO$291:AO$319)</f>
        <v>0</v>
      </c>
      <c r="AD10" s="41">
        <f>SUMIF('OS Dev model'!$C$291:$C$319,Summary!$A10,'OS Dev model'!AP$291:AP$319)</f>
        <v>0</v>
      </c>
      <c r="AE10" s="41">
        <f>SUMIF('OS Dev model'!$C$291:$C$319,Summary!$A10,'OS Dev model'!AQ$291:AQ$319)</f>
        <v>0</v>
      </c>
      <c r="AF10" s="41">
        <f>SUMIF('OS Dev model'!$C$291:$C$319,Summary!$A10,'OS Dev model'!AR$291:AR$319)</f>
        <v>0.49600549741003458</v>
      </c>
      <c r="AG10" s="41">
        <f>SUMIF('OS Dev model'!$C$291:$C$319,Summary!$A10,'OS Dev model'!AS$291:AS$319)</f>
        <v>4.6024350104677101</v>
      </c>
      <c r="AH10" s="41">
        <f>SUMIF('OS Dev model'!$C$291:$C$319,Summary!$A10,'OS Dev model'!AT$291:AT$319)</f>
        <v>0</v>
      </c>
      <c r="AI10" s="41">
        <f>SUMIF('OS Dev model'!$C$291:$C$319,Summary!$A10,'OS Dev model'!AU$291:AU$319)</f>
        <v>0</v>
      </c>
      <c r="AJ10" s="41">
        <f>SUMIF('OS Dev model'!$C$291:$C$319,Summary!$A10,'OS Dev model'!AV$291:AV$319)</f>
        <v>0</v>
      </c>
      <c r="AK10" s="41">
        <f>SUMIF('OS Dev model'!$C$291:$C$319,Summary!$A10,'OS Dev model'!AW$291:AW$319)</f>
        <v>0</v>
      </c>
      <c r="AL10" s="41">
        <f>SUMIF('OS Dev model'!$C$291:$C$319,Summary!$A10,'OS Dev model'!AX$291:AX$319)</f>
        <v>0</v>
      </c>
      <c r="AM10" s="41">
        <f>SUMIF('OS Dev model'!$C$291:$C$319,Summary!$A10,'OS Dev model'!AY$291:AY$319)</f>
        <v>0</v>
      </c>
      <c r="AN10" s="41">
        <f>SUMIF('OS Dev model'!$C$291:$C$319,Summary!$A10,'OS Dev model'!AZ$291:AZ$319)</f>
        <v>0</v>
      </c>
      <c r="AO10" s="41">
        <f>SUMIF('OS Dev model'!$C$291:$C$319,Summary!$A10,'OS Dev model'!BA$291:BA$319)</f>
        <v>0</v>
      </c>
      <c r="AP10" s="41">
        <f>SUMIF('OS Dev model'!$C$291:$C$319,Summary!$A10,'OS Dev model'!BB$291:BB$319)</f>
        <v>0</v>
      </c>
      <c r="AQ10" s="41">
        <f>SUMIF('OS Dev model'!$C$291:$C$319,Summary!$A10,'OS Dev model'!BC$291:BC$319)</f>
        <v>0</v>
      </c>
      <c r="AR10" s="41">
        <f>SUMIF('OS Dev model'!$C$291:$C$319,Summary!$A10,'OS Dev model'!BD$291:BD$319)</f>
        <v>0</v>
      </c>
      <c r="AS10" s="41">
        <f>SUMIF('OS Dev model'!$C$291:$C$319,Summary!$A10,'OS Dev model'!BE$291:BE$319)</f>
        <v>0</v>
      </c>
      <c r="AT10" s="41">
        <f>SUMIF('OS Dev model'!$C$291:$C$319,Summary!$A10,'OS Dev model'!BF$291:BF$319)</f>
        <v>0</v>
      </c>
      <c r="AU10" s="41">
        <f>SUMIF('OS Dev model'!$C$291:$C$319,Summary!$A10,'OS Dev model'!BG$291:BG$319)</f>
        <v>0</v>
      </c>
      <c r="AV10" s="41">
        <f>SUMIF('OS Dev model'!$C$291:$C$319,Summary!$A10,'OS Dev model'!BH$291:BH$319)</f>
        <v>0</v>
      </c>
      <c r="AW10" s="41">
        <f>SUMIF('OS Dev model'!$C$291:$C$319,Summary!$A10,'OS Dev model'!BI$291:BI$319)</f>
        <v>0</v>
      </c>
      <c r="AX10" s="41">
        <f>SUMIF('OS Dev model'!$C$291:$C$319,Summary!$A10,'OS Dev model'!BJ$291:BJ$319)</f>
        <v>0</v>
      </c>
      <c r="AY10" s="41">
        <f>SUMIF('OS Dev model'!$C$291:$C$319,Summary!$A10,'OS Dev model'!BK$291:BK$319)</f>
        <v>0</v>
      </c>
      <c r="AZ10" s="41">
        <f>SUMIF('OS Dev model'!$C$291:$C$319,Summary!$A10,'OS Dev model'!BL$291:BL$319)</f>
        <v>0</v>
      </c>
    </row>
    <row r="11" spans="1:52" s="2" customFormat="1" x14ac:dyDescent="0.3">
      <c r="A11" s="2" t="str">
        <f>'OS Dev model'!B294</f>
        <v>Wainui east MD</v>
      </c>
      <c r="B11" s="2" t="str">
        <f t="shared" si="8"/>
        <v>Wainui East / Milldale</v>
      </c>
      <c r="C11" s="28">
        <v>10</v>
      </c>
      <c r="D11" s="49">
        <f>F48*'OS Dev model'!X40/SUM('OS Dev model'!X34,'OS Dev model'!X39:X40)</f>
        <v>1.0630507384098244E-2</v>
      </c>
      <c r="E11" s="58">
        <f t="shared" si="0"/>
        <v>0.98936949261590179</v>
      </c>
      <c r="F11" s="22">
        <f t="shared" si="9"/>
        <v>0.84754740975375997</v>
      </c>
      <c r="G11" s="22">
        <f t="shared" si="1"/>
        <v>0.91845845118483083</v>
      </c>
      <c r="H11" s="41">
        <f t="shared" si="2"/>
        <v>43.143985601049025</v>
      </c>
      <c r="I11" s="41">
        <f t="shared" si="3"/>
        <v>13.985652179787039</v>
      </c>
      <c r="J11" s="41">
        <f t="shared" si="4"/>
        <v>29.15833342126199</v>
      </c>
      <c r="K11" s="41">
        <f t="shared" si="5"/>
        <v>0</v>
      </c>
      <c r="L11" s="41">
        <f t="shared" si="6"/>
        <v>0</v>
      </c>
      <c r="M11" s="41">
        <f t="shared" si="7"/>
        <v>43.143985601049025</v>
      </c>
      <c r="N11" s="41">
        <f>SUMIF('OS Dev model'!$C$291:$C$319,Summary!$A11,'OS Dev model'!Z$291:Z$319)</f>
        <v>5.921001E-2</v>
      </c>
      <c r="O11" s="41">
        <f>SUMIF('OS Dev model'!$C$291:$C$319,Summary!$A11,'OS Dev model'!AA$291:AA$319)</f>
        <v>0.66570200000000002</v>
      </c>
      <c r="P11" s="41">
        <f>SUMIF('OS Dev model'!$C$291:$C$319,Summary!$A11,'OS Dev model'!AB$291:AB$319)</f>
        <v>1.2569129999999999</v>
      </c>
      <c r="Q11" s="41">
        <f>SUMIF('OS Dev model'!$C$291:$C$319,Summary!$A11,'OS Dev model'!AC$291:AC$319)</f>
        <v>2.0166104547939363</v>
      </c>
      <c r="R11" s="41">
        <f>SUMIF('OS Dev model'!$C$291:$C$319,Summary!$A11,'OS Dev model'!AD$291:AD$319)</f>
        <v>3.2349321489254859</v>
      </c>
      <c r="S11" s="41">
        <f>SUMIF('OS Dev model'!$C$291:$C$319,Summary!$A11,'OS Dev model'!AE$291:AE$319)</f>
        <v>0.70225693978775527</v>
      </c>
      <c r="T11" s="41">
        <f>SUMIF('OS Dev model'!$C$291:$C$319,Summary!$A11,'OS Dev model'!AF$291:AF$319)</f>
        <v>1.2354355161854855</v>
      </c>
      <c r="U11" s="41">
        <f>SUMIF('OS Dev model'!$C$291:$C$319,Summary!$A11,'OS Dev model'!AG$291:AG$319)</f>
        <v>1.5249977638635888</v>
      </c>
      <c r="V11" s="41">
        <f>SUMIF('OS Dev model'!$C$291:$C$319,Summary!$A11,'OS Dev model'!AH$291:AH$319)</f>
        <v>3.2895943462307864</v>
      </c>
      <c r="W11" s="41">
        <f>SUMIF('OS Dev model'!$C$291:$C$319,Summary!$A11,'OS Dev model'!AI$291:AI$319)</f>
        <v>0</v>
      </c>
      <c r="X11" s="41">
        <f>SUMIF('OS Dev model'!$C$291:$C$319,Summary!$A11,'OS Dev model'!AJ$291:AJ$319)</f>
        <v>0.38852338842931355</v>
      </c>
      <c r="Y11" s="41">
        <f>SUMIF('OS Dev model'!$C$291:$C$319,Summary!$A11,'OS Dev model'!AK$291:AK$319)</f>
        <v>3.6051085212356</v>
      </c>
      <c r="Z11" s="41">
        <f>SUMIF('OS Dev model'!$C$291:$C$319,Summary!$A11,'OS Dev model'!AL$291:AL$319)</f>
        <v>0.41298520948821144</v>
      </c>
      <c r="AA11" s="41">
        <f>SUMIF('OS Dev model'!$C$291:$C$319,Summary!$A11,'OS Dev model'!AM$291:AM$319)</f>
        <v>3.8320897588411142</v>
      </c>
      <c r="AB11" s="41">
        <f>SUMIF('OS Dev model'!$C$291:$C$319,Summary!$A11,'OS Dev model'!AN$291:AN$319)</f>
        <v>1.0630539188763981</v>
      </c>
      <c r="AC11" s="41">
        <f>SUMIF('OS Dev model'!$C$291:$C$319,Summary!$A11,'OS Dev model'!AO$291:AO$319)</f>
        <v>5.1693705525090756</v>
      </c>
      <c r="AD11" s="41">
        <f>SUMIF('OS Dev model'!$C$291:$C$319,Summary!$A11,'OS Dev model'!AP$291:AP$319)</f>
        <v>6.8530706394144776</v>
      </c>
      <c r="AE11" s="41">
        <f>SUMIF('OS Dev model'!$C$291:$C$319,Summary!$A11,'OS Dev model'!AQ$291:AQ$319)</f>
        <v>2.7356909245900489</v>
      </c>
      <c r="AF11" s="41">
        <f>SUMIF('OS Dev model'!$C$291:$C$319,Summary!$A11,'OS Dev model'!AR$291:AR$319)</f>
        <v>0.49600549741003458</v>
      </c>
      <c r="AG11" s="41">
        <f>SUMIF('OS Dev model'!$C$291:$C$319,Summary!$A11,'OS Dev model'!AS$291:AS$319)</f>
        <v>4.602435010467711</v>
      </c>
      <c r="AH11" s="41">
        <f>SUMIF('OS Dev model'!$C$291:$C$319,Summary!$A11,'OS Dev model'!AT$291:AT$319)</f>
        <v>0</v>
      </c>
      <c r="AI11" s="41">
        <f>SUMIF('OS Dev model'!$C$291:$C$319,Summary!$A11,'OS Dev model'!AU$291:AU$319)</f>
        <v>0</v>
      </c>
      <c r="AJ11" s="41">
        <f>SUMIF('OS Dev model'!$C$291:$C$319,Summary!$A11,'OS Dev model'!AV$291:AV$319)</f>
        <v>0</v>
      </c>
      <c r="AK11" s="41">
        <f>SUMIF('OS Dev model'!$C$291:$C$319,Summary!$A11,'OS Dev model'!AW$291:AW$319)</f>
        <v>0</v>
      </c>
      <c r="AL11" s="41">
        <f>SUMIF('OS Dev model'!$C$291:$C$319,Summary!$A11,'OS Dev model'!AX$291:AX$319)</f>
        <v>0</v>
      </c>
      <c r="AM11" s="41">
        <f>SUMIF('OS Dev model'!$C$291:$C$319,Summary!$A11,'OS Dev model'!AY$291:AY$319)</f>
        <v>0</v>
      </c>
      <c r="AN11" s="41">
        <f>SUMIF('OS Dev model'!$C$291:$C$319,Summary!$A11,'OS Dev model'!AZ$291:AZ$319)</f>
        <v>0</v>
      </c>
      <c r="AO11" s="41">
        <f>SUMIF('OS Dev model'!$C$291:$C$319,Summary!$A11,'OS Dev model'!BA$291:BA$319)</f>
        <v>0</v>
      </c>
      <c r="AP11" s="41">
        <f>SUMIF('OS Dev model'!$C$291:$C$319,Summary!$A11,'OS Dev model'!BB$291:BB$319)</f>
        <v>0</v>
      </c>
      <c r="AQ11" s="41">
        <f>SUMIF('OS Dev model'!$C$291:$C$319,Summary!$A11,'OS Dev model'!BC$291:BC$319)</f>
        <v>0</v>
      </c>
      <c r="AR11" s="41">
        <f>SUMIF('OS Dev model'!$C$291:$C$319,Summary!$A11,'OS Dev model'!BD$291:BD$319)</f>
        <v>0</v>
      </c>
      <c r="AS11" s="41">
        <f>SUMIF('OS Dev model'!$C$291:$C$319,Summary!$A11,'OS Dev model'!BE$291:BE$319)</f>
        <v>0</v>
      </c>
      <c r="AT11" s="41">
        <f>SUMIF('OS Dev model'!$C$291:$C$319,Summary!$A11,'OS Dev model'!BF$291:BF$319)</f>
        <v>0</v>
      </c>
      <c r="AU11" s="41">
        <f>SUMIF('OS Dev model'!$C$291:$C$319,Summary!$A11,'OS Dev model'!BG$291:BG$319)</f>
        <v>0</v>
      </c>
      <c r="AV11" s="41">
        <f>SUMIF('OS Dev model'!$C$291:$C$319,Summary!$A11,'OS Dev model'!BH$291:BH$319)</f>
        <v>0</v>
      </c>
      <c r="AW11" s="41">
        <f>SUMIF('OS Dev model'!$C$291:$C$319,Summary!$A11,'OS Dev model'!BI$291:BI$319)</f>
        <v>0</v>
      </c>
      <c r="AX11" s="41">
        <f>SUMIF('OS Dev model'!$C$291:$C$319,Summary!$A11,'OS Dev model'!BJ$291:BJ$319)</f>
        <v>0</v>
      </c>
      <c r="AY11" s="41">
        <f>SUMIF('OS Dev model'!$C$291:$C$319,Summary!$A11,'OS Dev model'!BK$291:BK$319)</f>
        <v>0</v>
      </c>
      <c r="AZ11" s="41">
        <f>SUMIF('OS Dev model'!$C$291:$C$319,Summary!$A11,'OS Dev model'!BL$291:BL$319)</f>
        <v>0</v>
      </c>
    </row>
    <row r="12" spans="1:52" s="2" customFormat="1" x14ac:dyDescent="0.3">
      <c r="A12" s="2" t="str">
        <f>'OS Dev model'!B295</f>
        <v>Dairy Flat (incl W.East new)</v>
      </c>
      <c r="B12" s="2" t="str">
        <f t="shared" si="8"/>
        <v>Upper Orewa / Dairy Flat</v>
      </c>
      <c r="C12" s="28">
        <v>10</v>
      </c>
      <c r="D12" s="49">
        <f>F49</f>
        <v>0.39264875688710421</v>
      </c>
      <c r="E12" s="58">
        <f t="shared" si="0"/>
        <v>0.60735124311289579</v>
      </c>
      <c r="F12" s="22">
        <f t="shared" si="9"/>
        <v>0.60735124311289579</v>
      </c>
      <c r="G12" s="22">
        <f t="shared" si="1"/>
        <v>0.60735124311289579</v>
      </c>
      <c r="H12" s="41">
        <f t="shared" si="2"/>
        <v>42.559585513331669</v>
      </c>
      <c r="I12" s="41">
        <f t="shared" si="3"/>
        <v>0.27336199999999999</v>
      </c>
      <c r="J12" s="41">
        <f t="shared" si="4"/>
        <v>0</v>
      </c>
      <c r="K12" s="41">
        <f t="shared" si="5"/>
        <v>42.286223513331677</v>
      </c>
      <c r="L12" s="41">
        <f t="shared" si="6"/>
        <v>429.79310439030513</v>
      </c>
      <c r="M12" s="41">
        <f t="shared" si="7"/>
        <v>472.35268990363676</v>
      </c>
      <c r="N12" s="41">
        <f>SUMIF('OS Dev model'!$C$291:$C$319,Summary!$A12,'OS Dev model'!Z$291:Z$319)</f>
        <v>0</v>
      </c>
      <c r="O12" s="41">
        <f>SUMIF('OS Dev model'!$C$291:$C$319,Summary!$A12,'OS Dev model'!AA$291:AA$319)</f>
        <v>7.3361999999999997E-2</v>
      </c>
      <c r="P12" s="41">
        <f>SUMIF('OS Dev model'!$C$291:$C$319,Summary!$A12,'OS Dev model'!AB$291:AB$319)</f>
        <v>0.2</v>
      </c>
      <c r="Q12" s="41">
        <f>SUMIF('OS Dev model'!$C$291:$C$319,Summary!$A12,'OS Dev model'!AC$291:AC$319)</f>
        <v>0</v>
      </c>
      <c r="R12" s="41">
        <f>SUMIF('OS Dev model'!$C$291:$C$319,Summary!$A12,'OS Dev model'!AD$291:AD$319)</f>
        <v>0</v>
      </c>
      <c r="S12" s="41">
        <f>SUMIF('OS Dev model'!$C$291:$C$319,Summary!$A12,'OS Dev model'!AE$291:AE$319)</f>
        <v>0</v>
      </c>
      <c r="T12" s="41">
        <f>SUMIF('OS Dev model'!$C$291:$C$319,Summary!$A12,'OS Dev model'!AF$291:AF$319)</f>
        <v>0</v>
      </c>
      <c r="U12" s="41">
        <f>SUMIF('OS Dev model'!$C$291:$C$319,Summary!$A12,'OS Dev model'!AG$291:AG$319)</f>
        <v>0</v>
      </c>
      <c r="V12" s="41">
        <f>SUMIF('OS Dev model'!$C$291:$C$319,Summary!$A12,'OS Dev model'!AH$291:AH$319)</f>
        <v>0</v>
      </c>
      <c r="W12" s="41">
        <f>SUMIF('OS Dev model'!$C$291:$C$319,Summary!$A12,'OS Dev model'!AI$291:AI$319)</f>
        <v>0</v>
      </c>
      <c r="X12" s="41">
        <f>SUMIF('OS Dev model'!$C$291:$C$319,Summary!$A12,'OS Dev model'!AJ$291:AJ$319)</f>
        <v>0</v>
      </c>
      <c r="Y12" s="41">
        <f>SUMIF('OS Dev model'!$C$291:$C$319,Summary!$A12,'OS Dev model'!AK$291:AK$319)</f>
        <v>0</v>
      </c>
      <c r="Z12" s="41">
        <f>SUMIF('OS Dev model'!$C$291:$C$319,Summary!$A12,'OS Dev model'!AL$291:AL$319)</f>
        <v>0</v>
      </c>
      <c r="AA12" s="41">
        <f>SUMIF('OS Dev model'!$C$291:$C$319,Summary!$A12,'OS Dev model'!AM$291:AM$319)</f>
        <v>0</v>
      </c>
      <c r="AB12" s="41">
        <f>SUMIF('OS Dev model'!$C$291:$C$319,Summary!$A12,'OS Dev model'!AN$291:AN$319)</f>
        <v>0</v>
      </c>
      <c r="AC12" s="41">
        <f>SUMIF('OS Dev model'!$C$291:$C$319,Summary!$A12,'OS Dev model'!AO$291:AO$319)</f>
        <v>0</v>
      </c>
      <c r="AD12" s="41">
        <f>SUMIF('OS Dev model'!$C$291:$C$319,Summary!$A12,'OS Dev model'!AP$291:AP$319)</f>
        <v>0</v>
      </c>
      <c r="AE12" s="41">
        <f>SUMIF('OS Dev model'!$C$291:$C$319,Summary!$A12,'OS Dev model'!AQ$291:AQ$319)</f>
        <v>0</v>
      </c>
      <c r="AF12" s="41">
        <f>SUMIF('OS Dev model'!$C$291:$C$319,Summary!$A12,'OS Dev model'!AR$291:AR$319)</f>
        <v>0</v>
      </c>
      <c r="AG12" s="41">
        <f>SUMIF('OS Dev model'!$C$291:$C$319,Summary!$A12,'OS Dev model'!AS$291:AS$319)</f>
        <v>0</v>
      </c>
      <c r="AH12" s="41">
        <f>SUMIF('OS Dev model'!$C$291:$C$319,Summary!$A12,'OS Dev model'!AT$291:AT$319)</f>
        <v>0</v>
      </c>
      <c r="AI12" s="41">
        <f>SUMIF('OS Dev model'!$C$291:$C$319,Summary!$A12,'OS Dev model'!AU$291:AU$319)</f>
        <v>3.2614726141078449</v>
      </c>
      <c r="AJ12" s="41">
        <f>SUMIF('OS Dev model'!$C$291:$C$319,Summary!$A12,'OS Dev model'!AV$291:AV$319)</f>
        <v>30.263204386306693</v>
      </c>
      <c r="AK12" s="41">
        <f>SUMIF('OS Dev model'!$C$291:$C$319,Summary!$A12,'OS Dev model'!AW$291:AW$319)</f>
        <v>0.82140819249492858</v>
      </c>
      <c r="AL12" s="41">
        <f>SUMIF('OS Dev model'!$C$291:$C$319,Summary!$A12,'OS Dev model'!AX$291:AX$319)</f>
        <v>0.84687184646227132</v>
      </c>
      <c r="AM12" s="41">
        <f>SUMIF('OS Dev model'!$C$291:$C$319,Summary!$A12,'OS Dev model'!AY$291:AY$319)</f>
        <v>3.4924994948104064</v>
      </c>
      <c r="AN12" s="41">
        <f>SUMIF('OS Dev model'!$C$291:$C$319,Summary!$A12,'OS Dev model'!AZ$291:AZ$319)</f>
        <v>3.6007669791495283</v>
      </c>
      <c r="AO12" s="41">
        <f>SUMIF('OS Dev model'!$C$291:$C$319,Summary!$A12,'OS Dev model'!BA$291:BA$319)</f>
        <v>0</v>
      </c>
      <c r="AP12" s="41">
        <f>SUMIF('OS Dev model'!$C$291:$C$319,Summary!$A12,'OS Dev model'!BB$291:BB$319)</f>
        <v>0</v>
      </c>
      <c r="AQ12" s="41">
        <f>SUMIF('OS Dev model'!$C$291:$C$319,Summary!$A12,'OS Dev model'!BC$291:BC$319)</f>
        <v>0</v>
      </c>
      <c r="AR12" s="41">
        <f>SUMIF('OS Dev model'!$C$291:$C$319,Summary!$A12,'OS Dev model'!BD$291:BD$319)</f>
        <v>0</v>
      </c>
      <c r="AS12" s="41">
        <f>SUMIF('OS Dev model'!$C$291:$C$319,Summary!$A12,'OS Dev model'!BE$291:BE$319)</f>
        <v>0</v>
      </c>
      <c r="AT12" s="41">
        <f>SUMIF('OS Dev model'!$C$291:$C$319,Summary!$A12,'OS Dev model'!BF$291:BF$319)</f>
        <v>0</v>
      </c>
      <c r="AU12" s="41">
        <f>SUMIF('OS Dev model'!$C$291:$C$319,Summary!$A12,'OS Dev model'!BG$291:BG$319)</f>
        <v>41.51859170485146</v>
      </c>
      <c r="AV12" s="41">
        <f>SUMIF('OS Dev model'!$C$291:$C$319,Summary!$A12,'OS Dev model'!BH$291:BH$319)</f>
        <v>320.89451864706712</v>
      </c>
      <c r="AW12" s="41">
        <f>SUMIF('OS Dev model'!$C$291:$C$319,Summary!$A12,'OS Dev model'!BI$291:BI$319)</f>
        <v>33.175772544749655</v>
      </c>
      <c r="AX12" s="41">
        <f>SUMIF('OS Dev model'!$C$291:$C$319,Summary!$A12,'OS Dev model'!BJ$291:BJ$319)</f>
        <v>34.204221493636894</v>
      </c>
      <c r="AY12" s="41">
        <f>SUMIF('OS Dev model'!$C$291:$C$319,Summary!$A12,'OS Dev model'!BK$291:BK$319)</f>
        <v>0</v>
      </c>
      <c r="AZ12" s="41">
        <f>SUMIF('OS Dev model'!$C$291:$C$319,Summary!$A12,'OS Dev model'!BL$291:BL$319)</f>
        <v>0</v>
      </c>
    </row>
    <row r="13" spans="1:52" s="2" customFormat="1" x14ac:dyDescent="0.3">
      <c r="A13" s="2" t="str">
        <f>'OS Dev model'!B296</f>
        <v>North Shore</v>
      </c>
      <c r="B13" s="2" t="str">
        <f t="shared" si="8"/>
        <v>North Shore</v>
      </c>
      <c r="C13" s="28">
        <v>10</v>
      </c>
      <c r="D13" s="49">
        <f>F50*'OS Dev model'!X54/SUM('OS Dev model'!X54,'OS Dev model'!X55)</f>
        <v>0.17766247986604697</v>
      </c>
      <c r="E13" s="58">
        <f t="shared" si="0"/>
        <v>0.822337520133953</v>
      </c>
      <c r="F13" s="22">
        <f t="shared" si="9"/>
        <v>0.14499931564464918</v>
      </c>
      <c r="G13" s="22">
        <f t="shared" si="1"/>
        <v>0.48366841788930109</v>
      </c>
      <c r="H13" s="41">
        <f t="shared" si="2"/>
        <v>7.4084405078777449</v>
      </c>
      <c r="I13" s="41">
        <f t="shared" si="3"/>
        <v>2.31</v>
      </c>
      <c r="J13" s="41">
        <f t="shared" si="4"/>
        <v>5.0984405078777444</v>
      </c>
      <c r="K13" s="41">
        <f t="shared" si="5"/>
        <v>0</v>
      </c>
      <c r="L13" s="41">
        <f t="shared" si="6"/>
        <v>0</v>
      </c>
      <c r="M13" s="41">
        <f t="shared" si="7"/>
        <v>7.4084405078777449</v>
      </c>
      <c r="N13" s="41">
        <f>SUMIF('OS Dev model'!$C$291:$C$319,Summary!$A13,'OS Dev model'!Z$291:Z$319)</f>
        <v>0.08</v>
      </c>
      <c r="O13" s="41">
        <f>SUMIF('OS Dev model'!$C$291:$C$319,Summary!$A13,'OS Dev model'!AA$291:AA$319)</f>
        <v>0.35</v>
      </c>
      <c r="P13" s="41">
        <f>SUMIF('OS Dev model'!$C$291:$C$319,Summary!$A13,'OS Dev model'!AB$291:AB$319)</f>
        <v>1.88</v>
      </c>
      <c r="Q13" s="41">
        <f>SUMIF('OS Dev model'!$C$291:$C$319,Summary!$A13,'OS Dev model'!AC$291:AC$319)</f>
        <v>0</v>
      </c>
      <c r="R13" s="41">
        <f>SUMIF('OS Dev model'!$C$291:$C$319,Summary!$A13,'OS Dev model'!AD$291:AD$319)</f>
        <v>0</v>
      </c>
      <c r="S13" s="41">
        <f>SUMIF('OS Dev model'!$C$291:$C$319,Summary!$A13,'OS Dev model'!AE$291:AE$319)</f>
        <v>0</v>
      </c>
      <c r="T13" s="41">
        <f>SUMIF('OS Dev model'!$C$291:$C$319,Summary!$A13,'OS Dev model'!AF$291:AF$319)</f>
        <v>0</v>
      </c>
      <c r="U13" s="41">
        <f>SUMIF('OS Dev model'!$C$291:$C$319,Summary!$A13,'OS Dev model'!AG$291:AG$319)</f>
        <v>0</v>
      </c>
      <c r="V13" s="41">
        <f>SUMIF('OS Dev model'!$C$291:$C$319,Summary!$A13,'OS Dev model'!AH$291:AH$319)</f>
        <v>0</v>
      </c>
      <c r="W13" s="41">
        <f>SUMIF('OS Dev model'!$C$291:$C$319,Summary!$A13,'OS Dev model'!AI$291:AI$319)</f>
        <v>0</v>
      </c>
      <c r="X13" s="41">
        <f>SUMIF('OS Dev model'!$C$291:$C$319,Summary!$A13,'OS Dev model'!AJ$291:AJ$319)</f>
        <v>0</v>
      </c>
      <c r="Y13" s="41">
        <f>SUMIF('OS Dev model'!$C$291:$C$319,Summary!$A13,'OS Dev model'!AK$291:AK$319)</f>
        <v>0</v>
      </c>
      <c r="Z13" s="41">
        <f>SUMIF('OS Dev model'!$C$291:$C$319,Summary!$A13,'OS Dev model'!AL$291:AL$319)</f>
        <v>0</v>
      </c>
      <c r="AA13" s="41">
        <f>SUMIF('OS Dev model'!$C$291:$C$319,Summary!$A13,'OS Dev model'!AM$291:AM$319)</f>
        <v>0</v>
      </c>
      <c r="AB13" s="41">
        <f>SUMIF('OS Dev model'!$C$291:$C$319,Summary!$A13,'OS Dev model'!AN$291:AN$319)</f>
        <v>0</v>
      </c>
      <c r="AC13" s="41">
        <f>SUMIF('OS Dev model'!$C$291:$C$319,Summary!$A13,'OS Dev model'!AO$291:AO$319)</f>
        <v>0</v>
      </c>
      <c r="AD13" s="41">
        <f>SUMIF('OS Dev model'!$C$291:$C$319,Summary!$A13,'OS Dev model'!AP$291:AP$319)</f>
        <v>0</v>
      </c>
      <c r="AE13" s="41">
        <f>SUMIF('OS Dev model'!$C$291:$C$319,Summary!$A13,'OS Dev model'!AQ$291:AQ$319)</f>
        <v>0</v>
      </c>
      <c r="AF13" s="41">
        <f>SUMIF('OS Dev model'!$C$291:$C$319,Summary!$A13,'OS Dev model'!AR$291:AR$319)</f>
        <v>0.49600549741003458</v>
      </c>
      <c r="AG13" s="41">
        <f>SUMIF('OS Dev model'!$C$291:$C$319,Summary!$A13,'OS Dev model'!AS$291:AS$319)</f>
        <v>4.6024350104677101</v>
      </c>
      <c r="AH13" s="41">
        <f>SUMIF('OS Dev model'!$C$291:$C$319,Summary!$A13,'OS Dev model'!AT$291:AT$319)</f>
        <v>0</v>
      </c>
      <c r="AI13" s="41">
        <f>SUMIF('OS Dev model'!$C$291:$C$319,Summary!$A13,'OS Dev model'!AU$291:AU$319)</f>
        <v>0</v>
      </c>
      <c r="AJ13" s="41">
        <f>SUMIF('OS Dev model'!$C$291:$C$319,Summary!$A13,'OS Dev model'!AV$291:AV$319)</f>
        <v>0</v>
      </c>
      <c r="AK13" s="41">
        <f>SUMIF('OS Dev model'!$C$291:$C$319,Summary!$A13,'OS Dev model'!AW$291:AW$319)</f>
        <v>0</v>
      </c>
      <c r="AL13" s="41">
        <f>SUMIF('OS Dev model'!$C$291:$C$319,Summary!$A13,'OS Dev model'!AX$291:AX$319)</f>
        <v>0</v>
      </c>
      <c r="AM13" s="41">
        <f>SUMIF('OS Dev model'!$C$291:$C$319,Summary!$A13,'OS Dev model'!AY$291:AY$319)</f>
        <v>0</v>
      </c>
      <c r="AN13" s="41">
        <f>SUMIF('OS Dev model'!$C$291:$C$319,Summary!$A13,'OS Dev model'!AZ$291:AZ$319)</f>
        <v>0</v>
      </c>
      <c r="AO13" s="41">
        <f>SUMIF('OS Dev model'!$C$291:$C$319,Summary!$A13,'OS Dev model'!BA$291:BA$319)</f>
        <v>0</v>
      </c>
      <c r="AP13" s="41">
        <f>SUMIF('OS Dev model'!$C$291:$C$319,Summary!$A13,'OS Dev model'!BB$291:BB$319)</f>
        <v>0</v>
      </c>
      <c r="AQ13" s="41">
        <f>SUMIF('OS Dev model'!$C$291:$C$319,Summary!$A13,'OS Dev model'!BC$291:BC$319)</f>
        <v>0</v>
      </c>
      <c r="AR13" s="41">
        <f>SUMIF('OS Dev model'!$C$291:$C$319,Summary!$A13,'OS Dev model'!BD$291:BD$319)</f>
        <v>0</v>
      </c>
      <c r="AS13" s="41">
        <f>SUMIF('OS Dev model'!$C$291:$C$319,Summary!$A13,'OS Dev model'!BE$291:BE$319)</f>
        <v>0</v>
      </c>
      <c r="AT13" s="41">
        <f>SUMIF('OS Dev model'!$C$291:$C$319,Summary!$A13,'OS Dev model'!BF$291:BF$319)</f>
        <v>0</v>
      </c>
      <c r="AU13" s="41">
        <f>SUMIF('OS Dev model'!$C$291:$C$319,Summary!$A13,'OS Dev model'!BG$291:BG$319)</f>
        <v>0</v>
      </c>
      <c r="AV13" s="41">
        <f>SUMIF('OS Dev model'!$C$291:$C$319,Summary!$A13,'OS Dev model'!BH$291:BH$319)</f>
        <v>0</v>
      </c>
      <c r="AW13" s="41">
        <f>SUMIF('OS Dev model'!$C$291:$C$319,Summary!$A13,'OS Dev model'!BI$291:BI$319)</f>
        <v>0</v>
      </c>
      <c r="AX13" s="41">
        <f>SUMIF('OS Dev model'!$C$291:$C$319,Summary!$A13,'OS Dev model'!BJ$291:BJ$319)</f>
        <v>0</v>
      </c>
      <c r="AY13" s="41">
        <f>SUMIF('OS Dev model'!$C$291:$C$319,Summary!$A13,'OS Dev model'!BK$291:BK$319)</f>
        <v>0</v>
      </c>
      <c r="AZ13" s="41">
        <f>SUMIF('OS Dev model'!$C$291:$C$319,Summary!$A13,'OS Dev model'!BL$291:BL$319)</f>
        <v>0</v>
      </c>
    </row>
    <row r="14" spans="1:52" s="2" customFormat="1" x14ac:dyDescent="0.3">
      <c r="A14" s="2" t="str">
        <f>'OS Dev model'!B297</f>
        <v>Rural NW</v>
      </c>
      <c r="B14" s="2" t="str">
        <f t="shared" si="8"/>
        <v>Rural West</v>
      </c>
      <c r="C14" s="28">
        <v>10</v>
      </c>
      <c r="D14" s="49">
        <f>F75</f>
        <v>0.86233304241942577</v>
      </c>
      <c r="E14" s="58">
        <f t="shared" si="0"/>
        <v>0.13766695758057423</v>
      </c>
      <c r="F14" s="22">
        <f t="shared" si="9"/>
        <v>2.9633206054320294E-3</v>
      </c>
      <c r="G14" s="30">
        <f t="shared" si="1"/>
        <v>7.0315139093003132E-2</v>
      </c>
      <c r="H14" s="41">
        <f t="shared" si="2"/>
        <v>17.37533850020727</v>
      </c>
      <c r="I14" s="41">
        <f t="shared" si="3"/>
        <v>0.61299999999999999</v>
      </c>
      <c r="J14" s="41">
        <f t="shared" si="4"/>
        <v>0</v>
      </c>
      <c r="K14" s="41">
        <f t="shared" si="5"/>
        <v>16.762338500207271</v>
      </c>
      <c r="L14" s="41">
        <f t="shared" si="6"/>
        <v>0</v>
      </c>
      <c r="M14" s="41">
        <f t="shared" si="7"/>
        <v>17.37533850020727</v>
      </c>
      <c r="N14" s="41">
        <f>SUMIF('OS Dev model'!$C$291:$C$319,Summary!$A14,'OS Dev model'!Z$291:Z$319)</f>
        <v>0.61299999999999999</v>
      </c>
      <c r="O14" s="41">
        <f>SUMIF('OS Dev model'!$C$291:$C$319,Summary!$A14,'OS Dev model'!AA$291:AA$319)</f>
        <v>0</v>
      </c>
      <c r="P14" s="41">
        <f>SUMIF('OS Dev model'!$C$291:$C$319,Summary!$A14,'OS Dev model'!AB$291:AB$319)</f>
        <v>0</v>
      </c>
      <c r="Q14" s="41">
        <f>SUMIF('OS Dev model'!$C$291:$C$319,Summary!$A14,'OS Dev model'!AC$291:AC$319)</f>
        <v>0</v>
      </c>
      <c r="R14" s="41">
        <f>SUMIF('OS Dev model'!$C$291:$C$319,Summary!$A14,'OS Dev model'!AD$291:AD$319)</f>
        <v>0</v>
      </c>
      <c r="S14" s="41">
        <f>SUMIF('OS Dev model'!$C$291:$C$319,Summary!$A14,'OS Dev model'!AE$291:AE$319)</f>
        <v>0</v>
      </c>
      <c r="T14" s="41">
        <f>SUMIF('OS Dev model'!$C$291:$C$319,Summary!$A14,'OS Dev model'!AF$291:AF$319)</f>
        <v>0</v>
      </c>
      <c r="U14" s="41">
        <f>SUMIF('OS Dev model'!$C$291:$C$319,Summary!$A14,'OS Dev model'!AG$291:AG$319)</f>
        <v>0</v>
      </c>
      <c r="V14" s="41">
        <f>SUMIF('OS Dev model'!$C$291:$C$319,Summary!$A14,'OS Dev model'!AH$291:AH$319)</f>
        <v>0</v>
      </c>
      <c r="W14" s="41">
        <f>SUMIF('OS Dev model'!$C$291:$C$319,Summary!$A14,'OS Dev model'!AI$291:AI$319)</f>
        <v>0</v>
      </c>
      <c r="X14" s="41">
        <f>SUMIF('OS Dev model'!$C$291:$C$319,Summary!$A14,'OS Dev model'!AJ$291:AJ$319)</f>
        <v>0</v>
      </c>
      <c r="Y14" s="41">
        <f>SUMIF('OS Dev model'!$C$291:$C$319,Summary!$A14,'OS Dev model'!AK$291:AK$319)</f>
        <v>0</v>
      </c>
      <c r="Z14" s="41">
        <f>SUMIF('OS Dev model'!$C$291:$C$319,Summary!$A14,'OS Dev model'!AL$291:AL$319)</f>
        <v>0</v>
      </c>
      <c r="AA14" s="41">
        <f>SUMIF('OS Dev model'!$C$291:$C$319,Summary!$A14,'OS Dev model'!AM$291:AM$319)</f>
        <v>0</v>
      </c>
      <c r="AB14" s="41">
        <f>SUMIF('OS Dev model'!$C$291:$C$319,Summary!$A14,'OS Dev model'!AN$291:AN$319)</f>
        <v>0</v>
      </c>
      <c r="AC14" s="41">
        <f>SUMIF('OS Dev model'!$C$291:$C$319,Summary!$A14,'OS Dev model'!AO$291:AO$319)</f>
        <v>0</v>
      </c>
      <c r="AD14" s="41">
        <f>SUMIF('OS Dev model'!$C$291:$C$319,Summary!$A14,'OS Dev model'!AP$291:AP$319)</f>
        <v>0</v>
      </c>
      <c r="AE14" s="41">
        <f>SUMIF('OS Dev model'!$C$291:$C$319,Summary!$A14,'OS Dev model'!AQ$291:AQ$319)</f>
        <v>0</v>
      </c>
      <c r="AF14" s="41">
        <f>SUMIF('OS Dev model'!$C$291:$C$319,Summary!$A14,'OS Dev model'!AR$291:AR$319)</f>
        <v>0</v>
      </c>
      <c r="AG14" s="41">
        <f>SUMIF('OS Dev model'!$C$291:$C$319,Summary!$A14,'OS Dev model'!AS$291:AS$319)</f>
        <v>0</v>
      </c>
      <c r="AH14" s="41">
        <f>SUMIF('OS Dev model'!$C$291:$C$319,Summary!$A14,'OS Dev model'!AT$291:AT$319)</f>
        <v>0</v>
      </c>
      <c r="AI14" s="41">
        <f>SUMIF('OS Dev model'!$C$291:$C$319,Summary!$A14,'OS Dev model'!AU$291:AU$319)</f>
        <v>1.6307363070539225</v>
      </c>
      <c r="AJ14" s="41">
        <f>SUMIF('OS Dev model'!$C$291:$C$319,Summary!$A14,'OS Dev model'!AV$291:AV$319)</f>
        <v>15.131602193153347</v>
      </c>
      <c r="AK14" s="41">
        <f>SUMIF('OS Dev model'!$C$291:$C$319,Summary!$A14,'OS Dev model'!AW$291:AW$319)</f>
        <v>0</v>
      </c>
      <c r="AL14" s="41">
        <f>SUMIF('OS Dev model'!$C$291:$C$319,Summary!$A14,'OS Dev model'!AX$291:AX$319)</f>
        <v>0</v>
      </c>
      <c r="AM14" s="41">
        <f>SUMIF('OS Dev model'!$C$291:$C$319,Summary!$A14,'OS Dev model'!AY$291:AY$319)</f>
        <v>0</v>
      </c>
      <c r="AN14" s="41">
        <f>SUMIF('OS Dev model'!$C$291:$C$319,Summary!$A14,'OS Dev model'!AZ$291:AZ$319)</f>
        <v>0</v>
      </c>
      <c r="AO14" s="41">
        <f>SUMIF('OS Dev model'!$C$291:$C$319,Summary!$A14,'OS Dev model'!BA$291:BA$319)</f>
        <v>0</v>
      </c>
      <c r="AP14" s="41">
        <f>SUMIF('OS Dev model'!$C$291:$C$319,Summary!$A14,'OS Dev model'!BB$291:BB$319)</f>
        <v>0</v>
      </c>
      <c r="AQ14" s="41">
        <f>SUMIF('OS Dev model'!$C$291:$C$319,Summary!$A14,'OS Dev model'!BC$291:BC$319)</f>
        <v>0</v>
      </c>
      <c r="AR14" s="41">
        <f>SUMIF('OS Dev model'!$C$291:$C$319,Summary!$A14,'OS Dev model'!BD$291:BD$319)</f>
        <v>0</v>
      </c>
      <c r="AS14" s="41">
        <f>SUMIF('OS Dev model'!$C$291:$C$319,Summary!$A14,'OS Dev model'!BE$291:BE$319)</f>
        <v>0</v>
      </c>
      <c r="AT14" s="41">
        <f>SUMIF('OS Dev model'!$C$291:$C$319,Summary!$A14,'OS Dev model'!BF$291:BF$319)</f>
        <v>0</v>
      </c>
      <c r="AU14" s="41">
        <f>SUMIF('OS Dev model'!$C$291:$C$319,Summary!$A14,'OS Dev model'!BG$291:BG$319)</f>
        <v>0</v>
      </c>
      <c r="AV14" s="41">
        <f>SUMIF('OS Dev model'!$C$291:$C$319,Summary!$A14,'OS Dev model'!BH$291:BH$319)</f>
        <v>0</v>
      </c>
      <c r="AW14" s="41">
        <f>SUMIF('OS Dev model'!$C$291:$C$319,Summary!$A14,'OS Dev model'!BI$291:BI$319)</f>
        <v>0</v>
      </c>
      <c r="AX14" s="41">
        <f>SUMIF('OS Dev model'!$C$291:$C$319,Summary!$A14,'OS Dev model'!BJ$291:BJ$319)</f>
        <v>0</v>
      </c>
      <c r="AY14" s="41">
        <f>SUMIF('OS Dev model'!$C$291:$C$319,Summary!$A14,'OS Dev model'!BK$291:BK$319)</f>
        <v>0</v>
      </c>
      <c r="AZ14" s="41">
        <f>SUMIF('OS Dev model'!$C$291:$C$319,Summary!$A14,'OS Dev model'!BL$291:BL$319)</f>
        <v>0</v>
      </c>
    </row>
    <row r="15" spans="1:52" s="2" customFormat="1" x14ac:dyDescent="0.3">
      <c r="A15" s="2" t="str">
        <f>'OS Dev model'!B298</f>
        <v>Kumeu-Huapai-RH</v>
      </c>
      <c r="B15" s="2" t="str">
        <f t="shared" si="8"/>
        <v>Kumeu / Huapai / Riverhead</v>
      </c>
      <c r="C15" s="45">
        <v>10</v>
      </c>
      <c r="D15" s="50">
        <f>F52*SUM('OS Dev model'!X60:X62)/SUM('OS Dev model'!X59:X62)</f>
        <v>0.36523189750425694</v>
      </c>
      <c r="E15" s="58">
        <f t="shared" si="0"/>
        <v>0.634768102495743</v>
      </c>
      <c r="F15" s="22">
        <f t="shared" si="9"/>
        <v>0.56677348477433731</v>
      </c>
      <c r="G15" s="30">
        <f t="shared" si="1"/>
        <v>0.60077079363504016</v>
      </c>
      <c r="H15" s="41">
        <f t="shared" si="2"/>
        <v>5.0387339999999998</v>
      </c>
      <c r="I15" s="41">
        <f t="shared" si="3"/>
        <v>5.0387339999999998</v>
      </c>
      <c r="J15" s="41">
        <f t="shared" si="4"/>
        <v>0</v>
      </c>
      <c r="K15" s="41">
        <f t="shared" si="5"/>
        <v>0</v>
      </c>
      <c r="L15" s="41">
        <f t="shared" si="6"/>
        <v>0</v>
      </c>
      <c r="M15" s="41">
        <f t="shared" si="7"/>
        <v>5.0387339999999998</v>
      </c>
      <c r="N15" s="41">
        <f>SUMIF('OS Dev model'!$C$291:$C$319,Summary!$A15,'OS Dev model'!Z$291:Z$319)</f>
        <v>0.99873400000000001</v>
      </c>
      <c r="O15" s="41">
        <f>SUMIF('OS Dev model'!$C$291:$C$319,Summary!$A15,'OS Dev model'!AA$291:AA$319)</f>
        <v>2.04</v>
      </c>
      <c r="P15" s="41">
        <f>SUMIF('OS Dev model'!$C$291:$C$319,Summary!$A15,'OS Dev model'!AB$291:AB$319)</f>
        <v>2</v>
      </c>
      <c r="Q15" s="41">
        <f>SUMIF('OS Dev model'!$C$291:$C$319,Summary!$A15,'OS Dev model'!AC$291:AC$319)</f>
        <v>0</v>
      </c>
      <c r="R15" s="41">
        <f>SUMIF('OS Dev model'!$C$291:$C$319,Summary!$A15,'OS Dev model'!AD$291:AD$319)</f>
        <v>0</v>
      </c>
      <c r="S15" s="41">
        <f>SUMIF('OS Dev model'!$C$291:$C$319,Summary!$A15,'OS Dev model'!AE$291:AE$319)</f>
        <v>0</v>
      </c>
      <c r="T15" s="41">
        <f>SUMIF('OS Dev model'!$C$291:$C$319,Summary!$A15,'OS Dev model'!AF$291:AF$319)</f>
        <v>0</v>
      </c>
      <c r="U15" s="41">
        <f>SUMIF('OS Dev model'!$C$291:$C$319,Summary!$A15,'OS Dev model'!AG$291:AG$319)</f>
        <v>0</v>
      </c>
      <c r="V15" s="41">
        <f>SUMIF('OS Dev model'!$C$291:$C$319,Summary!$A15,'OS Dev model'!AH$291:AH$319)</f>
        <v>0</v>
      </c>
      <c r="W15" s="41">
        <f>SUMIF('OS Dev model'!$C$291:$C$319,Summary!$A15,'OS Dev model'!AI$291:AI$319)</f>
        <v>0</v>
      </c>
      <c r="X15" s="41">
        <f>SUMIF('OS Dev model'!$C$291:$C$319,Summary!$A15,'OS Dev model'!AJ$291:AJ$319)</f>
        <v>0</v>
      </c>
      <c r="Y15" s="41">
        <f>SUMIF('OS Dev model'!$C$291:$C$319,Summary!$A15,'OS Dev model'!AK$291:AK$319)</f>
        <v>0</v>
      </c>
      <c r="Z15" s="41">
        <f>SUMIF('OS Dev model'!$C$291:$C$319,Summary!$A15,'OS Dev model'!AL$291:AL$319)</f>
        <v>0</v>
      </c>
      <c r="AA15" s="41">
        <f>SUMIF('OS Dev model'!$C$291:$C$319,Summary!$A15,'OS Dev model'!AM$291:AM$319)</f>
        <v>0</v>
      </c>
      <c r="AB15" s="41">
        <f>SUMIF('OS Dev model'!$C$291:$C$319,Summary!$A15,'OS Dev model'!AN$291:AN$319)</f>
        <v>0</v>
      </c>
      <c r="AC15" s="41">
        <f>SUMIF('OS Dev model'!$C$291:$C$319,Summary!$A15,'OS Dev model'!AO$291:AO$319)</f>
        <v>0</v>
      </c>
      <c r="AD15" s="41">
        <f>SUMIF('OS Dev model'!$C$291:$C$319,Summary!$A15,'OS Dev model'!AP$291:AP$319)</f>
        <v>0</v>
      </c>
      <c r="AE15" s="41">
        <f>SUMIF('OS Dev model'!$C$291:$C$319,Summary!$A15,'OS Dev model'!AQ$291:AQ$319)</f>
        <v>0</v>
      </c>
      <c r="AF15" s="41">
        <f>SUMIF('OS Dev model'!$C$291:$C$319,Summary!$A15,'OS Dev model'!AR$291:AR$319)</f>
        <v>0</v>
      </c>
      <c r="AG15" s="41">
        <f>SUMIF('OS Dev model'!$C$291:$C$319,Summary!$A15,'OS Dev model'!AS$291:AS$319)</f>
        <v>0</v>
      </c>
      <c r="AH15" s="41">
        <f>SUMIF('OS Dev model'!$C$291:$C$319,Summary!$A15,'OS Dev model'!AT$291:AT$319)</f>
        <v>0</v>
      </c>
      <c r="AI15" s="41">
        <f>SUMIF('OS Dev model'!$C$291:$C$319,Summary!$A15,'OS Dev model'!AU$291:AU$319)</f>
        <v>0</v>
      </c>
      <c r="AJ15" s="41">
        <f>SUMIF('OS Dev model'!$C$291:$C$319,Summary!$A15,'OS Dev model'!AV$291:AV$319)</f>
        <v>0</v>
      </c>
      <c r="AK15" s="41">
        <f>SUMIF('OS Dev model'!$C$291:$C$319,Summary!$A15,'OS Dev model'!AW$291:AW$319)</f>
        <v>0</v>
      </c>
      <c r="AL15" s="41">
        <f>SUMIF('OS Dev model'!$C$291:$C$319,Summary!$A15,'OS Dev model'!AX$291:AX$319)</f>
        <v>0</v>
      </c>
      <c r="AM15" s="41">
        <f>SUMIF('OS Dev model'!$C$291:$C$319,Summary!$A15,'OS Dev model'!AY$291:AY$319)</f>
        <v>0</v>
      </c>
      <c r="AN15" s="41">
        <f>SUMIF('OS Dev model'!$C$291:$C$319,Summary!$A15,'OS Dev model'!AZ$291:AZ$319)</f>
        <v>0</v>
      </c>
      <c r="AO15" s="41">
        <f>SUMIF('OS Dev model'!$C$291:$C$319,Summary!$A15,'OS Dev model'!BA$291:BA$319)</f>
        <v>0</v>
      </c>
      <c r="AP15" s="41">
        <f>SUMIF('OS Dev model'!$C$291:$C$319,Summary!$A15,'OS Dev model'!BB$291:BB$319)</f>
        <v>0</v>
      </c>
      <c r="AQ15" s="41">
        <f>SUMIF('OS Dev model'!$C$291:$C$319,Summary!$A15,'OS Dev model'!BC$291:BC$319)</f>
        <v>0</v>
      </c>
      <c r="AR15" s="41">
        <f>SUMIF('OS Dev model'!$C$291:$C$319,Summary!$A15,'OS Dev model'!BD$291:BD$319)</f>
        <v>0</v>
      </c>
      <c r="AS15" s="41">
        <f>SUMIF('OS Dev model'!$C$291:$C$319,Summary!$A15,'OS Dev model'!BE$291:BE$319)</f>
        <v>0</v>
      </c>
      <c r="AT15" s="41">
        <f>SUMIF('OS Dev model'!$C$291:$C$319,Summary!$A15,'OS Dev model'!BF$291:BF$319)</f>
        <v>0</v>
      </c>
      <c r="AU15" s="41">
        <f>SUMIF('OS Dev model'!$C$291:$C$319,Summary!$A15,'OS Dev model'!BG$291:BG$319)</f>
        <v>0</v>
      </c>
      <c r="AV15" s="41">
        <f>SUMIF('OS Dev model'!$C$291:$C$319,Summary!$A15,'OS Dev model'!BH$291:BH$319)</f>
        <v>0</v>
      </c>
      <c r="AW15" s="41">
        <f>SUMIF('OS Dev model'!$C$291:$C$319,Summary!$A15,'OS Dev model'!BI$291:BI$319)</f>
        <v>0</v>
      </c>
      <c r="AX15" s="41">
        <f>SUMIF('OS Dev model'!$C$291:$C$319,Summary!$A15,'OS Dev model'!BJ$291:BJ$319)</f>
        <v>0</v>
      </c>
      <c r="AY15" s="41">
        <f>SUMIF('OS Dev model'!$C$291:$C$319,Summary!$A15,'OS Dev model'!BK$291:BK$319)</f>
        <v>0</v>
      </c>
      <c r="AZ15" s="41">
        <f>SUMIF('OS Dev model'!$C$291:$C$319,Summary!$A15,'OS Dev model'!BL$291:BL$319)</f>
        <v>0</v>
      </c>
    </row>
    <row r="16" spans="1:52" s="2" customFormat="1" x14ac:dyDescent="0.3">
      <c r="A16" s="9" t="str">
        <f>'OS Dev model'!B299</f>
        <v>Kumeu-Huapai-RH RedFlag</v>
      </c>
      <c r="C16" s="42"/>
      <c r="D16" s="60"/>
      <c r="E16" s="58"/>
      <c r="F16" s="33"/>
      <c r="G16" s="33"/>
      <c r="H16" s="41">
        <f t="shared" si="2"/>
        <v>0</v>
      </c>
      <c r="I16" s="41">
        <f t="shared" si="3"/>
        <v>0</v>
      </c>
      <c r="J16" s="41">
        <f t="shared" si="4"/>
        <v>0</v>
      </c>
      <c r="K16" s="41">
        <f t="shared" si="5"/>
        <v>0</v>
      </c>
      <c r="L16" s="41">
        <f t="shared" si="6"/>
        <v>228.70112387913082</v>
      </c>
      <c r="M16" s="41">
        <f t="shared" si="7"/>
        <v>228.70112387913082</v>
      </c>
      <c r="N16" s="41">
        <f>SUMIF('OS Dev model'!$C$291:$C$319,Summary!$A16,'OS Dev model'!Z$291:Z$319)</f>
        <v>0</v>
      </c>
      <c r="O16" s="41">
        <f>SUMIF('OS Dev model'!$C$291:$C$319,Summary!$A16,'OS Dev model'!AA$291:AA$319)</f>
        <v>0</v>
      </c>
      <c r="P16" s="41">
        <f>SUMIF('OS Dev model'!$C$291:$C$319,Summary!$A16,'OS Dev model'!AB$291:AB$319)</f>
        <v>0</v>
      </c>
      <c r="Q16" s="41">
        <f>SUMIF('OS Dev model'!$C$291:$C$319,Summary!$A16,'OS Dev model'!AC$291:AC$319)</f>
        <v>0</v>
      </c>
      <c r="R16" s="41">
        <f>SUMIF('OS Dev model'!$C$291:$C$319,Summary!$A16,'OS Dev model'!AD$291:AD$319)</f>
        <v>0</v>
      </c>
      <c r="S16" s="41">
        <f>SUMIF('OS Dev model'!$C$291:$C$319,Summary!$A16,'OS Dev model'!AE$291:AE$319)</f>
        <v>0</v>
      </c>
      <c r="T16" s="41">
        <f>SUMIF('OS Dev model'!$C$291:$C$319,Summary!$A16,'OS Dev model'!AF$291:AF$319)</f>
        <v>0</v>
      </c>
      <c r="U16" s="41">
        <f>SUMIF('OS Dev model'!$C$291:$C$319,Summary!$A16,'OS Dev model'!AG$291:AG$319)</f>
        <v>0</v>
      </c>
      <c r="V16" s="41">
        <f>SUMIF('OS Dev model'!$C$291:$C$319,Summary!$A16,'OS Dev model'!AH$291:AH$319)</f>
        <v>0</v>
      </c>
      <c r="W16" s="41">
        <f>SUMIF('OS Dev model'!$C$291:$C$319,Summary!$A16,'OS Dev model'!AI$291:AI$319)</f>
        <v>0</v>
      </c>
      <c r="X16" s="41">
        <f>SUMIF('OS Dev model'!$C$291:$C$319,Summary!$A16,'OS Dev model'!AJ$291:AJ$319)</f>
        <v>0</v>
      </c>
      <c r="Y16" s="41">
        <f>SUMIF('OS Dev model'!$C$291:$C$319,Summary!$A16,'OS Dev model'!AK$291:AK$319)</f>
        <v>0</v>
      </c>
      <c r="Z16" s="41">
        <f>SUMIF('OS Dev model'!$C$291:$C$319,Summary!$A16,'OS Dev model'!AL$291:AL$319)</f>
        <v>0</v>
      </c>
      <c r="AA16" s="41">
        <f>SUMIF('OS Dev model'!$C$291:$C$319,Summary!$A16,'OS Dev model'!AM$291:AM$319)</f>
        <v>0</v>
      </c>
      <c r="AB16" s="41">
        <f>SUMIF('OS Dev model'!$C$291:$C$319,Summary!$A16,'OS Dev model'!AN$291:AN$319)</f>
        <v>0</v>
      </c>
      <c r="AC16" s="41">
        <f>SUMIF('OS Dev model'!$C$291:$C$319,Summary!$A16,'OS Dev model'!AO$291:AO$319)</f>
        <v>0</v>
      </c>
      <c r="AD16" s="41">
        <f>SUMIF('OS Dev model'!$C$291:$C$319,Summary!$A16,'OS Dev model'!AP$291:AP$319)</f>
        <v>0</v>
      </c>
      <c r="AE16" s="41">
        <f>SUMIF('OS Dev model'!$C$291:$C$319,Summary!$A16,'OS Dev model'!AQ$291:AQ$319)</f>
        <v>0</v>
      </c>
      <c r="AF16" s="41">
        <f>SUMIF('OS Dev model'!$C$291:$C$319,Summary!$A16,'OS Dev model'!AR$291:AR$319)</f>
        <v>0</v>
      </c>
      <c r="AG16" s="41">
        <f>SUMIF('OS Dev model'!$C$291:$C$319,Summary!$A16,'OS Dev model'!AS$291:AS$319)</f>
        <v>0</v>
      </c>
      <c r="AH16" s="41">
        <f>SUMIF('OS Dev model'!$C$291:$C$319,Summary!$A16,'OS Dev model'!AT$291:AT$319)</f>
        <v>0</v>
      </c>
      <c r="AI16" s="41">
        <f>SUMIF('OS Dev model'!$C$291:$C$319,Summary!$A16,'OS Dev model'!AU$291:AU$319)</f>
        <v>0</v>
      </c>
      <c r="AJ16" s="41">
        <f>SUMIF('OS Dev model'!$C$291:$C$319,Summary!$A16,'OS Dev model'!AV$291:AV$319)</f>
        <v>0</v>
      </c>
      <c r="AK16" s="41">
        <f>SUMIF('OS Dev model'!$C$291:$C$319,Summary!$A16,'OS Dev model'!AW$291:AW$319)</f>
        <v>0</v>
      </c>
      <c r="AL16" s="41">
        <f>SUMIF('OS Dev model'!$C$291:$C$319,Summary!$A16,'OS Dev model'!AX$291:AX$319)</f>
        <v>0</v>
      </c>
      <c r="AM16" s="41">
        <f>SUMIF('OS Dev model'!$C$291:$C$319,Summary!$A16,'OS Dev model'!AY$291:AY$319)</f>
        <v>0</v>
      </c>
      <c r="AN16" s="41">
        <f>SUMIF('OS Dev model'!$C$291:$C$319,Summary!$A16,'OS Dev model'!AZ$291:AZ$319)</f>
        <v>0</v>
      </c>
      <c r="AO16" s="41">
        <f>SUMIF('OS Dev model'!$C$291:$C$319,Summary!$A16,'OS Dev model'!BA$291:BA$319)</f>
        <v>0</v>
      </c>
      <c r="AP16" s="41">
        <f>SUMIF('OS Dev model'!$C$291:$C$319,Summary!$A16,'OS Dev model'!BB$291:BB$319)</f>
        <v>0</v>
      </c>
      <c r="AQ16" s="41">
        <f>SUMIF('OS Dev model'!$C$291:$C$319,Summary!$A16,'OS Dev model'!BC$291:BC$319)</f>
        <v>0</v>
      </c>
      <c r="AR16" s="41">
        <f>SUMIF('OS Dev model'!$C$291:$C$319,Summary!$A16,'OS Dev model'!BD$291:BD$319)</f>
        <v>0</v>
      </c>
      <c r="AS16" s="41">
        <f>SUMIF('OS Dev model'!$C$291:$C$319,Summary!$A16,'OS Dev model'!BE$291:BE$319)</f>
        <v>0</v>
      </c>
      <c r="AT16" s="41">
        <f>SUMIF('OS Dev model'!$C$291:$C$319,Summary!$A16,'OS Dev model'!BF$291:BF$319)</f>
        <v>0</v>
      </c>
      <c r="AU16" s="41">
        <f>SUMIF('OS Dev model'!$C$291:$C$319,Summary!$A16,'OS Dev model'!BG$291:BG$319)</f>
        <v>22.039252927233484</v>
      </c>
      <c r="AV16" s="41">
        <f>SUMIF('OS Dev model'!$C$291:$C$319,Summary!$A16,'OS Dev model'!BH$291:BH$319)</f>
        <v>158.53330378162121</v>
      </c>
      <c r="AW16" s="41">
        <f>SUMIF('OS Dev model'!$C$291:$C$319,Summary!$A16,'OS Dev model'!BI$291:BI$319)</f>
        <v>23.696980389106894</v>
      </c>
      <c r="AX16" s="41">
        <f>SUMIF('OS Dev model'!$C$291:$C$319,Summary!$A16,'OS Dev model'!BJ$291:BJ$319)</f>
        <v>24.431586781169209</v>
      </c>
      <c r="AY16" s="41">
        <f>SUMIF('OS Dev model'!$C$291:$C$319,Summary!$A16,'OS Dev model'!BK$291:BK$319)</f>
        <v>0</v>
      </c>
      <c r="AZ16" s="41">
        <f>SUMIF('OS Dev model'!$C$291:$C$319,Summary!$A16,'OS Dev model'!BL$291:BL$319)</f>
        <v>0</v>
      </c>
    </row>
    <row r="17" spans="1:52" s="2" customFormat="1" x14ac:dyDescent="0.3">
      <c r="A17" s="2" t="str">
        <f>'OS Dev model'!B301</f>
        <v>Whenuapai</v>
      </c>
      <c r="B17" s="2" t="str">
        <f t="shared" si="8"/>
        <v>Whenuapai</v>
      </c>
      <c r="C17" s="45">
        <v>30</v>
      </c>
      <c r="D17" s="50">
        <v>0</v>
      </c>
      <c r="E17" s="58">
        <f t="shared" si="0"/>
        <v>1</v>
      </c>
      <c r="F17" s="22">
        <f t="shared" ref="F17:F27" si="10">1-F54</f>
        <v>0.82402807145639312</v>
      </c>
      <c r="G17" s="30">
        <f>AVERAGE(E17:F17)</f>
        <v>0.9120140357281965</v>
      </c>
      <c r="H17" s="41">
        <f t="shared" si="2"/>
        <v>80.693703273372705</v>
      </c>
      <c r="I17" s="41">
        <f t="shared" si="3"/>
        <v>1.7672719196087494</v>
      </c>
      <c r="J17" s="41">
        <f t="shared" si="4"/>
        <v>75.928352677283101</v>
      </c>
      <c r="K17" s="41">
        <f t="shared" si="5"/>
        <v>2.99807867648085</v>
      </c>
      <c r="L17" s="41">
        <f t="shared" si="6"/>
        <v>52.187961891092158</v>
      </c>
      <c r="M17" s="41">
        <f t="shared" si="7"/>
        <v>132.88166516446486</v>
      </c>
      <c r="N17" s="41">
        <f>SUMIF('OS Dev model'!$C$291:$C$319,Summary!$A17,'OS Dev model'!Z$291:Z$319)</f>
        <v>0</v>
      </c>
      <c r="O17" s="41">
        <f>SUMIF('OS Dev model'!$C$291:$C$319,Summary!$A17,'OS Dev model'!AA$291:AA$319)</f>
        <v>0</v>
      </c>
      <c r="P17" s="41">
        <f>SUMIF('OS Dev model'!$C$291:$C$319,Summary!$A17,'OS Dev model'!AB$291:AB$319)</f>
        <v>0</v>
      </c>
      <c r="Q17" s="41">
        <f>SUMIF('OS Dev model'!$C$291:$C$319,Summary!$A17,'OS Dev model'!AC$291:AC$319)</f>
        <v>0</v>
      </c>
      <c r="R17" s="41">
        <f>SUMIF('OS Dev model'!$C$291:$C$319,Summary!$A17,'OS Dev model'!AD$291:AD$319)</f>
        <v>0</v>
      </c>
      <c r="S17" s="41">
        <f>SUMIF('OS Dev model'!$C$291:$C$319,Summary!$A17,'OS Dev model'!AE$291:AE$319)</f>
        <v>0</v>
      </c>
      <c r="T17" s="41">
        <f>SUMIF('OS Dev model'!$C$291:$C$319,Summary!$A17,'OS Dev model'!AF$291:AF$319)</f>
        <v>0.17193033559769919</v>
      </c>
      <c r="U17" s="41">
        <f>SUMIF('OS Dev model'!$C$291:$C$319,Summary!$A17,'OS Dev model'!AG$291:AG$319)</f>
        <v>1.5953415840110503</v>
      </c>
      <c r="V17" s="41">
        <f>SUMIF('OS Dev model'!$C$291:$C$319,Summary!$A17,'OS Dev model'!AH$291:AH$319)</f>
        <v>0</v>
      </c>
      <c r="W17" s="41">
        <f>SUMIF('OS Dev model'!$C$291:$C$319,Summary!$A17,'OS Dev model'!AI$291:AI$319)</f>
        <v>0</v>
      </c>
      <c r="X17" s="41">
        <f>SUMIF('OS Dev model'!$C$291:$C$319,Summary!$A17,'OS Dev model'!AJ$291:AJ$319)</f>
        <v>0.38852338842931355</v>
      </c>
      <c r="Y17" s="41">
        <f>SUMIF('OS Dev model'!$C$291:$C$319,Summary!$A17,'OS Dev model'!AK$291:AK$319)</f>
        <v>3.6051085212355996</v>
      </c>
      <c r="Z17" s="41">
        <f>SUMIF('OS Dev model'!$C$291:$C$319,Summary!$A17,'OS Dev model'!AL$291:AL$319)</f>
        <v>0</v>
      </c>
      <c r="AA17" s="41">
        <f>SUMIF('OS Dev model'!$C$291:$C$319,Summary!$A17,'OS Dev model'!AM$291:AM$319)</f>
        <v>0.60530237401901021</v>
      </c>
      <c r="AB17" s="41">
        <f>SUMIF('OS Dev model'!$C$291:$C$319,Summary!$A17,'OS Dev model'!AN$291:AN$319)</f>
        <v>0.62406674761359948</v>
      </c>
      <c r="AC17" s="41">
        <f>SUMIF('OS Dev model'!$C$291:$C$319,Summary!$A17,'OS Dev model'!AO$291:AO$319)</f>
        <v>2.5736512671584841</v>
      </c>
      <c r="AD17" s="41">
        <f>SUMIF('OS Dev model'!$C$291:$C$319,Summary!$A17,'OS Dev model'!AP$291:AP$319)</f>
        <v>2.6534344564403969</v>
      </c>
      <c r="AE17" s="41">
        <f>SUMIF('OS Dev model'!$C$291:$C$319,Summary!$A17,'OS Dev model'!AQ$291:AQ$319)</f>
        <v>0.68392273114751223</v>
      </c>
      <c r="AF17" s="41">
        <f>SUMIF('OS Dev model'!$C$291:$C$319,Summary!$A17,'OS Dev model'!AR$291:AR$319)</f>
        <v>6.6571903047335006</v>
      </c>
      <c r="AG17" s="41">
        <f>SUMIF('OS Dev model'!$C$291:$C$319,Summary!$A17,'OS Dev model'!AS$291:AS$319)</f>
        <v>58.137152886505689</v>
      </c>
      <c r="AH17" s="41">
        <f>SUMIF('OS Dev model'!$C$291:$C$319,Summary!$A17,'OS Dev model'!AT$291:AT$319)</f>
        <v>2.99807867648085</v>
      </c>
      <c r="AI17" s="41">
        <f>SUMIF('OS Dev model'!$C$291:$C$319,Summary!$A17,'OS Dev model'!AU$291:AU$319)</f>
        <v>0</v>
      </c>
      <c r="AJ17" s="41">
        <f>SUMIF('OS Dev model'!$C$291:$C$319,Summary!$A17,'OS Dev model'!AV$291:AV$319)</f>
        <v>0</v>
      </c>
      <c r="AK17" s="41">
        <f>SUMIF('OS Dev model'!$C$291:$C$319,Summary!$A17,'OS Dev model'!AW$291:AW$319)</f>
        <v>0</v>
      </c>
      <c r="AL17" s="41">
        <f>SUMIF('OS Dev model'!$C$291:$C$319,Summary!$A17,'OS Dev model'!AX$291:AX$319)</f>
        <v>0</v>
      </c>
      <c r="AM17" s="41">
        <f>SUMIF('OS Dev model'!$C$291:$C$319,Summary!$A17,'OS Dev model'!AY$291:AY$319)</f>
        <v>0</v>
      </c>
      <c r="AN17" s="41">
        <f>SUMIF('OS Dev model'!$C$291:$C$319,Summary!$A17,'OS Dev model'!AZ$291:AZ$319)</f>
        <v>0</v>
      </c>
      <c r="AO17" s="41">
        <f>SUMIF('OS Dev model'!$C$291:$C$319,Summary!$A17,'OS Dev model'!BA$291:BA$319)</f>
        <v>0</v>
      </c>
      <c r="AP17" s="41">
        <f>SUMIF('OS Dev model'!$C$291:$C$319,Summary!$A17,'OS Dev model'!BB$291:BB$319)</f>
        <v>0</v>
      </c>
      <c r="AQ17" s="41">
        <f>SUMIF('OS Dev model'!$C$291:$C$319,Summary!$A17,'OS Dev model'!BC$291:BC$319)</f>
        <v>0</v>
      </c>
      <c r="AR17" s="41">
        <f>SUMIF('OS Dev model'!$C$291:$C$319,Summary!$A17,'OS Dev model'!BD$291:BD$319)</f>
        <v>0</v>
      </c>
      <c r="AS17" s="41">
        <f>SUMIF('OS Dev model'!$C$291:$C$319,Summary!$A17,'OS Dev model'!BE$291:BE$319)</f>
        <v>0</v>
      </c>
      <c r="AT17" s="41">
        <f>SUMIF('OS Dev model'!$C$291:$C$319,Summary!$A17,'OS Dev model'!BF$291:BF$319)</f>
        <v>0</v>
      </c>
      <c r="AU17" s="41">
        <f>SUMIF('OS Dev model'!$C$291:$C$319,Summary!$A17,'OS Dev model'!BG$291:BG$319)</f>
        <v>5.0351233858422608</v>
      </c>
      <c r="AV17" s="41">
        <f>SUMIF('OS Dev model'!$C$291:$C$319,Summary!$A17,'OS Dev model'!BH$291:BH$319)</f>
        <v>37.527125071194675</v>
      </c>
      <c r="AW17" s="41">
        <f>SUMIF('OS Dev model'!$C$291:$C$319,Summary!$A17,'OS Dev model'!BI$291:BI$319)</f>
        <v>4.7393960778213797</v>
      </c>
      <c r="AX17" s="41">
        <f>SUMIF('OS Dev model'!$C$291:$C$319,Summary!$A17,'OS Dev model'!BJ$291:BJ$319)</f>
        <v>4.8863173562338416</v>
      </c>
      <c r="AY17" s="41">
        <f>SUMIF('OS Dev model'!$C$291:$C$319,Summary!$A17,'OS Dev model'!BK$291:BK$319)</f>
        <v>0</v>
      </c>
      <c r="AZ17" s="41">
        <f>SUMIF('OS Dev model'!$C$291:$C$319,Summary!$A17,'OS Dev model'!BL$291:BL$319)</f>
        <v>0</v>
      </c>
    </row>
    <row r="18" spans="1:52" s="2" customFormat="1" x14ac:dyDescent="0.3">
      <c r="A18" s="2" t="str">
        <f>'OS Dev model'!B302</f>
        <v>ScottPt-BombPt</v>
      </c>
      <c r="B18" s="2" t="str">
        <f t="shared" si="8"/>
        <v>Scott Point / Bomb Point</v>
      </c>
      <c r="C18" s="45">
        <v>10</v>
      </c>
      <c r="D18" s="50">
        <v>0</v>
      </c>
      <c r="E18" s="58">
        <f t="shared" si="0"/>
        <v>1</v>
      </c>
      <c r="F18" s="22">
        <f t="shared" si="10"/>
        <v>0.36589264021606793</v>
      </c>
      <c r="G18" s="30">
        <f t="shared" ref="G18:G35" si="11">AVERAGE(E18:F18)</f>
        <v>0.68294632010803391</v>
      </c>
      <c r="H18" s="41">
        <f t="shared" si="2"/>
        <v>11.055749157186479</v>
      </c>
      <c r="I18" s="41">
        <f t="shared" si="3"/>
        <v>3.5345438392174988</v>
      </c>
      <c r="J18" s="41">
        <f t="shared" si="4"/>
        <v>1.4321075260363756</v>
      </c>
      <c r="K18" s="41">
        <f t="shared" si="5"/>
        <v>6.0890977919326064</v>
      </c>
      <c r="L18" s="41">
        <f t="shared" si="6"/>
        <v>0</v>
      </c>
      <c r="M18" s="41">
        <f t="shared" si="7"/>
        <v>11.055749157186479</v>
      </c>
      <c r="N18" s="41">
        <f>SUMIF('OS Dev model'!$C$291:$C$319,Summary!$A18,'OS Dev model'!Z$291:Z$319)</f>
        <v>0</v>
      </c>
      <c r="O18" s="41">
        <f>SUMIF('OS Dev model'!$C$291:$C$319,Summary!$A18,'OS Dev model'!AA$291:AA$319)</f>
        <v>0</v>
      </c>
      <c r="P18" s="41">
        <f>SUMIF('OS Dev model'!$C$291:$C$319,Summary!$A18,'OS Dev model'!AB$291:AB$319)</f>
        <v>0</v>
      </c>
      <c r="Q18" s="41">
        <f>SUMIF('OS Dev model'!$C$291:$C$319,Summary!$A18,'OS Dev model'!AC$291:AC$319)</f>
        <v>0</v>
      </c>
      <c r="R18" s="41">
        <f>SUMIF('OS Dev model'!$C$291:$C$319,Summary!$A18,'OS Dev model'!AD$291:AD$319)</f>
        <v>0</v>
      </c>
      <c r="S18" s="41">
        <f>SUMIF('OS Dev model'!$C$291:$C$319,Summary!$A18,'OS Dev model'!AE$291:AE$319)</f>
        <v>0</v>
      </c>
      <c r="T18" s="41">
        <f>SUMIF('OS Dev model'!$C$291:$C$319,Summary!$A18,'OS Dev model'!AF$291:AF$319)</f>
        <v>0.34386067119539837</v>
      </c>
      <c r="U18" s="41">
        <f>SUMIF('OS Dev model'!$C$291:$C$319,Summary!$A18,'OS Dev model'!AG$291:AG$319)</f>
        <v>3.1906831680221006</v>
      </c>
      <c r="V18" s="41">
        <f>SUMIF('OS Dev model'!$C$291:$C$319,Summary!$A18,'OS Dev model'!AH$291:AH$319)</f>
        <v>0</v>
      </c>
      <c r="W18" s="41">
        <f>SUMIF('OS Dev model'!$C$291:$C$319,Summary!$A18,'OS Dev model'!AI$291:AI$319)</f>
        <v>0</v>
      </c>
      <c r="X18" s="41">
        <f>SUMIF('OS Dev model'!$C$291:$C$319,Summary!$A18,'OS Dev model'!AJ$291:AJ$319)</f>
        <v>0</v>
      </c>
      <c r="Y18" s="41">
        <f>SUMIF('OS Dev model'!$C$291:$C$319,Summary!$A18,'OS Dev model'!AK$291:AK$319)</f>
        <v>0</v>
      </c>
      <c r="Z18" s="41">
        <f>SUMIF('OS Dev model'!$C$291:$C$319,Summary!$A18,'OS Dev model'!AL$291:AL$319)</f>
        <v>0</v>
      </c>
      <c r="AA18" s="41">
        <f>SUMIF('OS Dev model'!$C$291:$C$319,Summary!$A18,'OS Dev model'!AM$291:AM$319)</f>
        <v>0</v>
      </c>
      <c r="AB18" s="41">
        <f>SUMIF('OS Dev model'!$C$291:$C$319,Summary!$A18,'OS Dev model'!AN$291:AN$319)</f>
        <v>0</v>
      </c>
      <c r="AC18" s="41">
        <f>SUMIF('OS Dev model'!$C$291:$C$319,Summary!$A18,'OS Dev model'!AO$291:AO$319)</f>
        <v>0</v>
      </c>
      <c r="AD18" s="41">
        <f>SUMIF('OS Dev model'!$C$291:$C$319,Summary!$A18,'OS Dev model'!AP$291:AP$319)</f>
        <v>0</v>
      </c>
      <c r="AE18" s="41">
        <f>SUMIF('OS Dev model'!$C$291:$C$319,Summary!$A18,'OS Dev model'!AQ$291:AQ$319)</f>
        <v>0</v>
      </c>
      <c r="AF18" s="41">
        <f>SUMIF('OS Dev model'!$C$291:$C$319,Summary!$A18,'OS Dev model'!AR$291:AR$319)</f>
        <v>0.70512433581308498</v>
      </c>
      <c r="AG18" s="41">
        <f>SUMIF('OS Dev model'!$C$291:$C$319,Summary!$A18,'OS Dev model'!AS$291:AS$319)</f>
        <v>0.72698319022329061</v>
      </c>
      <c r="AH18" s="41">
        <f>SUMIF('OS Dev model'!$C$291:$C$319,Summary!$A18,'OS Dev model'!AT$291:AT$319)</f>
        <v>2.99807867648085</v>
      </c>
      <c r="AI18" s="41">
        <f>SUMIF('OS Dev model'!$C$291:$C$319,Summary!$A18,'OS Dev model'!AU$291:AU$319)</f>
        <v>3.0910191154517563</v>
      </c>
      <c r="AJ18" s="41">
        <f>SUMIF('OS Dev model'!$C$291:$C$319,Summary!$A18,'OS Dev model'!AV$291:AV$319)</f>
        <v>0</v>
      </c>
      <c r="AK18" s="41">
        <f>SUMIF('OS Dev model'!$C$291:$C$319,Summary!$A18,'OS Dev model'!AW$291:AW$319)</f>
        <v>0</v>
      </c>
      <c r="AL18" s="41">
        <f>SUMIF('OS Dev model'!$C$291:$C$319,Summary!$A18,'OS Dev model'!AX$291:AX$319)</f>
        <v>0</v>
      </c>
      <c r="AM18" s="41">
        <f>SUMIF('OS Dev model'!$C$291:$C$319,Summary!$A18,'OS Dev model'!AY$291:AY$319)</f>
        <v>0</v>
      </c>
      <c r="AN18" s="41">
        <f>SUMIF('OS Dev model'!$C$291:$C$319,Summary!$A18,'OS Dev model'!AZ$291:AZ$319)</f>
        <v>0</v>
      </c>
      <c r="AO18" s="41">
        <f>SUMIF('OS Dev model'!$C$291:$C$319,Summary!$A18,'OS Dev model'!BA$291:BA$319)</f>
        <v>0</v>
      </c>
      <c r="AP18" s="41">
        <f>SUMIF('OS Dev model'!$C$291:$C$319,Summary!$A18,'OS Dev model'!BB$291:BB$319)</f>
        <v>0</v>
      </c>
      <c r="AQ18" s="41">
        <f>SUMIF('OS Dev model'!$C$291:$C$319,Summary!$A18,'OS Dev model'!BC$291:BC$319)</f>
        <v>0</v>
      </c>
      <c r="AR18" s="41">
        <f>SUMIF('OS Dev model'!$C$291:$C$319,Summary!$A18,'OS Dev model'!BD$291:BD$319)</f>
        <v>0</v>
      </c>
      <c r="AS18" s="41">
        <f>SUMIF('OS Dev model'!$C$291:$C$319,Summary!$A18,'OS Dev model'!BE$291:BE$319)</f>
        <v>0</v>
      </c>
      <c r="AT18" s="41">
        <f>SUMIF('OS Dev model'!$C$291:$C$319,Summary!$A18,'OS Dev model'!BF$291:BF$319)</f>
        <v>0</v>
      </c>
      <c r="AU18" s="41">
        <f>SUMIF('OS Dev model'!$C$291:$C$319,Summary!$A18,'OS Dev model'!BG$291:BG$319)</f>
        <v>0</v>
      </c>
      <c r="AV18" s="41">
        <f>SUMIF('OS Dev model'!$C$291:$C$319,Summary!$A18,'OS Dev model'!BH$291:BH$319)</f>
        <v>0</v>
      </c>
      <c r="AW18" s="41">
        <f>SUMIF('OS Dev model'!$C$291:$C$319,Summary!$A18,'OS Dev model'!BI$291:BI$319)</f>
        <v>0</v>
      </c>
      <c r="AX18" s="41">
        <f>SUMIF('OS Dev model'!$C$291:$C$319,Summary!$A18,'OS Dev model'!BJ$291:BJ$319)</f>
        <v>0</v>
      </c>
      <c r="AY18" s="41">
        <f>SUMIF('OS Dev model'!$C$291:$C$319,Summary!$A18,'OS Dev model'!BK$291:BK$319)</f>
        <v>0</v>
      </c>
      <c r="AZ18" s="41">
        <f>SUMIF('OS Dev model'!$C$291:$C$319,Summary!$A18,'OS Dev model'!BL$291:BL$319)</f>
        <v>0</v>
      </c>
    </row>
    <row r="19" spans="1:52" s="2" customFormat="1" x14ac:dyDescent="0.3">
      <c r="A19" s="2" t="str">
        <f>'OS Dev model'!B303</f>
        <v>Redhills</v>
      </c>
      <c r="B19" s="2" t="str">
        <f t="shared" si="8"/>
        <v>Redhills / Westgate</v>
      </c>
      <c r="C19" s="45">
        <v>30</v>
      </c>
      <c r="D19" s="50">
        <v>0</v>
      </c>
      <c r="E19" s="58">
        <f t="shared" si="0"/>
        <v>1</v>
      </c>
      <c r="F19" s="22">
        <f t="shared" si="10"/>
        <v>0.90126246947421962</v>
      </c>
      <c r="G19" s="30">
        <f t="shared" si="11"/>
        <v>0.95063123473710975</v>
      </c>
      <c r="H19" s="41">
        <f t="shared" si="2"/>
        <v>65.846435323147944</v>
      </c>
      <c r="I19" s="41">
        <f t="shared" si="3"/>
        <v>16.164453824338889</v>
      </c>
      <c r="J19" s="41">
        <f t="shared" si="4"/>
        <v>49.681981498809058</v>
      </c>
      <c r="K19" s="41">
        <f t="shared" si="5"/>
        <v>0</v>
      </c>
      <c r="L19" s="41">
        <f t="shared" si="6"/>
        <v>0</v>
      </c>
      <c r="M19" s="41">
        <f t="shared" si="7"/>
        <v>65.846435323147944</v>
      </c>
      <c r="N19" s="41">
        <f>SUMIF('OS Dev model'!$C$291:$C$319,Summary!$A19,'OS Dev model'!Z$291:Z$319)</f>
        <v>0</v>
      </c>
      <c r="O19" s="41">
        <f>SUMIF('OS Dev model'!$C$291:$C$319,Summary!$A19,'OS Dev model'!AA$291:AA$319)</f>
        <v>0</v>
      </c>
      <c r="P19" s="41">
        <f>SUMIF('OS Dev model'!$C$291:$C$319,Summary!$A19,'OS Dev model'!AB$291:AB$319)</f>
        <v>0.05</v>
      </c>
      <c r="Q19" s="41">
        <f>SUMIF('OS Dev model'!$C$291:$C$319,Summary!$A19,'OS Dev model'!AC$291:AC$319)</f>
        <v>4.4798726164317868</v>
      </c>
      <c r="R19" s="41">
        <f>SUMIF('OS Dev model'!$C$291:$C$319,Summary!$A19,'OS Dev model'!AD$291:AD$319)</f>
        <v>3.6392986675411723</v>
      </c>
      <c r="S19" s="41">
        <f>SUMIF('OS Dev model'!$C$291:$C$319,Summary!$A19,'OS Dev model'!AE$291:AE$319)</f>
        <v>0</v>
      </c>
      <c r="T19" s="41">
        <f>SUMIF('OS Dev model'!$C$291:$C$319,Summary!$A19,'OS Dev model'!AF$291:AF$319)</f>
        <v>3.4386067119539834</v>
      </c>
      <c r="U19" s="41">
        <f>SUMIF('OS Dev model'!$C$291:$C$319,Summary!$A19,'OS Dev model'!AG$291:AG$319)</f>
        <v>0.35452035200245574</v>
      </c>
      <c r="V19" s="41">
        <f>SUMIF('OS Dev model'!$C$291:$C$319,Summary!$A19,'OS Dev model'!AH$291:AH$319)</f>
        <v>3.2895943462307864</v>
      </c>
      <c r="W19" s="41">
        <f>SUMIF('OS Dev model'!$C$291:$C$319,Summary!$A19,'OS Dev model'!AI$291:AI$319)</f>
        <v>0.91256113017870288</v>
      </c>
      <c r="X19" s="41">
        <f>SUMIF('OS Dev model'!$C$291:$C$319,Summary!$A19,'OS Dev model'!AJ$291:AJ$319)</f>
        <v>4.4375610210780652</v>
      </c>
      <c r="Y19" s="41">
        <f>SUMIF('OS Dev model'!$C$291:$C$319,Summary!$A19,'OS Dev model'!AK$291:AK$319)</f>
        <v>5.8829056333366472</v>
      </c>
      <c r="Z19" s="41">
        <f>SUMIF('OS Dev model'!$C$291:$C$319,Summary!$A19,'OS Dev model'!AL$291:AL$319)</f>
        <v>2.7613940320643908</v>
      </c>
      <c r="AA19" s="41">
        <f>SUMIF('OS Dev model'!$C$291:$C$319,Summary!$A19,'OS Dev model'!AM$291:AM$319)</f>
        <v>4.2578775098234605</v>
      </c>
      <c r="AB19" s="41">
        <f>SUMIF('OS Dev model'!$C$291:$C$319,Summary!$A19,'OS Dev model'!AN$291:AN$319)</f>
        <v>4.6093652982593865</v>
      </c>
      <c r="AC19" s="41">
        <f>SUMIF('OS Dev model'!$C$291:$C$319,Summary!$A19,'OS Dev model'!AO$291:AO$319)</f>
        <v>6.5626387167932094</v>
      </c>
      <c r="AD19" s="41">
        <f>SUMIF('OS Dev model'!$C$291:$C$319,Summary!$A19,'OS Dev model'!AP$291:AP$319)</f>
        <v>5.3296210396368568</v>
      </c>
      <c r="AE19" s="41">
        <f>SUMIF('OS Dev model'!$C$291:$C$319,Summary!$A19,'OS Dev model'!AQ$291:AQ$319)</f>
        <v>5.0137476357937896</v>
      </c>
      <c r="AF19" s="41">
        <f>SUMIF('OS Dev model'!$C$291:$C$319,Summary!$A19,'OS Dev model'!AR$291:AR$319)</f>
        <v>3.3165028406623747</v>
      </c>
      <c r="AG19" s="41">
        <f>SUMIF('OS Dev model'!$C$291:$C$319,Summary!$A19,'OS Dev model'!AS$291:AS$319)</f>
        <v>7.5103677713608734</v>
      </c>
      <c r="AH19" s="41">
        <f>SUMIF('OS Dev model'!$C$291:$C$319,Summary!$A19,'OS Dev model'!AT$291:AT$319)</f>
        <v>0</v>
      </c>
      <c r="AI19" s="41">
        <f>SUMIF('OS Dev model'!$C$291:$C$319,Summary!$A19,'OS Dev model'!AU$291:AU$319)</f>
        <v>0</v>
      </c>
      <c r="AJ19" s="41">
        <f>SUMIF('OS Dev model'!$C$291:$C$319,Summary!$A19,'OS Dev model'!AV$291:AV$319)</f>
        <v>0</v>
      </c>
      <c r="AK19" s="41">
        <f>SUMIF('OS Dev model'!$C$291:$C$319,Summary!$A19,'OS Dev model'!AW$291:AW$319)</f>
        <v>0</v>
      </c>
      <c r="AL19" s="41">
        <f>SUMIF('OS Dev model'!$C$291:$C$319,Summary!$A19,'OS Dev model'!AX$291:AX$319)</f>
        <v>0</v>
      </c>
      <c r="AM19" s="41">
        <f>SUMIF('OS Dev model'!$C$291:$C$319,Summary!$A19,'OS Dev model'!AY$291:AY$319)</f>
        <v>0</v>
      </c>
      <c r="AN19" s="41">
        <f>SUMIF('OS Dev model'!$C$291:$C$319,Summary!$A19,'OS Dev model'!AZ$291:AZ$319)</f>
        <v>0</v>
      </c>
      <c r="AO19" s="41">
        <f>SUMIF('OS Dev model'!$C$291:$C$319,Summary!$A19,'OS Dev model'!BA$291:BA$319)</f>
        <v>0</v>
      </c>
      <c r="AP19" s="41">
        <f>SUMIF('OS Dev model'!$C$291:$C$319,Summary!$A19,'OS Dev model'!BB$291:BB$319)</f>
        <v>0</v>
      </c>
      <c r="AQ19" s="41">
        <f>SUMIF('OS Dev model'!$C$291:$C$319,Summary!$A19,'OS Dev model'!BC$291:BC$319)</f>
        <v>0</v>
      </c>
      <c r="AR19" s="41">
        <f>SUMIF('OS Dev model'!$C$291:$C$319,Summary!$A19,'OS Dev model'!BD$291:BD$319)</f>
        <v>0</v>
      </c>
      <c r="AS19" s="41">
        <f>SUMIF('OS Dev model'!$C$291:$C$319,Summary!$A19,'OS Dev model'!BE$291:BE$319)</f>
        <v>0</v>
      </c>
      <c r="AT19" s="41">
        <f>SUMIF('OS Dev model'!$C$291:$C$319,Summary!$A19,'OS Dev model'!BF$291:BF$319)</f>
        <v>0</v>
      </c>
      <c r="AU19" s="41">
        <f>SUMIF('OS Dev model'!$C$291:$C$319,Summary!$A19,'OS Dev model'!BG$291:BG$319)</f>
        <v>0</v>
      </c>
      <c r="AV19" s="41">
        <f>SUMIF('OS Dev model'!$C$291:$C$319,Summary!$A19,'OS Dev model'!BH$291:BH$319)</f>
        <v>0</v>
      </c>
      <c r="AW19" s="41">
        <f>SUMIF('OS Dev model'!$C$291:$C$319,Summary!$A19,'OS Dev model'!BI$291:BI$319)</f>
        <v>0</v>
      </c>
      <c r="AX19" s="41">
        <f>SUMIF('OS Dev model'!$C$291:$C$319,Summary!$A19,'OS Dev model'!BJ$291:BJ$319)</f>
        <v>0</v>
      </c>
      <c r="AY19" s="41">
        <f>SUMIF('OS Dev model'!$C$291:$C$319,Summary!$A19,'OS Dev model'!BK$291:BK$319)</f>
        <v>0</v>
      </c>
      <c r="AZ19" s="41">
        <f>SUMIF('OS Dev model'!$C$291:$C$319,Summary!$A19,'OS Dev model'!BL$291:BL$319)</f>
        <v>0</v>
      </c>
    </row>
    <row r="20" spans="1:52" s="2" customFormat="1" x14ac:dyDescent="0.3">
      <c r="A20" s="2" t="str">
        <f>'OS Dev model'!B305</f>
        <v>West</v>
      </c>
      <c r="B20" s="2" t="str">
        <f t="shared" si="8"/>
        <v>West</v>
      </c>
      <c r="C20" s="45">
        <v>10</v>
      </c>
      <c r="D20" s="50">
        <f>F57</f>
        <v>0.88524548821865767</v>
      </c>
      <c r="E20" s="58">
        <f t="shared" si="0"/>
        <v>0.11475451178134233</v>
      </c>
      <c r="F20" s="22">
        <f t="shared" si="10"/>
        <v>0.11475451178134233</v>
      </c>
      <c r="G20" s="30">
        <f t="shared" si="11"/>
        <v>0.11475451178134233</v>
      </c>
      <c r="H20" s="41">
        <f t="shared" si="2"/>
        <v>5.88652</v>
      </c>
      <c r="I20" s="41">
        <f t="shared" si="3"/>
        <v>5.88652</v>
      </c>
      <c r="J20" s="41">
        <f t="shared" si="4"/>
        <v>0</v>
      </c>
      <c r="K20" s="41">
        <f t="shared" si="5"/>
        <v>0</v>
      </c>
      <c r="L20" s="41">
        <f t="shared" si="6"/>
        <v>0</v>
      </c>
      <c r="M20" s="41">
        <f t="shared" si="7"/>
        <v>5.88652</v>
      </c>
      <c r="N20" s="41">
        <f>SUMIF('OS Dev model'!$C$291:$C$319,Summary!$A20,'OS Dev model'!Z$291:Z$319)</f>
        <v>0.28659800000000002</v>
      </c>
      <c r="O20" s="41">
        <f>SUMIF('OS Dev model'!$C$291:$C$319,Summary!$A20,'OS Dev model'!AA$291:AA$319)</f>
        <v>0.05</v>
      </c>
      <c r="P20" s="41">
        <f>SUMIF('OS Dev model'!$C$291:$C$319,Summary!$A20,'OS Dev model'!AB$291:AB$319)</f>
        <v>0.15</v>
      </c>
      <c r="Q20" s="41">
        <f>SUMIF('OS Dev model'!$C$291:$C$319,Summary!$A20,'OS Dev model'!AC$291:AC$319)</f>
        <v>0.2</v>
      </c>
      <c r="R20" s="41">
        <f>SUMIF('OS Dev model'!$C$291:$C$319,Summary!$A20,'OS Dev model'!AD$291:AD$319)</f>
        <v>1.6878820000000001</v>
      </c>
      <c r="S20" s="41">
        <f>SUMIF('OS Dev model'!$C$291:$C$319,Summary!$A20,'OS Dev model'!AE$291:AE$319)</f>
        <v>0.51204000000000005</v>
      </c>
      <c r="T20" s="41">
        <f>SUMIF('OS Dev model'!$C$291:$C$319,Summary!$A20,'OS Dev model'!AF$291:AF$319)</f>
        <v>3</v>
      </c>
      <c r="U20" s="41">
        <f>SUMIF('OS Dev model'!$C$291:$C$319,Summary!$A20,'OS Dev model'!AG$291:AG$319)</f>
        <v>0</v>
      </c>
      <c r="V20" s="41">
        <f>SUMIF('OS Dev model'!$C$291:$C$319,Summary!$A20,'OS Dev model'!AH$291:AH$319)</f>
        <v>0</v>
      </c>
      <c r="W20" s="41">
        <f>SUMIF('OS Dev model'!$C$291:$C$319,Summary!$A20,'OS Dev model'!AI$291:AI$319)</f>
        <v>0</v>
      </c>
      <c r="X20" s="41">
        <f>SUMIF('OS Dev model'!$C$291:$C$319,Summary!$A20,'OS Dev model'!AJ$291:AJ$319)</f>
        <v>0</v>
      </c>
      <c r="Y20" s="41">
        <f>SUMIF('OS Dev model'!$C$291:$C$319,Summary!$A20,'OS Dev model'!AK$291:AK$319)</f>
        <v>0</v>
      </c>
      <c r="Z20" s="41">
        <f>SUMIF('OS Dev model'!$C$291:$C$319,Summary!$A20,'OS Dev model'!AL$291:AL$319)</f>
        <v>0</v>
      </c>
      <c r="AA20" s="41">
        <f>SUMIF('OS Dev model'!$C$291:$C$319,Summary!$A20,'OS Dev model'!AM$291:AM$319)</f>
        <v>0</v>
      </c>
      <c r="AB20" s="41">
        <f>SUMIF('OS Dev model'!$C$291:$C$319,Summary!$A20,'OS Dev model'!AN$291:AN$319)</f>
        <v>0</v>
      </c>
      <c r="AC20" s="41">
        <f>SUMIF('OS Dev model'!$C$291:$C$319,Summary!$A20,'OS Dev model'!AO$291:AO$319)</f>
        <v>0</v>
      </c>
      <c r="AD20" s="41">
        <f>SUMIF('OS Dev model'!$C$291:$C$319,Summary!$A20,'OS Dev model'!AP$291:AP$319)</f>
        <v>0</v>
      </c>
      <c r="AE20" s="41">
        <f>SUMIF('OS Dev model'!$C$291:$C$319,Summary!$A20,'OS Dev model'!AQ$291:AQ$319)</f>
        <v>0</v>
      </c>
      <c r="AF20" s="41">
        <f>SUMIF('OS Dev model'!$C$291:$C$319,Summary!$A20,'OS Dev model'!AR$291:AR$319)</f>
        <v>0</v>
      </c>
      <c r="AG20" s="41">
        <f>SUMIF('OS Dev model'!$C$291:$C$319,Summary!$A20,'OS Dev model'!AS$291:AS$319)</f>
        <v>0</v>
      </c>
      <c r="AH20" s="41">
        <f>SUMIF('OS Dev model'!$C$291:$C$319,Summary!$A20,'OS Dev model'!AT$291:AT$319)</f>
        <v>0</v>
      </c>
      <c r="AI20" s="41">
        <f>SUMIF('OS Dev model'!$C$291:$C$319,Summary!$A20,'OS Dev model'!AU$291:AU$319)</f>
        <v>0</v>
      </c>
      <c r="AJ20" s="41">
        <f>SUMIF('OS Dev model'!$C$291:$C$319,Summary!$A20,'OS Dev model'!AV$291:AV$319)</f>
        <v>0</v>
      </c>
      <c r="AK20" s="41">
        <f>SUMIF('OS Dev model'!$C$291:$C$319,Summary!$A20,'OS Dev model'!AW$291:AW$319)</f>
        <v>0</v>
      </c>
      <c r="AL20" s="41">
        <f>SUMIF('OS Dev model'!$C$291:$C$319,Summary!$A20,'OS Dev model'!AX$291:AX$319)</f>
        <v>0</v>
      </c>
      <c r="AM20" s="41">
        <f>SUMIF('OS Dev model'!$C$291:$C$319,Summary!$A20,'OS Dev model'!AY$291:AY$319)</f>
        <v>0</v>
      </c>
      <c r="AN20" s="41">
        <f>SUMIF('OS Dev model'!$C$291:$C$319,Summary!$A20,'OS Dev model'!AZ$291:AZ$319)</f>
        <v>0</v>
      </c>
      <c r="AO20" s="41">
        <f>SUMIF('OS Dev model'!$C$291:$C$319,Summary!$A20,'OS Dev model'!BA$291:BA$319)</f>
        <v>0</v>
      </c>
      <c r="AP20" s="41">
        <f>SUMIF('OS Dev model'!$C$291:$C$319,Summary!$A20,'OS Dev model'!BB$291:BB$319)</f>
        <v>0</v>
      </c>
      <c r="AQ20" s="41">
        <f>SUMIF('OS Dev model'!$C$291:$C$319,Summary!$A20,'OS Dev model'!BC$291:BC$319)</f>
        <v>0</v>
      </c>
      <c r="AR20" s="41">
        <f>SUMIF('OS Dev model'!$C$291:$C$319,Summary!$A20,'OS Dev model'!BD$291:BD$319)</f>
        <v>0</v>
      </c>
      <c r="AS20" s="41">
        <f>SUMIF('OS Dev model'!$C$291:$C$319,Summary!$A20,'OS Dev model'!BE$291:BE$319)</f>
        <v>0</v>
      </c>
      <c r="AT20" s="41">
        <f>SUMIF('OS Dev model'!$C$291:$C$319,Summary!$A20,'OS Dev model'!BF$291:BF$319)</f>
        <v>0</v>
      </c>
      <c r="AU20" s="41">
        <f>SUMIF('OS Dev model'!$C$291:$C$319,Summary!$A20,'OS Dev model'!BG$291:BG$319)</f>
        <v>0</v>
      </c>
      <c r="AV20" s="41">
        <f>SUMIF('OS Dev model'!$C$291:$C$319,Summary!$A20,'OS Dev model'!BH$291:BH$319)</f>
        <v>0</v>
      </c>
      <c r="AW20" s="41">
        <f>SUMIF('OS Dev model'!$C$291:$C$319,Summary!$A20,'OS Dev model'!BI$291:BI$319)</f>
        <v>0</v>
      </c>
      <c r="AX20" s="41">
        <f>SUMIF('OS Dev model'!$C$291:$C$319,Summary!$A20,'OS Dev model'!BJ$291:BJ$319)</f>
        <v>0</v>
      </c>
      <c r="AY20" s="41">
        <f>SUMIF('OS Dev model'!$C$291:$C$319,Summary!$A20,'OS Dev model'!BK$291:BK$319)</f>
        <v>0</v>
      </c>
      <c r="AZ20" s="41">
        <f>SUMIF('OS Dev model'!$C$291:$C$319,Summary!$A20,'OS Dev model'!BL$291:BL$319)</f>
        <v>0</v>
      </c>
    </row>
    <row r="21" spans="1:52" s="2" customFormat="1" x14ac:dyDescent="0.3">
      <c r="A21" s="2" t="str">
        <f>'OS Dev model'!B306</f>
        <v>Roskill</v>
      </c>
      <c r="B21" s="2" t="str">
        <f t="shared" si="8"/>
        <v>Mount Roskill AHP</v>
      </c>
      <c r="C21" s="45">
        <v>30</v>
      </c>
      <c r="D21" s="50">
        <v>0.3</v>
      </c>
      <c r="E21" s="58">
        <f t="shared" si="0"/>
        <v>0.7</v>
      </c>
      <c r="F21" s="22">
        <f t="shared" si="10"/>
        <v>0.32989953662301963</v>
      </c>
      <c r="G21" s="30">
        <f t="shared" si="11"/>
        <v>0.51494976831150985</v>
      </c>
      <c r="H21" s="41">
        <f t="shared" si="2"/>
        <v>10.958391442788162</v>
      </c>
      <c r="I21" s="41">
        <f t="shared" si="3"/>
        <v>10.958391442788162</v>
      </c>
      <c r="J21" s="41">
        <f t="shared" si="4"/>
        <v>0</v>
      </c>
      <c r="K21" s="41">
        <f t="shared" si="5"/>
        <v>0</v>
      </c>
      <c r="L21" s="41">
        <f t="shared" si="6"/>
        <v>0</v>
      </c>
      <c r="M21" s="41">
        <f t="shared" si="7"/>
        <v>10.958391442788162</v>
      </c>
      <c r="N21" s="41">
        <f>SUMIF('OS Dev model'!$C$291:$C$319,Summary!$A21,'OS Dev model'!Z$291:Z$319)</f>
        <v>0.15000000000000002</v>
      </c>
      <c r="O21" s="41">
        <f>SUMIF('OS Dev model'!$C$291:$C$319,Summary!$A21,'OS Dev model'!AA$291:AA$319)</f>
        <v>1.1499999999999999</v>
      </c>
      <c r="P21" s="41">
        <f>SUMIF('OS Dev model'!$C$291:$C$319,Summary!$A21,'OS Dev model'!AB$291:AB$319)</f>
        <v>1.4</v>
      </c>
      <c r="Q21" s="41">
        <f>SUMIF('OS Dev model'!$C$291:$C$319,Summary!$A21,'OS Dev model'!AC$291:AC$319)</f>
        <v>0</v>
      </c>
      <c r="R21" s="41">
        <f>SUMIF('OS Dev model'!$C$291:$C$319,Summary!$A21,'OS Dev model'!AD$291:AD$319)</f>
        <v>0</v>
      </c>
      <c r="S21" s="41">
        <f>SUMIF('OS Dev model'!$C$291:$C$319,Summary!$A21,'OS Dev model'!AE$291:AE$319)</f>
        <v>2.6972135357225984</v>
      </c>
      <c r="T21" s="41">
        <f>SUMIF('OS Dev model'!$C$291:$C$319,Summary!$A21,'OS Dev model'!AF$291:AF$319)</f>
        <v>5.5611779070655656</v>
      </c>
      <c r="U21" s="41">
        <f>SUMIF('OS Dev model'!$C$291:$C$319,Summary!$A21,'OS Dev model'!AG$291:AG$319)</f>
        <v>0</v>
      </c>
      <c r="V21" s="41">
        <f>SUMIF('OS Dev model'!$C$291:$C$319,Summary!$A21,'OS Dev model'!AH$291:AH$319)</f>
        <v>0</v>
      </c>
      <c r="W21" s="41">
        <f>SUMIF('OS Dev model'!$C$291:$C$319,Summary!$A21,'OS Dev model'!AI$291:AI$319)</f>
        <v>0</v>
      </c>
      <c r="X21" s="41">
        <f>SUMIF('OS Dev model'!$C$291:$C$319,Summary!$A21,'OS Dev model'!AJ$291:AJ$319)</f>
        <v>0</v>
      </c>
      <c r="Y21" s="41">
        <f>SUMIF('OS Dev model'!$C$291:$C$319,Summary!$A21,'OS Dev model'!AK$291:AK$319)</f>
        <v>0</v>
      </c>
      <c r="Z21" s="41">
        <f>SUMIF('OS Dev model'!$C$291:$C$319,Summary!$A21,'OS Dev model'!AL$291:AL$319)</f>
        <v>0</v>
      </c>
      <c r="AA21" s="41">
        <f>SUMIF('OS Dev model'!$C$291:$C$319,Summary!$A21,'OS Dev model'!AM$291:AM$319)</f>
        <v>0</v>
      </c>
      <c r="AB21" s="41">
        <f>SUMIF('OS Dev model'!$C$291:$C$319,Summary!$A21,'OS Dev model'!AN$291:AN$319)</f>
        <v>0</v>
      </c>
      <c r="AC21" s="41">
        <f>SUMIF('OS Dev model'!$C$291:$C$319,Summary!$A21,'OS Dev model'!AO$291:AO$319)</f>
        <v>0</v>
      </c>
      <c r="AD21" s="41">
        <f>SUMIF('OS Dev model'!$C$291:$C$319,Summary!$A21,'OS Dev model'!AP$291:AP$319)</f>
        <v>0</v>
      </c>
      <c r="AE21" s="41">
        <f>SUMIF('OS Dev model'!$C$291:$C$319,Summary!$A21,'OS Dev model'!AQ$291:AQ$319)</f>
        <v>0</v>
      </c>
      <c r="AF21" s="41">
        <f>SUMIF('OS Dev model'!$C$291:$C$319,Summary!$A21,'OS Dev model'!AR$291:AR$319)</f>
        <v>0</v>
      </c>
      <c r="AG21" s="41">
        <f>SUMIF('OS Dev model'!$C$291:$C$319,Summary!$A21,'OS Dev model'!AS$291:AS$319)</f>
        <v>0</v>
      </c>
      <c r="AH21" s="41">
        <f>SUMIF('OS Dev model'!$C$291:$C$319,Summary!$A21,'OS Dev model'!AT$291:AT$319)</f>
        <v>0</v>
      </c>
      <c r="AI21" s="41">
        <f>SUMIF('OS Dev model'!$C$291:$C$319,Summary!$A21,'OS Dev model'!AU$291:AU$319)</f>
        <v>0</v>
      </c>
      <c r="AJ21" s="41">
        <f>SUMIF('OS Dev model'!$C$291:$C$319,Summary!$A21,'OS Dev model'!AV$291:AV$319)</f>
        <v>0</v>
      </c>
      <c r="AK21" s="41">
        <f>SUMIF('OS Dev model'!$C$291:$C$319,Summary!$A21,'OS Dev model'!AW$291:AW$319)</f>
        <v>0</v>
      </c>
      <c r="AL21" s="41">
        <f>SUMIF('OS Dev model'!$C$291:$C$319,Summary!$A21,'OS Dev model'!AX$291:AX$319)</f>
        <v>0</v>
      </c>
      <c r="AM21" s="41">
        <f>SUMIF('OS Dev model'!$C$291:$C$319,Summary!$A21,'OS Dev model'!AY$291:AY$319)</f>
        <v>0</v>
      </c>
      <c r="AN21" s="41">
        <f>SUMIF('OS Dev model'!$C$291:$C$319,Summary!$A21,'OS Dev model'!AZ$291:AZ$319)</f>
        <v>0</v>
      </c>
      <c r="AO21" s="41">
        <f>SUMIF('OS Dev model'!$C$291:$C$319,Summary!$A21,'OS Dev model'!BA$291:BA$319)</f>
        <v>0</v>
      </c>
      <c r="AP21" s="41">
        <f>SUMIF('OS Dev model'!$C$291:$C$319,Summary!$A21,'OS Dev model'!BB$291:BB$319)</f>
        <v>0</v>
      </c>
      <c r="AQ21" s="41">
        <f>SUMIF('OS Dev model'!$C$291:$C$319,Summary!$A21,'OS Dev model'!BC$291:BC$319)</f>
        <v>0</v>
      </c>
      <c r="AR21" s="41">
        <f>SUMIF('OS Dev model'!$C$291:$C$319,Summary!$A21,'OS Dev model'!BD$291:BD$319)</f>
        <v>0</v>
      </c>
      <c r="AS21" s="41">
        <f>SUMIF('OS Dev model'!$C$291:$C$319,Summary!$A21,'OS Dev model'!BE$291:BE$319)</f>
        <v>0</v>
      </c>
      <c r="AT21" s="41">
        <f>SUMIF('OS Dev model'!$C$291:$C$319,Summary!$A21,'OS Dev model'!BF$291:BF$319)</f>
        <v>0</v>
      </c>
      <c r="AU21" s="41">
        <f>SUMIF('OS Dev model'!$C$291:$C$319,Summary!$A21,'OS Dev model'!BG$291:BG$319)</f>
        <v>0</v>
      </c>
      <c r="AV21" s="41">
        <f>SUMIF('OS Dev model'!$C$291:$C$319,Summary!$A21,'OS Dev model'!BH$291:BH$319)</f>
        <v>0</v>
      </c>
      <c r="AW21" s="41">
        <f>SUMIF('OS Dev model'!$C$291:$C$319,Summary!$A21,'OS Dev model'!BI$291:BI$319)</f>
        <v>0</v>
      </c>
      <c r="AX21" s="41">
        <f>SUMIF('OS Dev model'!$C$291:$C$319,Summary!$A21,'OS Dev model'!BJ$291:BJ$319)</f>
        <v>0</v>
      </c>
      <c r="AY21" s="41">
        <f>SUMIF('OS Dev model'!$C$291:$C$319,Summary!$A21,'OS Dev model'!BK$291:BK$319)</f>
        <v>0</v>
      </c>
      <c r="AZ21" s="41">
        <f>SUMIF('OS Dev model'!$C$291:$C$319,Summary!$A21,'OS Dev model'!BL$291:BL$319)</f>
        <v>0</v>
      </c>
    </row>
    <row r="22" spans="1:52" s="2" customFormat="1" x14ac:dyDescent="0.3">
      <c r="A22" s="2" t="str">
        <f>'OS Dev model'!B307</f>
        <v>Tamaki</v>
      </c>
      <c r="B22" s="2" t="str">
        <f t="shared" si="8"/>
        <v>Tamaki</v>
      </c>
      <c r="C22" s="45">
        <v>30</v>
      </c>
      <c r="D22" s="50">
        <v>0.3</v>
      </c>
      <c r="E22" s="58">
        <f t="shared" si="0"/>
        <v>0.7</v>
      </c>
      <c r="F22" s="22">
        <f t="shared" si="10"/>
        <v>0.51986640710898313</v>
      </c>
      <c r="G22" s="30">
        <f t="shared" si="11"/>
        <v>0.60993320355449154</v>
      </c>
      <c r="H22" s="41">
        <f t="shared" si="2"/>
        <v>46.140308856880843</v>
      </c>
      <c r="I22" s="41">
        <f t="shared" si="3"/>
        <v>46.140308856880843</v>
      </c>
      <c r="J22" s="41">
        <f t="shared" si="4"/>
        <v>0</v>
      </c>
      <c r="K22" s="41">
        <f t="shared" si="5"/>
        <v>0</v>
      </c>
      <c r="L22" s="41">
        <f t="shared" si="6"/>
        <v>0</v>
      </c>
      <c r="M22" s="41">
        <f t="shared" si="7"/>
        <v>46.140308856880843</v>
      </c>
      <c r="N22" s="41">
        <f>SUMIF('OS Dev model'!$C$291:$C$319,Summary!$A22,'OS Dev model'!Z$291:Z$319)</f>
        <v>4.0484999999999998</v>
      </c>
      <c r="O22" s="41">
        <f>SUMIF('OS Dev model'!$C$291:$C$319,Summary!$A22,'OS Dev model'!AA$291:AA$319)</f>
        <v>11.636605000000001</v>
      </c>
      <c r="P22" s="41">
        <f>SUMIF('OS Dev model'!$C$291:$C$319,Summary!$A22,'OS Dev model'!AB$291:AB$319)</f>
        <v>4.05</v>
      </c>
      <c r="Q22" s="41">
        <f>SUMIF('OS Dev model'!$C$291:$C$319,Summary!$A22,'OS Dev model'!AC$291:AC$319)</f>
        <v>1</v>
      </c>
      <c r="R22" s="41">
        <f>SUMIF('OS Dev model'!$C$291:$C$319,Summary!$A22,'OS Dev model'!AD$291:AD$319)</f>
        <v>2.9554580791422405</v>
      </c>
      <c r="S22" s="41">
        <f>SUMIF('OS Dev model'!$C$291:$C$319,Summary!$A22,'OS Dev model'!AE$291:AE$319)</f>
        <v>4.7406071460118078</v>
      </c>
      <c r="T22" s="41">
        <f>SUMIF('OS Dev model'!$C$291:$C$319,Summary!$A22,'OS Dev model'!AF$291:AF$319)</f>
        <v>2.8959756677212631</v>
      </c>
      <c r="U22" s="41">
        <f>SUMIF('OS Dev model'!$C$291:$C$319,Summary!$A22,'OS Dev model'!AG$291:AG$319)</f>
        <v>4.4356784892430605</v>
      </c>
      <c r="V22" s="41">
        <f>SUMIF('OS Dev model'!$C$291:$C$319,Summary!$A22,'OS Dev model'!AH$291:AH$319)</f>
        <v>3.5681826180304048</v>
      </c>
      <c r="W22" s="41">
        <f>SUMIF('OS Dev model'!$C$291:$C$319,Summary!$A22,'OS Dev model'!AI$291:AI$319)</f>
        <v>6.8093018567320618</v>
      </c>
      <c r="X22" s="41">
        <f>SUMIF('OS Dev model'!$C$291:$C$319,Summary!$A22,'OS Dev model'!AJ$291:AJ$319)</f>
        <v>0</v>
      </c>
      <c r="Y22" s="41">
        <f>SUMIF('OS Dev model'!$C$291:$C$319,Summary!$A22,'OS Dev model'!AK$291:AK$319)</f>
        <v>0</v>
      </c>
      <c r="Z22" s="41">
        <f>SUMIF('OS Dev model'!$C$291:$C$319,Summary!$A22,'OS Dev model'!AL$291:AL$319)</f>
        <v>0</v>
      </c>
      <c r="AA22" s="41">
        <f>SUMIF('OS Dev model'!$C$291:$C$319,Summary!$A22,'OS Dev model'!AM$291:AM$319)</f>
        <v>0</v>
      </c>
      <c r="AB22" s="41">
        <f>SUMIF('OS Dev model'!$C$291:$C$319,Summary!$A22,'OS Dev model'!AN$291:AN$319)</f>
        <v>0</v>
      </c>
      <c r="AC22" s="41">
        <f>SUMIF('OS Dev model'!$C$291:$C$319,Summary!$A22,'OS Dev model'!AO$291:AO$319)</f>
        <v>0</v>
      </c>
      <c r="AD22" s="41">
        <f>SUMIF('OS Dev model'!$C$291:$C$319,Summary!$A22,'OS Dev model'!AP$291:AP$319)</f>
        <v>0</v>
      </c>
      <c r="AE22" s="41">
        <f>SUMIF('OS Dev model'!$C$291:$C$319,Summary!$A22,'OS Dev model'!AQ$291:AQ$319)</f>
        <v>0</v>
      </c>
      <c r="AF22" s="41">
        <f>SUMIF('OS Dev model'!$C$291:$C$319,Summary!$A22,'OS Dev model'!AR$291:AR$319)</f>
        <v>0</v>
      </c>
      <c r="AG22" s="41">
        <f>SUMIF('OS Dev model'!$C$291:$C$319,Summary!$A22,'OS Dev model'!AS$291:AS$319)</f>
        <v>0</v>
      </c>
      <c r="AH22" s="41">
        <f>SUMIF('OS Dev model'!$C$291:$C$319,Summary!$A22,'OS Dev model'!AT$291:AT$319)</f>
        <v>0</v>
      </c>
      <c r="AI22" s="41">
        <f>SUMIF('OS Dev model'!$C$291:$C$319,Summary!$A22,'OS Dev model'!AU$291:AU$319)</f>
        <v>0</v>
      </c>
      <c r="AJ22" s="41">
        <f>SUMIF('OS Dev model'!$C$291:$C$319,Summary!$A22,'OS Dev model'!AV$291:AV$319)</f>
        <v>0</v>
      </c>
      <c r="AK22" s="41">
        <f>SUMIF('OS Dev model'!$C$291:$C$319,Summary!$A22,'OS Dev model'!AW$291:AW$319)</f>
        <v>0</v>
      </c>
      <c r="AL22" s="41">
        <f>SUMIF('OS Dev model'!$C$291:$C$319,Summary!$A22,'OS Dev model'!AX$291:AX$319)</f>
        <v>0</v>
      </c>
      <c r="AM22" s="41">
        <f>SUMIF('OS Dev model'!$C$291:$C$319,Summary!$A22,'OS Dev model'!AY$291:AY$319)</f>
        <v>0</v>
      </c>
      <c r="AN22" s="41">
        <f>SUMIF('OS Dev model'!$C$291:$C$319,Summary!$A22,'OS Dev model'!AZ$291:AZ$319)</f>
        <v>0</v>
      </c>
      <c r="AO22" s="41">
        <f>SUMIF('OS Dev model'!$C$291:$C$319,Summary!$A22,'OS Dev model'!BA$291:BA$319)</f>
        <v>0</v>
      </c>
      <c r="AP22" s="41">
        <f>SUMIF('OS Dev model'!$C$291:$C$319,Summary!$A22,'OS Dev model'!BB$291:BB$319)</f>
        <v>0</v>
      </c>
      <c r="AQ22" s="41">
        <f>SUMIF('OS Dev model'!$C$291:$C$319,Summary!$A22,'OS Dev model'!BC$291:BC$319)</f>
        <v>0</v>
      </c>
      <c r="AR22" s="41">
        <f>SUMIF('OS Dev model'!$C$291:$C$319,Summary!$A22,'OS Dev model'!BD$291:BD$319)</f>
        <v>0</v>
      </c>
      <c r="AS22" s="41">
        <f>SUMIF('OS Dev model'!$C$291:$C$319,Summary!$A22,'OS Dev model'!BE$291:BE$319)</f>
        <v>0</v>
      </c>
      <c r="AT22" s="41">
        <f>SUMIF('OS Dev model'!$C$291:$C$319,Summary!$A22,'OS Dev model'!BF$291:BF$319)</f>
        <v>0</v>
      </c>
      <c r="AU22" s="41">
        <f>SUMIF('OS Dev model'!$C$291:$C$319,Summary!$A22,'OS Dev model'!BG$291:BG$319)</f>
        <v>0</v>
      </c>
      <c r="AV22" s="41">
        <f>SUMIF('OS Dev model'!$C$291:$C$319,Summary!$A22,'OS Dev model'!BH$291:BH$319)</f>
        <v>0</v>
      </c>
      <c r="AW22" s="41">
        <f>SUMIF('OS Dev model'!$C$291:$C$319,Summary!$A22,'OS Dev model'!BI$291:BI$319)</f>
        <v>0</v>
      </c>
      <c r="AX22" s="41">
        <f>SUMIF('OS Dev model'!$C$291:$C$319,Summary!$A22,'OS Dev model'!BJ$291:BJ$319)</f>
        <v>0</v>
      </c>
      <c r="AY22" s="41">
        <f>SUMIF('OS Dev model'!$C$291:$C$319,Summary!$A22,'OS Dev model'!BK$291:BK$319)</f>
        <v>0</v>
      </c>
      <c r="AZ22" s="41">
        <f>SUMIF('OS Dev model'!$C$291:$C$319,Summary!$A22,'OS Dev model'!BL$291:BL$319)</f>
        <v>0</v>
      </c>
    </row>
    <row r="23" spans="1:52" s="2" customFormat="1" x14ac:dyDescent="0.3">
      <c r="A23" s="2" t="str">
        <f>'OS Dev model'!B308</f>
        <v>Mangere</v>
      </c>
      <c r="B23" s="2" t="str">
        <f t="shared" si="8"/>
        <v>Mangere AHP</v>
      </c>
      <c r="C23" s="45">
        <v>30</v>
      </c>
      <c r="D23" s="50">
        <v>0.3</v>
      </c>
      <c r="E23" s="58">
        <f t="shared" si="0"/>
        <v>0.7</v>
      </c>
      <c r="F23" s="22">
        <f t="shared" si="10"/>
        <v>0.47356248778247079</v>
      </c>
      <c r="G23" s="30">
        <f t="shared" si="11"/>
        <v>0.58678124389123543</v>
      </c>
      <c r="H23" s="41">
        <f t="shared" si="2"/>
        <v>25.697218013585722</v>
      </c>
      <c r="I23" s="41">
        <f t="shared" si="3"/>
        <v>25.697218013585722</v>
      </c>
      <c r="J23" s="41">
        <f t="shared" si="4"/>
        <v>0</v>
      </c>
      <c r="K23" s="41">
        <f t="shared" si="5"/>
        <v>0</v>
      </c>
      <c r="L23" s="41">
        <f t="shared" si="6"/>
        <v>0</v>
      </c>
      <c r="M23" s="41">
        <f t="shared" si="7"/>
        <v>25.697218013585722</v>
      </c>
      <c r="N23" s="41">
        <f>SUMIF('OS Dev model'!$C$291:$C$319,Summary!$A23,'OS Dev model'!Z$291:Z$319)</f>
        <v>0.29646499999999998</v>
      </c>
      <c r="O23" s="41">
        <f>SUMIF('OS Dev model'!$C$291:$C$319,Summary!$A23,'OS Dev model'!AA$291:AA$319)</f>
        <v>1.1499999999999999</v>
      </c>
      <c r="P23" s="41">
        <f>SUMIF('OS Dev model'!$C$291:$C$319,Summary!$A23,'OS Dev model'!AB$291:AB$319)</f>
        <v>1.5</v>
      </c>
      <c r="Q23" s="41">
        <f>SUMIF('OS Dev model'!$C$291:$C$319,Summary!$A23,'OS Dev model'!AC$291:AC$319)</f>
        <v>0</v>
      </c>
      <c r="R23" s="41">
        <f>SUMIF('OS Dev model'!$C$291:$C$319,Summary!$A23,'OS Dev model'!AD$291:AD$319)</f>
        <v>2.1472904267889925</v>
      </c>
      <c r="S23" s="41">
        <f>SUMIF('OS Dev model'!$C$291:$C$319,Summary!$A23,'OS Dev model'!AE$291:AE$319)</f>
        <v>0.88361347901828746</v>
      </c>
      <c r="T23" s="41">
        <f>SUMIF('OS Dev model'!$C$291:$C$319,Summary!$A23,'OS Dev model'!AF$291:AF$319)</f>
        <v>11.412638349729496</v>
      </c>
      <c r="U23" s="41">
        <f>SUMIF('OS Dev model'!$C$291:$C$319,Summary!$A23,'OS Dev model'!AG$291:AG$319)</f>
        <v>1.4054286561175067</v>
      </c>
      <c r="V23" s="41">
        <f>SUMIF('OS Dev model'!$C$291:$C$319,Summary!$A23,'OS Dev model'!AH$291:AH$319)</f>
        <v>3.3982186617092269</v>
      </c>
      <c r="W23" s="41">
        <f>SUMIF('OS Dev model'!$C$291:$C$319,Summary!$A23,'OS Dev model'!AI$291:AI$319)</f>
        <v>3.5035634402222127</v>
      </c>
      <c r="X23" s="41">
        <f>SUMIF('OS Dev model'!$C$291:$C$319,Summary!$A23,'OS Dev model'!AJ$291:AJ$319)</f>
        <v>0</v>
      </c>
      <c r="Y23" s="41">
        <f>SUMIF('OS Dev model'!$C$291:$C$319,Summary!$A23,'OS Dev model'!AK$291:AK$319)</f>
        <v>0</v>
      </c>
      <c r="Z23" s="41">
        <f>SUMIF('OS Dev model'!$C$291:$C$319,Summary!$A23,'OS Dev model'!AL$291:AL$319)</f>
        <v>0</v>
      </c>
      <c r="AA23" s="41">
        <f>SUMIF('OS Dev model'!$C$291:$C$319,Summary!$A23,'OS Dev model'!AM$291:AM$319)</f>
        <v>0</v>
      </c>
      <c r="AB23" s="41">
        <f>SUMIF('OS Dev model'!$C$291:$C$319,Summary!$A23,'OS Dev model'!AN$291:AN$319)</f>
        <v>0</v>
      </c>
      <c r="AC23" s="41">
        <f>SUMIF('OS Dev model'!$C$291:$C$319,Summary!$A23,'OS Dev model'!AO$291:AO$319)</f>
        <v>0</v>
      </c>
      <c r="AD23" s="41">
        <f>SUMIF('OS Dev model'!$C$291:$C$319,Summary!$A23,'OS Dev model'!AP$291:AP$319)</f>
        <v>0</v>
      </c>
      <c r="AE23" s="41">
        <f>SUMIF('OS Dev model'!$C$291:$C$319,Summary!$A23,'OS Dev model'!AQ$291:AQ$319)</f>
        <v>0</v>
      </c>
      <c r="AF23" s="41">
        <f>SUMIF('OS Dev model'!$C$291:$C$319,Summary!$A23,'OS Dev model'!AR$291:AR$319)</f>
        <v>0</v>
      </c>
      <c r="AG23" s="41">
        <f>SUMIF('OS Dev model'!$C$291:$C$319,Summary!$A23,'OS Dev model'!AS$291:AS$319)</f>
        <v>0</v>
      </c>
      <c r="AH23" s="41">
        <f>SUMIF('OS Dev model'!$C$291:$C$319,Summary!$A23,'OS Dev model'!AT$291:AT$319)</f>
        <v>0</v>
      </c>
      <c r="AI23" s="41">
        <f>SUMIF('OS Dev model'!$C$291:$C$319,Summary!$A23,'OS Dev model'!AU$291:AU$319)</f>
        <v>0</v>
      </c>
      <c r="AJ23" s="41">
        <f>SUMIF('OS Dev model'!$C$291:$C$319,Summary!$A23,'OS Dev model'!AV$291:AV$319)</f>
        <v>0</v>
      </c>
      <c r="AK23" s="41">
        <f>SUMIF('OS Dev model'!$C$291:$C$319,Summary!$A23,'OS Dev model'!AW$291:AW$319)</f>
        <v>0</v>
      </c>
      <c r="AL23" s="41">
        <f>SUMIF('OS Dev model'!$C$291:$C$319,Summary!$A23,'OS Dev model'!AX$291:AX$319)</f>
        <v>0</v>
      </c>
      <c r="AM23" s="41">
        <f>SUMIF('OS Dev model'!$C$291:$C$319,Summary!$A23,'OS Dev model'!AY$291:AY$319)</f>
        <v>0</v>
      </c>
      <c r="AN23" s="41">
        <f>SUMIF('OS Dev model'!$C$291:$C$319,Summary!$A23,'OS Dev model'!AZ$291:AZ$319)</f>
        <v>0</v>
      </c>
      <c r="AO23" s="41">
        <f>SUMIF('OS Dev model'!$C$291:$C$319,Summary!$A23,'OS Dev model'!BA$291:BA$319)</f>
        <v>0</v>
      </c>
      <c r="AP23" s="41">
        <f>SUMIF('OS Dev model'!$C$291:$C$319,Summary!$A23,'OS Dev model'!BB$291:BB$319)</f>
        <v>0</v>
      </c>
      <c r="AQ23" s="41">
        <f>SUMIF('OS Dev model'!$C$291:$C$319,Summary!$A23,'OS Dev model'!BC$291:BC$319)</f>
        <v>0</v>
      </c>
      <c r="AR23" s="41">
        <f>SUMIF('OS Dev model'!$C$291:$C$319,Summary!$A23,'OS Dev model'!BD$291:BD$319)</f>
        <v>0</v>
      </c>
      <c r="AS23" s="41">
        <f>SUMIF('OS Dev model'!$C$291:$C$319,Summary!$A23,'OS Dev model'!BE$291:BE$319)</f>
        <v>0</v>
      </c>
      <c r="AT23" s="41">
        <f>SUMIF('OS Dev model'!$C$291:$C$319,Summary!$A23,'OS Dev model'!BF$291:BF$319)</f>
        <v>0</v>
      </c>
      <c r="AU23" s="41">
        <f>SUMIF('OS Dev model'!$C$291:$C$319,Summary!$A23,'OS Dev model'!BG$291:BG$319)</f>
        <v>0</v>
      </c>
      <c r="AV23" s="41">
        <f>SUMIF('OS Dev model'!$C$291:$C$319,Summary!$A23,'OS Dev model'!BH$291:BH$319)</f>
        <v>0</v>
      </c>
      <c r="AW23" s="41">
        <f>SUMIF('OS Dev model'!$C$291:$C$319,Summary!$A23,'OS Dev model'!BI$291:BI$319)</f>
        <v>0</v>
      </c>
      <c r="AX23" s="41">
        <f>SUMIF('OS Dev model'!$C$291:$C$319,Summary!$A23,'OS Dev model'!BJ$291:BJ$319)</f>
        <v>0</v>
      </c>
      <c r="AY23" s="41">
        <f>SUMIF('OS Dev model'!$C$291:$C$319,Summary!$A23,'OS Dev model'!BK$291:BK$319)</f>
        <v>0</v>
      </c>
      <c r="AZ23" s="41">
        <f>SUMIF('OS Dev model'!$C$291:$C$319,Summary!$A23,'OS Dev model'!BL$291:BL$319)</f>
        <v>0</v>
      </c>
    </row>
    <row r="24" spans="1:52" s="2" customFormat="1" x14ac:dyDescent="0.3">
      <c r="A24" s="2" t="str">
        <f>'OS Dev model'!B309</f>
        <v>Central</v>
      </c>
      <c r="B24" s="2" t="str">
        <f t="shared" si="8"/>
        <v>Central</v>
      </c>
      <c r="C24" s="45">
        <v>10</v>
      </c>
      <c r="D24" s="50">
        <f>F61</f>
        <v>0.67134747725056276</v>
      </c>
      <c r="E24" s="58">
        <f t="shared" si="0"/>
        <v>0.32865252274943724</v>
      </c>
      <c r="F24" s="22">
        <f t="shared" si="10"/>
        <v>0.32865252274943724</v>
      </c>
      <c r="G24" s="30">
        <f t="shared" si="11"/>
        <v>0.32865252274943724</v>
      </c>
      <c r="H24" s="41">
        <f t="shared" si="2"/>
        <v>1.3124124376824815</v>
      </c>
      <c r="I24" s="41">
        <f t="shared" si="3"/>
        <v>1.3124124376824815</v>
      </c>
      <c r="J24" s="41">
        <f t="shared" si="4"/>
        <v>0</v>
      </c>
      <c r="K24" s="41">
        <f t="shared" si="5"/>
        <v>0</v>
      </c>
      <c r="L24" s="41">
        <f t="shared" si="6"/>
        <v>0</v>
      </c>
      <c r="M24" s="41">
        <f t="shared" si="7"/>
        <v>1.3124124376824815</v>
      </c>
      <c r="N24" s="41">
        <f>SUMIF('OS Dev model'!$C$291:$C$319,Summary!$A24,'OS Dev model'!Z$291:Z$319)</f>
        <v>0</v>
      </c>
      <c r="O24" s="41">
        <f>SUMIF('OS Dev model'!$C$291:$C$319,Summary!$A24,'OS Dev model'!AA$291:AA$319)</f>
        <v>0</v>
      </c>
      <c r="P24" s="41">
        <f>SUMIF('OS Dev model'!$C$291:$C$319,Summary!$A24,'OS Dev model'!AB$291:AB$319)</f>
        <v>0</v>
      </c>
      <c r="Q24" s="41">
        <f>SUMIF('OS Dev model'!$C$291:$C$319,Summary!$A24,'OS Dev model'!AC$291:AC$319)</f>
        <v>0</v>
      </c>
      <c r="R24" s="41">
        <f>SUMIF('OS Dev model'!$C$291:$C$319,Summary!$A24,'OS Dev model'!AD$291:AD$319)</f>
        <v>0</v>
      </c>
      <c r="S24" s="41">
        <f>SUMIF('OS Dev model'!$C$291:$C$319,Summary!$A24,'OS Dev model'!AE$291:AE$319)</f>
        <v>0</v>
      </c>
      <c r="T24" s="41">
        <f>SUMIF('OS Dev model'!$C$291:$C$319,Summary!$A24,'OS Dev model'!AF$291:AF$319)</f>
        <v>0.12304064432635238</v>
      </c>
      <c r="U24" s="41">
        <f>SUMIF('OS Dev model'!$C$291:$C$319,Summary!$A24,'OS Dev model'!AG$291:AG$319)</f>
        <v>0.12685490430046928</v>
      </c>
      <c r="V24" s="41">
        <f>SUMIF('OS Dev model'!$C$291:$C$319,Summary!$A24,'OS Dev model'!AH$291:AH$319)</f>
        <v>0.52314962533513532</v>
      </c>
      <c r="W24" s="41">
        <f>SUMIF('OS Dev model'!$C$291:$C$319,Summary!$A24,'OS Dev model'!AI$291:AI$319)</f>
        <v>0.53936726372052446</v>
      </c>
      <c r="X24" s="41">
        <f>SUMIF('OS Dev model'!$C$291:$C$319,Summary!$A24,'OS Dev model'!AJ$291:AJ$319)</f>
        <v>0</v>
      </c>
      <c r="Y24" s="41">
        <f>SUMIF('OS Dev model'!$C$291:$C$319,Summary!$A24,'OS Dev model'!AK$291:AK$319)</f>
        <v>0</v>
      </c>
      <c r="Z24" s="41">
        <f>SUMIF('OS Dev model'!$C$291:$C$319,Summary!$A24,'OS Dev model'!AL$291:AL$319)</f>
        <v>0</v>
      </c>
      <c r="AA24" s="41">
        <f>SUMIF('OS Dev model'!$C$291:$C$319,Summary!$A24,'OS Dev model'!AM$291:AM$319)</f>
        <v>0</v>
      </c>
      <c r="AB24" s="41">
        <f>SUMIF('OS Dev model'!$C$291:$C$319,Summary!$A24,'OS Dev model'!AN$291:AN$319)</f>
        <v>0</v>
      </c>
      <c r="AC24" s="41">
        <f>SUMIF('OS Dev model'!$C$291:$C$319,Summary!$A24,'OS Dev model'!AO$291:AO$319)</f>
        <v>0</v>
      </c>
      <c r="AD24" s="41">
        <f>SUMIF('OS Dev model'!$C$291:$C$319,Summary!$A24,'OS Dev model'!AP$291:AP$319)</f>
        <v>0</v>
      </c>
      <c r="AE24" s="41">
        <f>SUMIF('OS Dev model'!$C$291:$C$319,Summary!$A24,'OS Dev model'!AQ$291:AQ$319)</f>
        <v>0</v>
      </c>
      <c r="AF24" s="41">
        <f>SUMIF('OS Dev model'!$C$291:$C$319,Summary!$A24,'OS Dev model'!AR$291:AR$319)</f>
        <v>0</v>
      </c>
      <c r="AG24" s="41">
        <f>SUMIF('OS Dev model'!$C$291:$C$319,Summary!$A24,'OS Dev model'!AS$291:AS$319)</f>
        <v>0</v>
      </c>
      <c r="AH24" s="41">
        <f>SUMIF('OS Dev model'!$C$291:$C$319,Summary!$A24,'OS Dev model'!AT$291:AT$319)</f>
        <v>0</v>
      </c>
      <c r="AI24" s="41">
        <f>SUMIF('OS Dev model'!$C$291:$C$319,Summary!$A24,'OS Dev model'!AU$291:AU$319)</f>
        <v>0</v>
      </c>
      <c r="AJ24" s="41">
        <f>SUMIF('OS Dev model'!$C$291:$C$319,Summary!$A24,'OS Dev model'!AV$291:AV$319)</f>
        <v>0</v>
      </c>
      <c r="AK24" s="41">
        <f>SUMIF('OS Dev model'!$C$291:$C$319,Summary!$A24,'OS Dev model'!AW$291:AW$319)</f>
        <v>0</v>
      </c>
      <c r="AL24" s="41">
        <f>SUMIF('OS Dev model'!$C$291:$C$319,Summary!$A24,'OS Dev model'!AX$291:AX$319)</f>
        <v>0</v>
      </c>
      <c r="AM24" s="41">
        <f>SUMIF('OS Dev model'!$C$291:$C$319,Summary!$A24,'OS Dev model'!AY$291:AY$319)</f>
        <v>0</v>
      </c>
      <c r="AN24" s="41">
        <f>SUMIF('OS Dev model'!$C$291:$C$319,Summary!$A24,'OS Dev model'!AZ$291:AZ$319)</f>
        <v>0</v>
      </c>
      <c r="AO24" s="41">
        <f>SUMIF('OS Dev model'!$C$291:$C$319,Summary!$A24,'OS Dev model'!BA$291:BA$319)</f>
        <v>0</v>
      </c>
      <c r="AP24" s="41">
        <f>SUMIF('OS Dev model'!$C$291:$C$319,Summary!$A24,'OS Dev model'!BB$291:BB$319)</f>
        <v>0</v>
      </c>
      <c r="AQ24" s="41">
        <f>SUMIF('OS Dev model'!$C$291:$C$319,Summary!$A24,'OS Dev model'!BC$291:BC$319)</f>
        <v>0</v>
      </c>
      <c r="AR24" s="41">
        <f>SUMIF('OS Dev model'!$C$291:$C$319,Summary!$A24,'OS Dev model'!BD$291:BD$319)</f>
        <v>0</v>
      </c>
      <c r="AS24" s="41">
        <f>SUMIF('OS Dev model'!$C$291:$C$319,Summary!$A24,'OS Dev model'!BE$291:BE$319)</f>
        <v>0</v>
      </c>
      <c r="AT24" s="41">
        <f>SUMIF('OS Dev model'!$C$291:$C$319,Summary!$A24,'OS Dev model'!BF$291:BF$319)</f>
        <v>0</v>
      </c>
      <c r="AU24" s="41">
        <f>SUMIF('OS Dev model'!$C$291:$C$319,Summary!$A24,'OS Dev model'!BG$291:BG$319)</f>
        <v>0</v>
      </c>
      <c r="AV24" s="41">
        <f>SUMIF('OS Dev model'!$C$291:$C$319,Summary!$A24,'OS Dev model'!BH$291:BH$319)</f>
        <v>0</v>
      </c>
      <c r="AW24" s="41">
        <f>SUMIF('OS Dev model'!$C$291:$C$319,Summary!$A24,'OS Dev model'!BI$291:BI$319)</f>
        <v>0</v>
      </c>
      <c r="AX24" s="41">
        <f>SUMIF('OS Dev model'!$C$291:$C$319,Summary!$A24,'OS Dev model'!BJ$291:BJ$319)</f>
        <v>0</v>
      </c>
      <c r="AY24" s="41">
        <f>SUMIF('OS Dev model'!$C$291:$C$319,Summary!$A24,'OS Dev model'!BK$291:BK$319)</f>
        <v>0</v>
      </c>
      <c r="AZ24" s="41">
        <f>SUMIF('OS Dev model'!$C$291:$C$319,Summary!$A24,'OS Dev model'!BL$291:BL$319)</f>
        <v>0</v>
      </c>
    </row>
    <row r="25" spans="1:52" s="2" customFormat="1" x14ac:dyDescent="0.3">
      <c r="A25" s="2" t="str">
        <f>'OS Dev model'!B310</f>
        <v>Flatbush</v>
      </c>
      <c r="B25" s="2" t="str">
        <f t="shared" si="8"/>
        <v>Flatbush</v>
      </c>
      <c r="C25" s="45">
        <v>10</v>
      </c>
      <c r="D25" s="50">
        <v>0</v>
      </c>
      <c r="E25" s="58">
        <f t="shared" si="0"/>
        <v>1</v>
      </c>
      <c r="F25" s="22">
        <f t="shared" si="10"/>
        <v>0.19489935396239899</v>
      </c>
      <c r="G25" s="30">
        <f t="shared" si="11"/>
        <v>0.59744967698119944</v>
      </c>
      <c r="H25" s="41">
        <f t="shared" si="2"/>
        <v>21.763036111046187</v>
      </c>
      <c r="I25" s="41">
        <f t="shared" si="3"/>
        <v>2.2349800000000002</v>
      </c>
      <c r="J25" s="41">
        <f t="shared" si="4"/>
        <v>14.782945615253977</v>
      </c>
      <c r="K25" s="41">
        <f t="shared" si="5"/>
        <v>4.7451104957922086</v>
      </c>
      <c r="L25" s="41">
        <f t="shared" si="6"/>
        <v>0</v>
      </c>
      <c r="M25" s="41">
        <f t="shared" si="7"/>
        <v>21.763036111046187</v>
      </c>
      <c r="N25" s="41">
        <f>SUMIF('OS Dev model'!$C$291:$C$319,Summary!$A25,'OS Dev model'!Z$291:Z$319)</f>
        <v>4.9000000000000002E-2</v>
      </c>
      <c r="O25" s="41">
        <f>SUMIF('OS Dev model'!$C$291:$C$319,Summary!$A25,'OS Dev model'!AA$291:AA$319)</f>
        <v>0.97884300000000013</v>
      </c>
      <c r="P25" s="41">
        <f>SUMIF('OS Dev model'!$C$291:$C$319,Summary!$A25,'OS Dev model'!AB$291:AB$319)</f>
        <v>1.2071369999999999</v>
      </c>
      <c r="Q25" s="41">
        <f>SUMIF('OS Dev model'!$C$291:$C$319,Summary!$A25,'OS Dev model'!AC$291:AC$319)</f>
        <v>0</v>
      </c>
      <c r="R25" s="41">
        <f>SUMIF('OS Dev model'!$C$291:$C$319,Summary!$A25,'OS Dev model'!AD$291:AD$319)</f>
        <v>0</v>
      </c>
      <c r="S25" s="41">
        <f>SUMIF('OS Dev model'!$C$291:$C$319,Summary!$A25,'OS Dev model'!AE$291:AE$319)</f>
        <v>0</v>
      </c>
      <c r="T25" s="41">
        <f>SUMIF('OS Dev model'!$C$291:$C$319,Summary!$A25,'OS Dev model'!AF$291:AF$319)</f>
        <v>0</v>
      </c>
      <c r="U25" s="41">
        <f>SUMIF('OS Dev model'!$C$291:$C$319,Summary!$A25,'OS Dev model'!AG$291:AG$319)</f>
        <v>0</v>
      </c>
      <c r="V25" s="41">
        <f>SUMIF('OS Dev model'!$C$291:$C$319,Summary!$A25,'OS Dev model'!AH$291:AH$319)</f>
        <v>0</v>
      </c>
      <c r="W25" s="41">
        <f>SUMIF('OS Dev model'!$C$291:$C$319,Summary!$A25,'OS Dev model'!AI$291:AI$319)</f>
        <v>0</v>
      </c>
      <c r="X25" s="41">
        <f>SUMIF('OS Dev model'!$C$291:$C$319,Summary!$A25,'OS Dev model'!AJ$291:AJ$319)</f>
        <v>0</v>
      </c>
      <c r="Y25" s="41">
        <f>SUMIF('OS Dev model'!$C$291:$C$319,Summary!$A25,'OS Dev model'!AK$291:AK$319)</f>
        <v>0</v>
      </c>
      <c r="Z25" s="41">
        <f>SUMIF('OS Dev model'!$C$291:$C$319,Summary!$A25,'OS Dev model'!AL$291:AL$319)</f>
        <v>0</v>
      </c>
      <c r="AA25" s="41">
        <f>SUMIF('OS Dev model'!$C$291:$C$319,Summary!$A25,'OS Dev model'!AM$291:AM$319)</f>
        <v>0.425787750982346</v>
      </c>
      <c r="AB25" s="41">
        <f>SUMIF('OS Dev model'!$C$291:$C$319,Summary!$A25,'OS Dev model'!AN$291:AN$319)</f>
        <v>3.9508845413651876</v>
      </c>
      <c r="AC25" s="41">
        <f>SUMIF('OS Dev model'!$C$291:$C$319,Summary!$A25,'OS Dev model'!AO$291:AO$319)</f>
        <v>0</v>
      </c>
      <c r="AD25" s="41">
        <f>SUMIF('OS Dev model'!$C$291:$C$319,Summary!$A25,'OS Dev model'!AP$291:AP$319)</f>
        <v>0.46662624255267565</v>
      </c>
      <c r="AE25" s="41">
        <f>SUMIF('OS Dev model'!$C$291:$C$319,Summary!$A25,'OS Dev model'!AQ$291:AQ$319)</f>
        <v>4.3298249046462765</v>
      </c>
      <c r="AF25" s="41">
        <f>SUMIF('OS Dev model'!$C$291:$C$319,Summary!$A25,'OS Dev model'!AR$291:AR$319)</f>
        <v>0.49600549741003458</v>
      </c>
      <c r="AG25" s="41">
        <f>SUMIF('OS Dev model'!$C$291:$C$319,Summary!$A25,'OS Dev model'!AS$291:AS$319)</f>
        <v>5.1138166782974555</v>
      </c>
      <c r="AH25" s="41">
        <f>SUMIF('OS Dev model'!$C$291:$C$319,Summary!$A25,'OS Dev model'!AT$291:AT$319)</f>
        <v>4.7451104957922086</v>
      </c>
      <c r="AI25" s="41">
        <f>SUMIF('OS Dev model'!$C$291:$C$319,Summary!$A25,'OS Dev model'!AU$291:AU$319)</f>
        <v>0</v>
      </c>
      <c r="AJ25" s="41">
        <f>SUMIF('OS Dev model'!$C$291:$C$319,Summary!$A25,'OS Dev model'!AV$291:AV$319)</f>
        <v>0</v>
      </c>
      <c r="AK25" s="41">
        <f>SUMIF('OS Dev model'!$C$291:$C$319,Summary!$A25,'OS Dev model'!AW$291:AW$319)</f>
        <v>0</v>
      </c>
      <c r="AL25" s="41">
        <f>SUMIF('OS Dev model'!$C$291:$C$319,Summary!$A25,'OS Dev model'!AX$291:AX$319)</f>
        <v>0</v>
      </c>
      <c r="AM25" s="41">
        <f>SUMIF('OS Dev model'!$C$291:$C$319,Summary!$A25,'OS Dev model'!AY$291:AY$319)</f>
        <v>0</v>
      </c>
      <c r="AN25" s="41">
        <f>SUMIF('OS Dev model'!$C$291:$C$319,Summary!$A25,'OS Dev model'!AZ$291:AZ$319)</f>
        <v>0</v>
      </c>
      <c r="AO25" s="41">
        <f>SUMIF('OS Dev model'!$C$291:$C$319,Summary!$A25,'OS Dev model'!BA$291:BA$319)</f>
        <v>0</v>
      </c>
      <c r="AP25" s="41">
        <f>SUMIF('OS Dev model'!$C$291:$C$319,Summary!$A25,'OS Dev model'!BB$291:BB$319)</f>
        <v>0</v>
      </c>
      <c r="AQ25" s="41">
        <f>SUMIF('OS Dev model'!$C$291:$C$319,Summary!$A25,'OS Dev model'!BC$291:BC$319)</f>
        <v>0</v>
      </c>
      <c r="AR25" s="41">
        <f>SUMIF('OS Dev model'!$C$291:$C$319,Summary!$A25,'OS Dev model'!BD$291:BD$319)</f>
        <v>0</v>
      </c>
      <c r="AS25" s="41">
        <f>SUMIF('OS Dev model'!$C$291:$C$319,Summary!$A25,'OS Dev model'!BE$291:BE$319)</f>
        <v>0</v>
      </c>
      <c r="AT25" s="41">
        <f>SUMIF('OS Dev model'!$C$291:$C$319,Summary!$A25,'OS Dev model'!BF$291:BF$319)</f>
        <v>0</v>
      </c>
      <c r="AU25" s="41">
        <f>SUMIF('OS Dev model'!$C$291:$C$319,Summary!$A25,'OS Dev model'!BG$291:BG$319)</f>
        <v>0</v>
      </c>
      <c r="AV25" s="41">
        <f>SUMIF('OS Dev model'!$C$291:$C$319,Summary!$A25,'OS Dev model'!BH$291:BH$319)</f>
        <v>0</v>
      </c>
      <c r="AW25" s="41">
        <f>SUMIF('OS Dev model'!$C$291:$C$319,Summary!$A25,'OS Dev model'!BI$291:BI$319)</f>
        <v>0</v>
      </c>
      <c r="AX25" s="41">
        <f>SUMIF('OS Dev model'!$C$291:$C$319,Summary!$A25,'OS Dev model'!BJ$291:BJ$319)</f>
        <v>0</v>
      </c>
      <c r="AY25" s="41">
        <f>SUMIF('OS Dev model'!$C$291:$C$319,Summary!$A25,'OS Dev model'!BK$291:BK$319)</f>
        <v>0</v>
      </c>
      <c r="AZ25" s="41">
        <f>SUMIF('OS Dev model'!$C$291:$C$319,Summary!$A25,'OS Dev model'!BL$291:BL$319)</f>
        <v>0</v>
      </c>
    </row>
    <row r="26" spans="1:52" s="2" customFormat="1" x14ac:dyDescent="0.3">
      <c r="A26" s="2" t="str">
        <f>'OS Dev model'!B311</f>
        <v>South (East)</v>
      </c>
      <c r="B26" s="2" t="str">
        <f t="shared" si="8"/>
        <v>South East</v>
      </c>
      <c r="C26" s="45">
        <v>10</v>
      </c>
      <c r="D26" s="61">
        <f>F63</f>
        <v>0.92601553475633047</v>
      </c>
      <c r="E26" s="58">
        <f t="shared" si="0"/>
        <v>7.3984465243669528E-2</v>
      </c>
      <c r="F26" s="22">
        <f t="shared" si="10"/>
        <v>7.3984465243669528E-2</v>
      </c>
      <c r="G26" s="30">
        <f t="shared" si="11"/>
        <v>7.3984465243669528E-2</v>
      </c>
      <c r="H26" s="41">
        <f t="shared" si="2"/>
        <v>3.0108190000000001</v>
      </c>
      <c r="I26" s="41">
        <f t="shared" si="3"/>
        <v>3.0108190000000001</v>
      </c>
      <c r="J26" s="41">
        <f t="shared" si="4"/>
        <v>0</v>
      </c>
      <c r="K26" s="41">
        <f t="shared" si="5"/>
        <v>0</v>
      </c>
      <c r="L26" s="41">
        <f t="shared" si="6"/>
        <v>0</v>
      </c>
      <c r="M26" s="41">
        <f t="shared" si="7"/>
        <v>3.0108190000000001</v>
      </c>
      <c r="N26" s="41">
        <f>SUMIF('OS Dev model'!$C$291:$C$319,Summary!$A26,'OS Dev model'!Z$291:Z$319)</f>
        <v>0.125</v>
      </c>
      <c r="O26" s="41">
        <f>SUMIF('OS Dev model'!$C$291:$C$319,Summary!$A26,'OS Dev model'!AA$291:AA$319)</f>
        <v>0.5</v>
      </c>
      <c r="P26" s="41">
        <f>SUMIF('OS Dev model'!$C$291:$C$319,Summary!$A26,'OS Dev model'!AB$291:AB$319)</f>
        <v>2.3858190000000001</v>
      </c>
      <c r="Q26" s="41">
        <f>SUMIF('OS Dev model'!$C$291:$C$319,Summary!$A26,'OS Dev model'!AC$291:AC$319)</f>
        <v>0</v>
      </c>
      <c r="R26" s="41">
        <f>SUMIF('OS Dev model'!$C$291:$C$319,Summary!$A26,'OS Dev model'!AD$291:AD$319)</f>
        <v>0</v>
      </c>
      <c r="S26" s="41">
        <f>SUMIF('OS Dev model'!$C$291:$C$319,Summary!$A26,'OS Dev model'!AE$291:AE$319)</f>
        <v>0</v>
      </c>
      <c r="T26" s="41">
        <f>SUMIF('OS Dev model'!$C$291:$C$319,Summary!$A26,'OS Dev model'!AF$291:AF$319)</f>
        <v>0</v>
      </c>
      <c r="U26" s="41">
        <f>SUMIF('OS Dev model'!$C$291:$C$319,Summary!$A26,'OS Dev model'!AG$291:AG$319)</f>
        <v>0</v>
      </c>
      <c r="V26" s="41">
        <f>SUMIF('OS Dev model'!$C$291:$C$319,Summary!$A26,'OS Dev model'!AH$291:AH$319)</f>
        <v>0</v>
      </c>
      <c r="W26" s="41">
        <f>SUMIF('OS Dev model'!$C$291:$C$319,Summary!$A26,'OS Dev model'!AI$291:AI$319)</f>
        <v>0</v>
      </c>
      <c r="X26" s="41">
        <f>SUMIF('OS Dev model'!$C$291:$C$319,Summary!$A26,'OS Dev model'!AJ$291:AJ$319)</f>
        <v>0</v>
      </c>
      <c r="Y26" s="41">
        <f>SUMIF('OS Dev model'!$C$291:$C$319,Summary!$A26,'OS Dev model'!AK$291:AK$319)</f>
        <v>0</v>
      </c>
      <c r="Z26" s="41">
        <f>SUMIF('OS Dev model'!$C$291:$C$319,Summary!$A26,'OS Dev model'!AL$291:AL$319)</f>
        <v>0</v>
      </c>
      <c r="AA26" s="41">
        <f>SUMIF('OS Dev model'!$C$291:$C$319,Summary!$A26,'OS Dev model'!AM$291:AM$319)</f>
        <v>0</v>
      </c>
      <c r="AB26" s="41">
        <f>SUMIF('OS Dev model'!$C$291:$C$319,Summary!$A26,'OS Dev model'!AN$291:AN$319)</f>
        <v>0</v>
      </c>
      <c r="AC26" s="41">
        <f>SUMIF('OS Dev model'!$C$291:$C$319,Summary!$A26,'OS Dev model'!AO$291:AO$319)</f>
        <v>0</v>
      </c>
      <c r="AD26" s="41">
        <f>SUMIF('OS Dev model'!$C$291:$C$319,Summary!$A26,'OS Dev model'!AP$291:AP$319)</f>
        <v>0</v>
      </c>
      <c r="AE26" s="41">
        <f>SUMIF('OS Dev model'!$C$291:$C$319,Summary!$A26,'OS Dev model'!AQ$291:AQ$319)</f>
        <v>0</v>
      </c>
      <c r="AF26" s="41">
        <f>SUMIF('OS Dev model'!$C$291:$C$319,Summary!$A26,'OS Dev model'!AR$291:AR$319)</f>
        <v>0</v>
      </c>
      <c r="AG26" s="41">
        <f>SUMIF('OS Dev model'!$C$291:$C$319,Summary!$A26,'OS Dev model'!AS$291:AS$319)</f>
        <v>0</v>
      </c>
      <c r="AH26" s="41">
        <f>SUMIF('OS Dev model'!$C$291:$C$319,Summary!$A26,'OS Dev model'!AT$291:AT$319)</f>
        <v>0</v>
      </c>
      <c r="AI26" s="41">
        <f>SUMIF('OS Dev model'!$C$291:$C$319,Summary!$A26,'OS Dev model'!AU$291:AU$319)</f>
        <v>0</v>
      </c>
      <c r="AJ26" s="41">
        <f>SUMIF('OS Dev model'!$C$291:$C$319,Summary!$A26,'OS Dev model'!AV$291:AV$319)</f>
        <v>0</v>
      </c>
      <c r="AK26" s="41">
        <f>SUMIF('OS Dev model'!$C$291:$C$319,Summary!$A26,'OS Dev model'!AW$291:AW$319)</f>
        <v>0</v>
      </c>
      <c r="AL26" s="41">
        <f>SUMIF('OS Dev model'!$C$291:$C$319,Summary!$A26,'OS Dev model'!AX$291:AX$319)</f>
        <v>0</v>
      </c>
      <c r="AM26" s="41">
        <f>SUMIF('OS Dev model'!$C$291:$C$319,Summary!$A26,'OS Dev model'!AY$291:AY$319)</f>
        <v>0</v>
      </c>
      <c r="AN26" s="41">
        <f>SUMIF('OS Dev model'!$C$291:$C$319,Summary!$A26,'OS Dev model'!AZ$291:AZ$319)</f>
        <v>0</v>
      </c>
      <c r="AO26" s="41">
        <f>SUMIF('OS Dev model'!$C$291:$C$319,Summary!$A26,'OS Dev model'!BA$291:BA$319)</f>
        <v>0</v>
      </c>
      <c r="AP26" s="41">
        <f>SUMIF('OS Dev model'!$C$291:$C$319,Summary!$A26,'OS Dev model'!BB$291:BB$319)</f>
        <v>0</v>
      </c>
      <c r="AQ26" s="41">
        <f>SUMIF('OS Dev model'!$C$291:$C$319,Summary!$A26,'OS Dev model'!BC$291:BC$319)</f>
        <v>0</v>
      </c>
      <c r="AR26" s="41">
        <f>SUMIF('OS Dev model'!$C$291:$C$319,Summary!$A26,'OS Dev model'!BD$291:BD$319)</f>
        <v>0</v>
      </c>
      <c r="AS26" s="41">
        <f>SUMIF('OS Dev model'!$C$291:$C$319,Summary!$A26,'OS Dev model'!BE$291:BE$319)</f>
        <v>0</v>
      </c>
      <c r="AT26" s="41">
        <f>SUMIF('OS Dev model'!$C$291:$C$319,Summary!$A26,'OS Dev model'!BF$291:BF$319)</f>
        <v>0</v>
      </c>
      <c r="AU26" s="41">
        <f>SUMIF('OS Dev model'!$C$291:$C$319,Summary!$A26,'OS Dev model'!BG$291:BG$319)</f>
        <v>0</v>
      </c>
      <c r="AV26" s="41">
        <f>SUMIF('OS Dev model'!$C$291:$C$319,Summary!$A26,'OS Dev model'!BH$291:BH$319)</f>
        <v>0</v>
      </c>
      <c r="AW26" s="41">
        <f>SUMIF('OS Dev model'!$C$291:$C$319,Summary!$A26,'OS Dev model'!BI$291:BI$319)</f>
        <v>0</v>
      </c>
      <c r="AX26" s="41">
        <f>SUMIF('OS Dev model'!$C$291:$C$319,Summary!$A26,'OS Dev model'!BJ$291:BJ$319)</f>
        <v>0</v>
      </c>
      <c r="AY26" s="41">
        <f>SUMIF('OS Dev model'!$C$291:$C$319,Summary!$A26,'OS Dev model'!BK$291:BK$319)</f>
        <v>0</v>
      </c>
      <c r="AZ26" s="41">
        <f>SUMIF('OS Dev model'!$C$291:$C$319,Summary!$A26,'OS Dev model'!BL$291:BL$319)</f>
        <v>0</v>
      </c>
    </row>
    <row r="27" spans="1:52" s="2" customFormat="1" x14ac:dyDescent="0.3">
      <c r="A27" s="2" t="str">
        <f>'OS Dev model'!B312</f>
        <v>South (West)</v>
      </c>
      <c r="B27" s="2" t="str">
        <f t="shared" si="8"/>
        <v>South West</v>
      </c>
      <c r="C27" s="45">
        <v>10</v>
      </c>
      <c r="D27" s="50">
        <v>0</v>
      </c>
      <c r="E27" s="58">
        <f t="shared" si="0"/>
        <v>1</v>
      </c>
      <c r="F27" s="22">
        <f t="shared" si="10"/>
        <v>0.13885646681220931</v>
      </c>
      <c r="G27" s="30">
        <f t="shared" si="11"/>
        <v>0.56942823340610471</v>
      </c>
      <c r="H27" s="41">
        <f t="shared" si="2"/>
        <v>4.5123491334103072</v>
      </c>
      <c r="I27" s="41">
        <f t="shared" si="3"/>
        <v>0</v>
      </c>
      <c r="J27" s="41">
        <f t="shared" si="4"/>
        <v>4.5123491334103072</v>
      </c>
      <c r="K27" s="41">
        <f t="shared" si="5"/>
        <v>0</v>
      </c>
      <c r="L27" s="41">
        <f t="shared" si="6"/>
        <v>0</v>
      </c>
      <c r="M27" s="41">
        <f t="shared" si="7"/>
        <v>4.5123491334103072</v>
      </c>
      <c r="N27" s="41">
        <f>SUMIF('OS Dev model'!$C$291:$C$319,Summary!$A27,'OS Dev model'!Z$291:Z$319)</f>
        <v>0</v>
      </c>
      <c r="O27" s="41">
        <f>SUMIF('OS Dev model'!$C$291:$C$319,Summary!$A27,'OS Dev model'!AA$291:AA$319)</f>
        <v>0</v>
      </c>
      <c r="P27" s="41">
        <f>SUMIF('OS Dev model'!$C$291:$C$319,Summary!$A27,'OS Dev model'!AB$291:AB$319)</f>
        <v>0</v>
      </c>
      <c r="Q27" s="41">
        <f>SUMIF('OS Dev model'!$C$291:$C$319,Summary!$A27,'OS Dev model'!AC$291:AC$319)</f>
        <v>0</v>
      </c>
      <c r="R27" s="41">
        <f>SUMIF('OS Dev model'!$C$291:$C$319,Summary!$A27,'OS Dev model'!AD$291:AD$319)</f>
        <v>0</v>
      </c>
      <c r="S27" s="41">
        <f>SUMIF('OS Dev model'!$C$291:$C$319,Summary!$A27,'OS Dev model'!AE$291:AE$319)</f>
        <v>0</v>
      </c>
      <c r="T27" s="41">
        <f>SUMIF('OS Dev model'!$C$291:$C$319,Summary!$A27,'OS Dev model'!AF$291:AF$319)</f>
        <v>0</v>
      </c>
      <c r="U27" s="41">
        <f>SUMIF('OS Dev model'!$C$291:$C$319,Summary!$A27,'OS Dev model'!AG$291:AG$319)</f>
        <v>0</v>
      </c>
      <c r="V27" s="41">
        <f>SUMIF('OS Dev model'!$C$291:$C$319,Summary!$A27,'OS Dev model'!AH$291:AH$319)</f>
        <v>0</v>
      </c>
      <c r="W27" s="41">
        <f>SUMIF('OS Dev model'!$C$291:$C$319,Summary!$A27,'OS Dev model'!AI$291:AI$319)</f>
        <v>0</v>
      </c>
      <c r="X27" s="41">
        <f>SUMIF('OS Dev model'!$C$291:$C$319,Summary!$A27,'OS Dev model'!AJ$291:AJ$319)</f>
        <v>0</v>
      </c>
      <c r="Y27" s="41">
        <f>SUMIF('OS Dev model'!$C$291:$C$319,Summary!$A27,'OS Dev model'!AK$291:AK$319)</f>
        <v>0</v>
      </c>
      <c r="Z27" s="41">
        <f>SUMIF('OS Dev model'!$C$291:$C$319,Summary!$A27,'OS Dev model'!AL$291:AL$319)</f>
        <v>0</v>
      </c>
      <c r="AA27" s="41">
        <f>SUMIF('OS Dev model'!$C$291:$C$319,Summary!$A27,'OS Dev model'!AM$291:AM$319)</f>
        <v>0</v>
      </c>
      <c r="AB27" s="41">
        <f>SUMIF('OS Dev model'!$C$291:$C$319,Summary!$A27,'OS Dev model'!AN$291:AN$319)</f>
        <v>0.43898717126279868</v>
      </c>
      <c r="AC27" s="41">
        <f>SUMIF('OS Dev model'!$C$291:$C$319,Summary!$A27,'OS Dev model'!AO$291:AO$319)</f>
        <v>4.0733619621475086</v>
      </c>
      <c r="AD27" s="41">
        <f>SUMIF('OS Dev model'!$C$291:$C$319,Summary!$A27,'OS Dev model'!AP$291:AP$319)</f>
        <v>0</v>
      </c>
      <c r="AE27" s="41">
        <f>SUMIF('OS Dev model'!$C$291:$C$319,Summary!$A27,'OS Dev model'!AQ$291:AQ$319)</f>
        <v>0</v>
      </c>
      <c r="AF27" s="41">
        <f>SUMIF('OS Dev model'!$C$291:$C$319,Summary!$A27,'OS Dev model'!AR$291:AR$319)</f>
        <v>0</v>
      </c>
      <c r="AG27" s="41">
        <f>SUMIF('OS Dev model'!$C$291:$C$319,Summary!$A27,'OS Dev model'!AS$291:AS$319)</f>
        <v>0</v>
      </c>
      <c r="AH27" s="41">
        <f>SUMIF('OS Dev model'!$C$291:$C$319,Summary!$A27,'OS Dev model'!AT$291:AT$319)</f>
        <v>0</v>
      </c>
      <c r="AI27" s="41">
        <f>SUMIF('OS Dev model'!$C$291:$C$319,Summary!$A27,'OS Dev model'!AU$291:AU$319)</f>
        <v>0</v>
      </c>
      <c r="AJ27" s="41">
        <f>SUMIF('OS Dev model'!$C$291:$C$319,Summary!$A27,'OS Dev model'!AV$291:AV$319)</f>
        <v>0</v>
      </c>
      <c r="AK27" s="41">
        <f>SUMIF('OS Dev model'!$C$291:$C$319,Summary!$A27,'OS Dev model'!AW$291:AW$319)</f>
        <v>0</v>
      </c>
      <c r="AL27" s="41">
        <f>SUMIF('OS Dev model'!$C$291:$C$319,Summary!$A27,'OS Dev model'!AX$291:AX$319)</f>
        <v>0</v>
      </c>
      <c r="AM27" s="41">
        <f>SUMIF('OS Dev model'!$C$291:$C$319,Summary!$A27,'OS Dev model'!AY$291:AY$319)</f>
        <v>0</v>
      </c>
      <c r="AN27" s="41">
        <f>SUMIF('OS Dev model'!$C$291:$C$319,Summary!$A27,'OS Dev model'!AZ$291:AZ$319)</f>
        <v>0</v>
      </c>
      <c r="AO27" s="41">
        <f>SUMIF('OS Dev model'!$C$291:$C$319,Summary!$A27,'OS Dev model'!BA$291:BA$319)</f>
        <v>0</v>
      </c>
      <c r="AP27" s="41">
        <f>SUMIF('OS Dev model'!$C$291:$C$319,Summary!$A27,'OS Dev model'!BB$291:BB$319)</f>
        <v>0</v>
      </c>
      <c r="AQ27" s="41">
        <f>SUMIF('OS Dev model'!$C$291:$C$319,Summary!$A27,'OS Dev model'!BC$291:BC$319)</f>
        <v>0</v>
      </c>
      <c r="AR27" s="41">
        <f>SUMIF('OS Dev model'!$C$291:$C$319,Summary!$A27,'OS Dev model'!BD$291:BD$319)</f>
        <v>0</v>
      </c>
      <c r="AS27" s="41">
        <f>SUMIF('OS Dev model'!$C$291:$C$319,Summary!$A27,'OS Dev model'!BE$291:BE$319)</f>
        <v>0</v>
      </c>
      <c r="AT27" s="41">
        <f>SUMIF('OS Dev model'!$C$291:$C$319,Summary!$A27,'OS Dev model'!BF$291:BF$319)</f>
        <v>0</v>
      </c>
      <c r="AU27" s="41">
        <f>SUMIF('OS Dev model'!$C$291:$C$319,Summary!$A27,'OS Dev model'!BG$291:BG$319)</f>
        <v>0</v>
      </c>
      <c r="AV27" s="41">
        <f>SUMIF('OS Dev model'!$C$291:$C$319,Summary!$A27,'OS Dev model'!BH$291:BH$319)</f>
        <v>0</v>
      </c>
      <c r="AW27" s="41">
        <f>SUMIF('OS Dev model'!$C$291:$C$319,Summary!$A27,'OS Dev model'!BI$291:BI$319)</f>
        <v>0</v>
      </c>
      <c r="AX27" s="41">
        <f>SUMIF('OS Dev model'!$C$291:$C$319,Summary!$A27,'OS Dev model'!BJ$291:BJ$319)</f>
        <v>0</v>
      </c>
      <c r="AY27" s="41">
        <f>SUMIF('OS Dev model'!$C$291:$C$319,Summary!$A27,'OS Dev model'!BK$291:BK$319)</f>
        <v>0</v>
      </c>
      <c r="AZ27" s="41">
        <f>SUMIF('OS Dev model'!$C$291:$C$319,Summary!$A27,'OS Dev model'!BL$291:BL$319)</f>
        <v>0</v>
      </c>
    </row>
    <row r="28" spans="1:52" s="2" customFormat="1" x14ac:dyDescent="0.3">
      <c r="A28" s="2" t="str">
        <f>'OS Dev model'!B313</f>
        <v>Takanini North</v>
      </c>
      <c r="B28" s="2" t="str">
        <f t="shared" si="8"/>
        <v>Takanini North</v>
      </c>
      <c r="C28" s="45">
        <v>10</v>
      </c>
      <c r="D28" s="50">
        <v>0</v>
      </c>
      <c r="E28" s="58">
        <f t="shared" si="0"/>
        <v>1</v>
      </c>
      <c r="F28" s="22">
        <v>0</v>
      </c>
      <c r="G28" s="30">
        <f t="shared" si="11"/>
        <v>0.5</v>
      </c>
      <c r="H28" s="41">
        <f t="shared" si="2"/>
        <v>0</v>
      </c>
      <c r="I28" s="41">
        <f t="shared" si="3"/>
        <v>0</v>
      </c>
      <c r="J28" s="41">
        <f t="shared" si="4"/>
        <v>0</v>
      </c>
      <c r="K28" s="41">
        <f t="shared" si="5"/>
        <v>0</v>
      </c>
      <c r="L28" s="41">
        <f t="shared" si="6"/>
        <v>76.366976073339657</v>
      </c>
      <c r="M28" s="41">
        <f t="shared" si="7"/>
        <v>76.366976073339657</v>
      </c>
      <c r="N28" s="41">
        <f>SUMIF('OS Dev model'!$C$291:$C$319,Summary!$A28,'OS Dev model'!Z$291:Z$319)</f>
        <v>0</v>
      </c>
      <c r="O28" s="41">
        <f>SUMIF('OS Dev model'!$C$291:$C$319,Summary!$A28,'OS Dev model'!AA$291:AA$319)</f>
        <v>0</v>
      </c>
      <c r="P28" s="41">
        <f>SUMIF('OS Dev model'!$C$291:$C$319,Summary!$A28,'OS Dev model'!AB$291:AB$319)</f>
        <v>0</v>
      </c>
      <c r="Q28" s="41">
        <f>SUMIF('OS Dev model'!$C$291:$C$319,Summary!$A28,'OS Dev model'!AC$291:AC$319)</f>
        <v>0</v>
      </c>
      <c r="R28" s="41">
        <f>SUMIF('OS Dev model'!$C$291:$C$319,Summary!$A28,'OS Dev model'!AD$291:AD$319)</f>
        <v>0</v>
      </c>
      <c r="S28" s="41">
        <f>SUMIF('OS Dev model'!$C$291:$C$319,Summary!$A28,'OS Dev model'!AE$291:AE$319)</f>
        <v>0</v>
      </c>
      <c r="T28" s="41">
        <f>SUMIF('OS Dev model'!$C$291:$C$319,Summary!$A28,'OS Dev model'!AF$291:AF$319)</f>
        <v>0</v>
      </c>
      <c r="U28" s="41">
        <f>SUMIF('OS Dev model'!$C$291:$C$319,Summary!$A28,'OS Dev model'!AG$291:AG$319)</f>
        <v>0</v>
      </c>
      <c r="V28" s="41">
        <f>SUMIF('OS Dev model'!$C$291:$C$319,Summary!$A28,'OS Dev model'!AH$291:AH$319)</f>
        <v>0</v>
      </c>
      <c r="W28" s="41">
        <f>SUMIF('OS Dev model'!$C$291:$C$319,Summary!$A28,'OS Dev model'!AI$291:AI$319)</f>
        <v>0</v>
      </c>
      <c r="X28" s="41">
        <f>SUMIF('OS Dev model'!$C$291:$C$319,Summary!$A28,'OS Dev model'!AJ$291:AJ$319)</f>
        <v>0</v>
      </c>
      <c r="Y28" s="41">
        <f>SUMIF('OS Dev model'!$C$291:$C$319,Summary!$A28,'OS Dev model'!AK$291:AK$319)</f>
        <v>0</v>
      </c>
      <c r="Z28" s="41">
        <f>SUMIF('OS Dev model'!$C$291:$C$319,Summary!$A28,'OS Dev model'!AL$291:AL$319)</f>
        <v>0</v>
      </c>
      <c r="AA28" s="41">
        <f>SUMIF('OS Dev model'!$C$291:$C$319,Summary!$A28,'OS Dev model'!AM$291:AM$319)</f>
        <v>0</v>
      </c>
      <c r="AB28" s="41">
        <f>SUMIF('OS Dev model'!$C$291:$C$319,Summary!$A28,'OS Dev model'!AN$291:AN$319)</f>
        <v>0</v>
      </c>
      <c r="AC28" s="41">
        <f>SUMIF('OS Dev model'!$C$291:$C$319,Summary!$A28,'OS Dev model'!AO$291:AO$319)</f>
        <v>0</v>
      </c>
      <c r="AD28" s="41">
        <f>SUMIF('OS Dev model'!$C$291:$C$319,Summary!$A28,'OS Dev model'!AP$291:AP$319)</f>
        <v>0</v>
      </c>
      <c r="AE28" s="41">
        <f>SUMIF('OS Dev model'!$C$291:$C$319,Summary!$A28,'OS Dev model'!AQ$291:AQ$319)</f>
        <v>0</v>
      </c>
      <c r="AF28" s="41">
        <f>SUMIF('OS Dev model'!$C$291:$C$319,Summary!$A28,'OS Dev model'!AR$291:AR$319)</f>
        <v>0</v>
      </c>
      <c r="AG28" s="41">
        <f>SUMIF('OS Dev model'!$C$291:$C$319,Summary!$A28,'OS Dev model'!AS$291:AS$319)</f>
        <v>0</v>
      </c>
      <c r="AH28" s="41">
        <f>SUMIF('OS Dev model'!$C$291:$C$319,Summary!$A28,'OS Dev model'!AT$291:AT$319)</f>
        <v>0</v>
      </c>
      <c r="AI28" s="41">
        <f>SUMIF('OS Dev model'!$C$291:$C$319,Summary!$A28,'OS Dev model'!AU$291:AU$319)</f>
        <v>0</v>
      </c>
      <c r="AJ28" s="41">
        <f>SUMIF('OS Dev model'!$C$291:$C$319,Summary!$A28,'OS Dev model'!AV$291:AV$319)</f>
        <v>0</v>
      </c>
      <c r="AK28" s="41">
        <f>SUMIF('OS Dev model'!$C$291:$C$319,Summary!$A28,'OS Dev model'!AW$291:AW$319)</f>
        <v>0</v>
      </c>
      <c r="AL28" s="41">
        <f>SUMIF('OS Dev model'!$C$291:$C$319,Summary!$A28,'OS Dev model'!AX$291:AX$319)</f>
        <v>0</v>
      </c>
      <c r="AM28" s="41">
        <f>SUMIF('OS Dev model'!$C$291:$C$319,Summary!$A28,'OS Dev model'!AY$291:AY$319)</f>
        <v>0</v>
      </c>
      <c r="AN28" s="41">
        <f>SUMIF('OS Dev model'!$C$291:$C$319,Summary!$A28,'OS Dev model'!AZ$291:AZ$319)</f>
        <v>0</v>
      </c>
      <c r="AO28" s="41">
        <f>SUMIF('OS Dev model'!$C$291:$C$319,Summary!$A28,'OS Dev model'!BA$291:BA$319)</f>
        <v>0</v>
      </c>
      <c r="AP28" s="41">
        <f>SUMIF('OS Dev model'!$C$291:$C$319,Summary!$A28,'OS Dev model'!BB$291:BB$319)</f>
        <v>0</v>
      </c>
      <c r="AQ28" s="41">
        <f>SUMIF('OS Dev model'!$C$291:$C$319,Summary!$A28,'OS Dev model'!BC$291:BC$319)</f>
        <v>0</v>
      </c>
      <c r="AR28" s="41">
        <f>SUMIF('OS Dev model'!$C$291:$C$319,Summary!$A28,'OS Dev model'!BD$291:BD$319)</f>
        <v>0</v>
      </c>
      <c r="AS28" s="41">
        <f>SUMIF('OS Dev model'!$C$291:$C$319,Summary!$A28,'OS Dev model'!BE$291:BE$319)</f>
        <v>0</v>
      </c>
      <c r="AT28" s="41">
        <f>SUMIF('OS Dev model'!$C$291:$C$319,Summary!$A28,'OS Dev model'!BF$291:BF$319)</f>
        <v>0</v>
      </c>
      <c r="AU28" s="41">
        <f>SUMIF('OS Dev model'!$C$291:$C$319,Summary!$A28,'OS Dev model'!BG$291:BG$319)</f>
        <v>7.3873963873256248</v>
      </c>
      <c r="AV28" s="41">
        <f>SUMIF('OS Dev model'!$C$291:$C$319,Summary!$A28,'OS Dev model'!BH$291:BH$319)</f>
        <v>59.353866251958799</v>
      </c>
      <c r="AW28" s="41">
        <f>SUMIF('OS Dev model'!$C$291:$C$319,Summary!$A28,'OS Dev model'!BI$291:BI$319)</f>
        <v>4.7393960778213797</v>
      </c>
      <c r="AX28" s="41">
        <f>SUMIF('OS Dev model'!$C$291:$C$319,Summary!$A28,'OS Dev model'!BJ$291:BJ$319)</f>
        <v>4.8863173562338416</v>
      </c>
      <c r="AY28" s="41">
        <f>SUMIF('OS Dev model'!$C$291:$C$319,Summary!$A28,'OS Dev model'!BK$291:BK$319)</f>
        <v>0</v>
      </c>
      <c r="AZ28" s="41">
        <f>SUMIF('OS Dev model'!$C$291:$C$319,Summary!$A28,'OS Dev model'!BL$291:BL$319)</f>
        <v>0</v>
      </c>
    </row>
    <row r="29" spans="1:52" s="2" customFormat="1" x14ac:dyDescent="0.3">
      <c r="A29" s="2" t="str">
        <f>'OS Dev model'!B314</f>
        <v>Takanini South</v>
      </c>
      <c r="B29" s="2" t="str">
        <f t="shared" si="8"/>
        <v>Takanini South</v>
      </c>
      <c r="C29" s="45">
        <v>10</v>
      </c>
      <c r="D29" s="50">
        <v>0</v>
      </c>
      <c r="E29" s="58">
        <f t="shared" si="0"/>
        <v>1</v>
      </c>
      <c r="F29" s="22">
        <f t="shared" ref="F29:F34" si="12">1-F66</f>
        <v>7.3604882631234325E-2</v>
      </c>
      <c r="G29" s="30">
        <f t="shared" si="11"/>
        <v>0.53680244131561716</v>
      </c>
      <c r="H29" s="41">
        <f t="shared" si="2"/>
        <v>9.7325979496814625</v>
      </c>
      <c r="I29" s="41">
        <f t="shared" si="3"/>
        <v>9.7325979496814625</v>
      </c>
      <c r="J29" s="41">
        <f t="shared" si="4"/>
        <v>0</v>
      </c>
      <c r="K29" s="41">
        <f t="shared" si="5"/>
        <v>0</v>
      </c>
      <c r="L29" s="41">
        <f t="shared" si="6"/>
        <v>8.059671394082498</v>
      </c>
      <c r="M29" s="41">
        <f t="shared" si="7"/>
        <v>17.792269343763959</v>
      </c>
      <c r="N29" s="41">
        <f>SUMIF('OS Dev model'!$C$291:$C$319,Summary!$A29,'OS Dev model'!Z$291:Z$319)</f>
        <v>0.66098999999999997</v>
      </c>
      <c r="O29" s="41">
        <f>SUMIF('OS Dev model'!$C$291:$C$319,Summary!$A29,'OS Dev model'!AA$291:AA$319)</f>
        <v>0.15</v>
      </c>
      <c r="P29" s="41">
        <f>SUMIF('OS Dev model'!$C$291:$C$319,Summary!$A29,'OS Dev model'!AB$291:AB$319)</f>
        <v>0.4</v>
      </c>
      <c r="Q29" s="41">
        <f>SUMIF('OS Dev model'!$C$291:$C$319,Summary!$A29,'OS Dev model'!AC$291:AC$319)</f>
        <v>0.55000000000000004</v>
      </c>
      <c r="R29" s="41">
        <f>SUMIF('OS Dev model'!$C$291:$C$319,Summary!$A29,'OS Dev model'!AD$291:AD$319)</f>
        <v>0.5199999999999998</v>
      </c>
      <c r="S29" s="41">
        <f>SUMIF('OS Dev model'!$C$291:$C$319,Summary!$A29,'OS Dev model'!AE$291:AE$319)</f>
        <v>0</v>
      </c>
      <c r="T29" s="41">
        <f>SUMIF('OS Dev model'!$C$291:$C$319,Summary!$A29,'OS Dev model'!AF$291:AF$319)</f>
        <v>1.5009549440350924</v>
      </c>
      <c r="U29" s="41">
        <f>SUMIF('OS Dev model'!$C$291:$C$319,Summary!$A29,'OS Dev model'!AG$291:AG$319)</f>
        <v>5.9506530056463696</v>
      </c>
      <c r="V29" s="41">
        <f>SUMIF('OS Dev model'!$C$291:$C$319,Summary!$A29,'OS Dev model'!AH$291:AH$319)</f>
        <v>0</v>
      </c>
      <c r="W29" s="41">
        <f>SUMIF('OS Dev model'!$C$291:$C$319,Summary!$A29,'OS Dev model'!AI$291:AI$319)</f>
        <v>0</v>
      </c>
      <c r="X29" s="41">
        <f>SUMIF('OS Dev model'!$C$291:$C$319,Summary!$A29,'OS Dev model'!AJ$291:AJ$319)</f>
        <v>0</v>
      </c>
      <c r="Y29" s="41">
        <f>SUMIF('OS Dev model'!$C$291:$C$319,Summary!$A29,'OS Dev model'!AK$291:AK$319)</f>
        <v>0</v>
      </c>
      <c r="Z29" s="41">
        <f>SUMIF('OS Dev model'!$C$291:$C$319,Summary!$A29,'OS Dev model'!AL$291:AL$319)</f>
        <v>0</v>
      </c>
      <c r="AA29" s="41">
        <f>SUMIF('OS Dev model'!$C$291:$C$319,Summary!$A29,'OS Dev model'!AM$291:AM$319)</f>
        <v>0</v>
      </c>
      <c r="AB29" s="41">
        <f>SUMIF('OS Dev model'!$C$291:$C$319,Summary!$A29,'OS Dev model'!AN$291:AN$319)</f>
        <v>0</v>
      </c>
      <c r="AC29" s="41">
        <f>SUMIF('OS Dev model'!$C$291:$C$319,Summary!$A29,'OS Dev model'!AO$291:AO$319)</f>
        <v>0</v>
      </c>
      <c r="AD29" s="41">
        <f>SUMIF('OS Dev model'!$C$291:$C$319,Summary!$A29,'OS Dev model'!AP$291:AP$319)</f>
        <v>0</v>
      </c>
      <c r="AE29" s="41">
        <f>SUMIF('OS Dev model'!$C$291:$C$319,Summary!$A29,'OS Dev model'!AQ$291:AQ$319)</f>
        <v>0</v>
      </c>
      <c r="AF29" s="41">
        <f>SUMIF('OS Dev model'!$C$291:$C$319,Summary!$A29,'OS Dev model'!AR$291:AR$319)</f>
        <v>0</v>
      </c>
      <c r="AG29" s="41">
        <f>SUMIF('OS Dev model'!$C$291:$C$319,Summary!$A29,'OS Dev model'!AS$291:AS$319)</f>
        <v>0</v>
      </c>
      <c r="AH29" s="41">
        <f>SUMIF('OS Dev model'!$C$291:$C$319,Summary!$A29,'OS Dev model'!AT$291:AT$319)</f>
        <v>0</v>
      </c>
      <c r="AI29" s="41">
        <f>SUMIF('OS Dev model'!$C$291:$C$319,Summary!$A29,'OS Dev model'!AU$291:AU$319)</f>
        <v>0</v>
      </c>
      <c r="AJ29" s="41">
        <f>SUMIF('OS Dev model'!$C$291:$C$319,Summary!$A29,'OS Dev model'!AV$291:AV$319)</f>
        <v>0</v>
      </c>
      <c r="AK29" s="41">
        <f>SUMIF('OS Dev model'!$C$291:$C$319,Summary!$A29,'OS Dev model'!AW$291:AW$319)</f>
        <v>0</v>
      </c>
      <c r="AL29" s="41">
        <f>SUMIF('OS Dev model'!$C$291:$C$319,Summary!$A29,'OS Dev model'!AX$291:AX$319)</f>
        <v>0</v>
      </c>
      <c r="AM29" s="41">
        <f>SUMIF('OS Dev model'!$C$291:$C$319,Summary!$A29,'OS Dev model'!AY$291:AY$319)</f>
        <v>0</v>
      </c>
      <c r="AN29" s="41">
        <f>SUMIF('OS Dev model'!$C$291:$C$319,Summary!$A29,'OS Dev model'!AZ$291:AZ$319)</f>
        <v>0</v>
      </c>
      <c r="AO29" s="41">
        <f>SUMIF('OS Dev model'!$C$291:$C$319,Summary!$A29,'OS Dev model'!BA$291:BA$319)</f>
        <v>0</v>
      </c>
      <c r="AP29" s="41">
        <f>SUMIF('OS Dev model'!$C$291:$C$319,Summary!$A29,'OS Dev model'!BB$291:BB$319)</f>
        <v>0</v>
      </c>
      <c r="AQ29" s="41">
        <f>SUMIF('OS Dev model'!$C$291:$C$319,Summary!$A29,'OS Dev model'!BC$291:BC$319)</f>
        <v>0</v>
      </c>
      <c r="AR29" s="41">
        <f>SUMIF('OS Dev model'!$C$291:$C$319,Summary!$A29,'OS Dev model'!BD$291:BD$319)</f>
        <v>0</v>
      </c>
      <c r="AS29" s="41">
        <f>SUMIF('OS Dev model'!$C$291:$C$319,Summary!$A29,'OS Dev model'!BE$291:BE$319)</f>
        <v>0</v>
      </c>
      <c r="AT29" s="41">
        <f>SUMIF('OS Dev model'!$C$291:$C$319,Summary!$A29,'OS Dev model'!BF$291:BF$319)</f>
        <v>0</v>
      </c>
      <c r="AU29" s="41">
        <f>SUMIF('OS Dev model'!$C$291:$C$319,Summary!$A29,'OS Dev model'!BG$291:BG$319)</f>
        <v>0.78409100049445468</v>
      </c>
      <c r="AV29" s="41">
        <f>SUMIF('OS Dev model'!$C$291:$C$319,Summary!$A29,'OS Dev model'!BH$291:BH$319)</f>
        <v>7.2755803935880428</v>
      </c>
      <c r="AW29" s="41">
        <f>SUMIF('OS Dev model'!$C$291:$C$319,Summary!$A29,'OS Dev model'!BI$291:BI$319)</f>
        <v>0</v>
      </c>
      <c r="AX29" s="41">
        <f>SUMIF('OS Dev model'!$C$291:$C$319,Summary!$A29,'OS Dev model'!BJ$291:BJ$319)</f>
        <v>0</v>
      </c>
      <c r="AY29" s="41">
        <f>SUMIF('OS Dev model'!$C$291:$C$319,Summary!$A29,'OS Dev model'!BK$291:BK$319)</f>
        <v>0</v>
      </c>
      <c r="AZ29" s="41">
        <f>SUMIF('OS Dev model'!$C$291:$C$319,Summary!$A29,'OS Dev model'!BL$291:BL$319)</f>
        <v>0</v>
      </c>
    </row>
    <row r="30" spans="1:52" s="2" customFormat="1" x14ac:dyDescent="0.3">
      <c r="A30" s="2" t="str">
        <f>'OS Dev model'!B315</f>
        <v>Hingaia</v>
      </c>
      <c r="B30" s="2" t="str">
        <f t="shared" si="8"/>
        <v>Hingaia</v>
      </c>
      <c r="C30" s="45">
        <v>10</v>
      </c>
      <c r="D30" s="50">
        <v>0</v>
      </c>
      <c r="E30" s="58">
        <f t="shared" si="0"/>
        <v>1</v>
      </c>
      <c r="F30" s="22">
        <f t="shared" si="12"/>
        <v>0.4767720601263904</v>
      </c>
      <c r="G30" s="30">
        <f t="shared" si="11"/>
        <v>0.73838603006319525</v>
      </c>
      <c r="H30" s="41">
        <f t="shared" si="2"/>
        <v>48.274013559428028</v>
      </c>
      <c r="I30" s="41">
        <f t="shared" si="3"/>
        <v>25.776696043673297</v>
      </c>
      <c r="J30" s="41">
        <f t="shared" si="4"/>
        <v>22.497317515754716</v>
      </c>
      <c r="K30" s="41">
        <f t="shared" si="5"/>
        <v>0</v>
      </c>
      <c r="L30" s="41">
        <f t="shared" si="6"/>
        <v>0</v>
      </c>
      <c r="M30" s="41">
        <f t="shared" si="7"/>
        <v>48.274013559428028</v>
      </c>
      <c r="N30" s="41">
        <f>SUMIF('OS Dev model'!$C$291:$C$319,Summary!$A30,'OS Dev model'!Z$291:Z$319)</f>
        <v>0</v>
      </c>
      <c r="O30" s="41">
        <f>SUMIF('OS Dev model'!$C$291:$C$319,Summary!$A30,'OS Dev model'!AA$291:AA$319)</f>
        <v>0</v>
      </c>
      <c r="P30" s="41">
        <f>SUMIF('OS Dev model'!$C$291:$C$319,Summary!$A30,'OS Dev model'!AB$291:AB$319)</f>
        <v>0.30433215789906559</v>
      </c>
      <c r="Q30" s="41">
        <f>SUMIF('OS Dev model'!$C$291:$C$319,Summary!$A30,'OS Dev model'!AC$291:AC$319)</f>
        <v>2.8238980931454294</v>
      </c>
      <c r="R30" s="41">
        <f>SUMIF('OS Dev model'!$C$291:$C$319,Summary!$A30,'OS Dev model'!AD$291:AD$319)</f>
        <v>0.32349321489254862</v>
      </c>
      <c r="S30" s="41">
        <f>SUMIF('OS Dev model'!$C$291:$C$319,Summary!$A30,'OS Dev model'!AE$291:AE$319)</f>
        <v>1.0183476963165567</v>
      </c>
      <c r="T30" s="41">
        <f>SUMIF('OS Dev model'!$C$291:$C$319,Summary!$A30,'OS Dev model'!AF$291:AF$319)</f>
        <v>2.7373285816549418</v>
      </c>
      <c r="U30" s="41">
        <f>SUMIF('OS Dev model'!$C$291:$C$319,Summary!$A30,'OS Dev model'!AG$291:AG$319)</f>
        <v>13.426582433099163</v>
      </c>
      <c r="V30" s="41">
        <f>SUMIF('OS Dev model'!$C$291:$C$319,Summary!$A30,'OS Dev model'!AH$291:AH$319)</f>
        <v>1.7511420957016526</v>
      </c>
      <c r="W30" s="41">
        <f>SUMIF('OS Dev model'!$C$291:$C$319,Summary!$A30,'OS Dev model'!AI$291:AI$319)</f>
        <v>3.3915717709639397</v>
      </c>
      <c r="X30" s="41">
        <f>SUMIF('OS Dev model'!$C$291:$C$319,Summary!$A30,'OS Dev model'!AJ$291:AJ$319)</f>
        <v>0</v>
      </c>
      <c r="Y30" s="41">
        <f>SUMIF('OS Dev model'!$C$291:$C$319,Summary!$A30,'OS Dev model'!AK$291:AK$319)</f>
        <v>0</v>
      </c>
      <c r="Z30" s="41">
        <f>SUMIF('OS Dev model'!$C$291:$C$319,Summary!$A30,'OS Dev model'!AL$291:AL$319)</f>
        <v>0.41298520948821144</v>
      </c>
      <c r="AA30" s="41">
        <f>SUMIF('OS Dev model'!$C$291:$C$319,Summary!$A30,'OS Dev model'!AM$291:AM$319)</f>
        <v>4.6740850364087034</v>
      </c>
      <c r="AB30" s="41">
        <f>SUMIF('OS Dev model'!$C$291:$C$319,Summary!$A30,'OS Dev model'!AN$291:AN$319)</f>
        <v>7.8128741805496595</v>
      </c>
      <c r="AC30" s="41">
        <f>SUMIF('OS Dev model'!$C$291:$C$319,Summary!$A30,'OS Dev model'!AO$291:AO$319)</f>
        <v>0.45259577357194541</v>
      </c>
      <c r="AD30" s="41">
        <f>SUMIF('OS Dev model'!$C$291:$C$319,Summary!$A30,'OS Dev model'!AP$291:AP$319)</f>
        <v>4.1996361829740803</v>
      </c>
      <c r="AE30" s="41">
        <f>SUMIF('OS Dev model'!$C$291:$C$319,Summary!$A30,'OS Dev model'!AQ$291:AQ$319)</f>
        <v>0.48109165607180859</v>
      </c>
      <c r="AF30" s="41">
        <f>SUMIF('OS Dev model'!$C$291:$C$319,Summary!$A30,'OS Dev model'!AR$291:AR$319)</f>
        <v>4.4640494766903114</v>
      </c>
      <c r="AG30" s="41">
        <f>SUMIF('OS Dev model'!$C$291:$C$319,Summary!$A30,'OS Dev model'!AS$291:AS$319)</f>
        <v>0</v>
      </c>
      <c r="AH30" s="41">
        <f>SUMIF('OS Dev model'!$C$291:$C$319,Summary!$A30,'OS Dev model'!AT$291:AT$319)</f>
        <v>0</v>
      </c>
      <c r="AI30" s="41">
        <f>SUMIF('OS Dev model'!$C$291:$C$319,Summary!$A30,'OS Dev model'!AU$291:AU$319)</f>
        <v>0</v>
      </c>
      <c r="AJ30" s="41">
        <f>SUMIF('OS Dev model'!$C$291:$C$319,Summary!$A30,'OS Dev model'!AV$291:AV$319)</f>
        <v>0</v>
      </c>
      <c r="AK30" s="41">
        <f>SUMIF('OS Dev model'!$C$291:$C$319,Summary!$A30,'OS Dev model'!AW$291:AW$319)</f>
        <v>0</v>
      </c>
      <c r="AL30" s="41">
        <f>SUMIF('OS Dev model'!$C$291:$C$319,Summary!$A30,'OS Dev model'!AX$291:AX$319)</f>
        <v>0</v>
      </c>
      <c r="AM30" s="41">
        <f>SUMIF('OS Dev model'!$C$291:$C$319,Summary!$A30,'OS Dev model'!AY$291:AY$319)</f>
        <v>0</v>
      </c>
      <c r="AN30" s="41">
        <f>SUMIF('OS Dev model'!$C$291:$C$319,Summary!$A30,'OS Dev model'!AZ$291:AZ$319)</f>
        <v>0</v>
      </c>
      <c r="AO30" s="41">
        <f>SUMIF('OS Dev model'!$C$291:$C$319,Summary!$A30,'OS Dev model'!BA$291:BA$319)</f>
        <v>0</v>
      </c>
      <c r="AP30" s="41">
        <f>SUMIF('OS Dev model'!$C$291:$C$319,Summary!$A30,'OS Dev model'!BB$291:BB$319)</f>
        <v>0</v>
      </c>
      <c r="AQ30" s="41">
        <f>SUMIF('OS Dev model'!$C$291:$C$319,Summary!$A30,'OS Dev model'!BC$291:BC$319)</f>
        <v>0</v>
      </c>
      <c r="AR30" s="41">
        <f>SUMIF('OS Dev model'!$C$291:$C$319,Summary!$A30,'OS Dev model'!BD$291:BD$319)</f>
        <v>0</v>
      </c>
      <c r="AS30" s="41">
        <f>SUMIF('OS Dev model'!$C$291:$C$319,Summary!$A30,'OS Dev model'!BE$291:BE$319)</f>
        <v>0</v>
      </c>
      <c r="AT30" s="41">
        <f>SUMIF('OS Dev model'!$C$291:$C$319,Summary!$A30,'OS Dev model'!BF$291:BF$319)</f>
        <v>0</v>
      </c>
      <c r="AU30" s="41">
        <f>SUMIF('OS Dev model'!$C$291:$C$319,Summary!$A30,'OS Dev model'!BG$291:BG$319)</f>
        <v>0</v>
      </c>
      <c r="AV30" s="41">
        <f>SUMIF('OS Dev model'!$C$291:$C$319,Summary!$A30,'OS Dev model'!BH$291:BH$319)</f>
        <v>0</v>
      </c>
      <c r="AW30" s="41">
        <f>SUMIF('OS Dev model'!$C$291:$C$319,Summary!$A30,'OS Dev model'!BI$291:BI$319)</f>
        <v>0</v>
      </c>
      <c r="AX30" s="41">
        <f>SUMIF('OS Dev model'!$C$291:$C$319,Summary!$A30,'OS Dev model'!BJ$291:BJ$319)</f>
        <v>0</v>
      </c>
      <c r="AY30" s="41">
        <f>SUMIF('OS Dev model'!$C$291:$C$319,Summary!$A30,'OS Dev model'!BK$291:BK$319)</f>
        <v>0</v>
      </c>
      <c r="AZ30" s="41">
        <f>SUMIF('OS Dev model'!$C$291:$C$319,Summary!$A30,'OS Dev model'!BL$291:BL$319)</f>
        <v>0</v>
      </c>
    </row>
    <row r="31" spans="1:52" s="2" customFormat="1" x14ac:dyDescent="0.3">
      <c r="A31" s="2" t="str">
        <f>'OS Dev model'!B316</f>
        <v>Drury</v>
      </c>
      <c r="B31" s="2" t="str">
        <f t="shared" si="8"/>
        <v>Opaheke / Drury</v>
      </c>
      <c r="C31" s="45">
        <v>30</v>
      </c>
      <c r="D31" s="50">
        <f>'OS Dev model'!G316</f>
        <v>6.8444795791713538E-3</v>
      </c>
      <c r="E31" s="58">
        <f t="shared" si="0"/>
        <v>0.99315552042082866</v>
      </c>
      <c r="F31" s="22">
        <f t="shared" si="12"/>
        <v>0.90269551841172735</v>
      </c>
      <c r="G31" s="30">
        <f>AVERAGE(E31:F31)</f>
        <v>0.94792551941627801</v>
      </c>
      <c r="H31" s="41">
        <f t="shared" si="2"/>
        <v>206.94965063281495</v>
      </c>
      <c r="I31" s="41">
        <f t="shared" si="3"/>
        <v>26.85012670257229</v>
      </c>
      <c r="J31" s="41">
        <f t="shared" si="4"/>
        <v>72.5158459596163</v>
      </c>
      <c r="K31" s="41">
        <f t="shared" si="5"/>
        <v>107.58367797062637</v>
      </c>
      <c r="L31" s="41">
        <f t="shared" si="6"/>
        <v>52.187961891092158</v>
      </c>
      <c r="M31" s="41">
        <f t="shared" si="7"/>
        <v>259.13761252390714</v>
      </c>
      <c r="N31" s="41">
        <f>SUMIF('OS Dev model'!$C$291:$C$319,Summary!$A31,'OS Dev model'!Z$291:Z$319)</f>
        <v>0</v>
      </c>
      <c r="O31" s="41">
        <f>SUMIF('OS Dev model'!$C$291:$C$319,Summary!$A31,'OS Dev model'!AA$291:AA$319)</f>
        <v>0</v>
      </c>
      <c r="P31" s="41">
        <f>SUMIF('OS Dev model'!$C$291:$C$319,Summary!$A31,'OS Dev model'!AB$291:AB$319)</f>
        <v>0.5766333561792546</v>
      </c>
      <c r="Q31" s="41">
        <f>SUMIF('OS Dev model'!$C$291:$C$319,Summary!$A31,'OS Dev model'!AC$291:AC$319)</f>
        <v>5.6148507085374959</v>
      </c>
      <c r="R31" s="41">
        <f>SUMIF('OS Dev model'!$C$291:$C$319,Summary!$A31,'OS Dev model'!AD$291:AD$319)</f>
        <v>3.0647245101778764</v>
      </c>
      <c r="S31" s="41">
        <f>SUMIF('OS Dev model'!$C$291:$C$319,Summary!$A31,'OS Dev model'!AE$291:AE$319)</f>
        <v>0.70225693978775527</v>
      </c>
      <c r="T31" s="41">
        <f>SUMIF('OS Dev model'!$C$291:$C$319,Summary!$A31,'OS Dev model'!AF$291:AF$319)</f>
        <v>1.9246612490127621</v>
      </c>
      <c r="U31" s="41">
        <f>SUMIF('OS Dev model'!$C$291:$C$319,Summary!$A31,'OS Dev model'!AG$291:AG$319)</f>
        <v>7.9203233387678864</v>
      </c>
      <c r="V31" s="41">
        <f>SUMIF('OS Dev model'!$C$291:$C$319,Summary!$A31,'OS Dev model'!AH$291:AH$319)</f>
        <v>3.6551048291453183</v>
      </c>
      <c r="W31" s="41">
        <f>SUMIF('OS Dev model'!$C$291:$C$319,Summary!$A31,'OS Dev model'!AI$291:AI$319)</f>
        <v>3.3915717709639397</v>
      </c>
      <c r="X31" s="41">
        <f>SUMIF('OS Dev model'!$C$291:$C$319,Summary!$A31,'OS Dev model'!AJ$291:AJ$319)</f>
        <v>0.38852338842931355</v>
      </c>
      <c r="Y31" s="41">
        <f>SUMIF('OS Dev model'!$C$291:$C$319,Summary!$A31,'OS Dev model'!AK$291:AK$319)</f>
        <v>3.6051085212356</v>
      </c>
      <c r="Z31" s="41">
        <f>SUMIF('OS Dev model'!$C$291:$C$319,Summary!$A31,'OS Dev model'!AL$291:AL$319)</f>
        <v>0.82597041897642287</v>
      </c>
      <c r="AA31" s="41">
        <f>SUMIF('OS Dev model'!$C$291:$C$319,Summary!$A31,'OS Dev model'!AM$291:AM$319)</f>
        <v>7.6641795176822285</v>
      </c>
      <c r="AB31" s="41">
        <f>SUMIF('OS Dev model'!$C$291:$C$319,Summary!$A31,'OS Dev model'!AN$291:AN$319)</f>
        <v>1.5020410901391967</v>
      </c>
      <c r="AC31" s="41">
        <f>SUMIF('OS Dev model'!$C$291:$C$319,Summary!$A31,'OS Dev model'!AO$291:AO$319)</f>
        <v>9.8861453314462047</v>
      </c>
      <c r="AD31" s="41">
        <f>SUMIF('OS Dev model'!$C$291:$C$319,Summary!$A31,'OS Dev model'!AP$291:AP$319)</f>
        <v>7.749742374800916</v>
      </c>
      <c r="AE31" s="41">
        <f>SUMIF('OS Dev model'!$C$291:$C$319,Summary!$A31,'OS Dev model'!AQ$291:AQ$319)</f>
        <v>8.1173859575750456</v>
      </c>
      <c r="AF31" s="41">
        <f>SUMIF('OS Dev model'!$C$291:$C$319,Summary!$A31,'OS Dev model'!AR$291:AR$319)</f>
        <v>9.7645743069928237</v>
      </c>
      <c r="AG31" s="41">
        <f>SUMIF('OS Dev model'!$C$291:$C$319,Summary!$A31,'OS Dev model'!AS$291:AS$319)</f>
        <v>23.012175052338552</v>
      </c>
      <c r="AH31" s="41">
        <f>SUMIF('OS Dev model'!$C$291:$C$319,Summary!$A31,'OS Dev model'!AT$291:AT$319)</f>
        <v>0</v>
      </c>
      <c r="AI31" s="41">
        <f>SUMIF('OS Dev model'!$C$291:$C$319,Summary!$A31,'OS Dev model'!AU$291:AU$319)</f>
        <v>0</v>
      </c>
      <c r="AJ31" s="41">
        <f>SUMIF('OS Dev model'!$C$291:$C$319,Summary!$A31,'OS Dev model'!AV$291:AV$319)</f>
        <v>10.376253910742891</v>
      </c>
      <c r="AK31" s="41">
        <f>SUMIF('OS Dev model'!$C$291:$C$319,Summary!$A31,'OS Dev model'!AW$291:AW$319)</f>
        <v>76.567463417905003</v>
      </c>
      <c r="AL31" s="41">
        <f>SUMIF('OS Dev model'!$C$291:$C$319,Summary!$A31,'OS Dev model'!AX$291:AX$319)</f>
        <v>10.162462157547257</v>
      </c>
      <c r="AM31" s="41">
        <f>SUMIF('OS Dev model'!$C$291:$C$319,Summary!$A31,'OS Dev model'!AY$291:AY$319)</f>
        <v>10.477498484431219</v>
      </c>
      <c r="AN31" s="41">
        <f>SUMIF('OS Dev model'!$C$291:$C$319,Summary!$A31,'OS Dev model'!AZ$291:AZ$319)</f>
        <v>0</v>
      </c>
      <c r="AO31" s="41">
        <f>SUMIF('OS Dev model'!$C$291:$C$319,Summary!$A31,'OS Dev model'!BA$291:BA$319)</f>
        <v>0</v>
      </c>
      <c r="AP31" s="41">
        <f>SUMIF('OS Dev model'!$C$291:$C$319,Summary!$A31,'OS Dev model'!BB$291:BB$319)</f>
        <v>0</v>
      </c>
      <c r="AQ31" s="41">
        <f>SUMIF('OS Dev model'!$C$291:$C$319,Summary!$A31,'OS Dev model'!BC$291:BC$319)</f>
        <v>0</v>
      </c>
      <c r="AR31" s="41">
        <f>SUMIF('OS Dev model'!$C$291:$C$319,Summary!$A31,'OS Dev model'!BD$291:BD$319)</f>
        <v>0</v>
      </c>
      <c r="AS31" s="41">
        <f>SUMIF('OS Dev model'!$C$291:$C$319,Summary!$A31,'OS Dev model'!BE$291:BE$319)</f>
        <v>0</v>
      </c>
      <c r="AT31" s="41">
        <f>SUMIF('OS Dev model'!$C$291:$C$319,Summary!$A31,'OS Dev model'!BF$291:BF$319)</f>
        <v>0</v>
      </c>
      <c r="AU31" s="41">
        <f>SUMIF('OS Dev model'!$C$291:$C$319,Summary!$A31,'OS Dev model'!BG$291:BG$319)</f>
        <v>5.0351233858422608</v>
      </c>
      <c r="AV31" s="41">
        <f>SUMIF('OS Dev model'!$C$291:$C$319,Summary!$A31,'OS Dev model'!BH$291:BH$319)</f>
        <v>37.527125071194675</v>
      </c>
      <c r="AW31" s="41">
        <f>SUMIF('OS Dev model'!$C$291:$C$319,Summary!$A31,'OS Dev model'!BI$291:BI$319)</f>
        <v>4.7393960778213797</v>
      </c>
      <c r="AX31" s="41">
        <f>SUMIF('OS Dev model'!$C$291:$C$319,Summary!$A31,'OS Dev model'!BJ$291:BJ$319)</f>
        <v>4.8863173562338416</v>
      </c>
      <c r="AY31" s="41">
        <f>SUMIF('OS Dev model'!$C$291:$C$319,Summary!$A31,'OS Dev model'!BK$291:BK$319)</f>
        <v>0</v>
      </c>
      <c r="AZ31" s="41">
        <f>SUMIF('OS Dev model'!$C$291:$C$319,Summary!$A31,'OS Dev model'!BL$291:BL$319)</f>
        <v>0</v>
      </c>
    </row>
    <row r="32" spans="1:52" s="2" customFormat="1" x14ac:dyDescent="0.3">
      <c r="A32" s="2" t="str">
        <f>'OS Dev model'!B317</f>
        <v>Rural SE</v>
      </c>
      <c r="B32" s="2" t="str">
        <f t="shared" si="8"/>
        <v>Rural South East</v>
      </c>
      <c r="C32" s="45">
        <v>10</v>
      </c>
      <c r="D32" s="50">
        <f>F69*('OS Dev model'!X274+'OS Dev model'!X275)/SUM('OS Dev model'!X272:X275)</f>
        <v>0.35785493785348488</v>
      </c>
      <c r="E32" s="58">
        <f t="shared" si="0"/>
        <v>0.64214506214651512</v>
      </c>
      <c r="F32" s="22">
        <f t="shared" si="12"/>
        <v>8.9637135287165104E-2</v>
      </c>
      <c r="G32" s="30">
        <f t="shared" si="11"/>
        <v>0.36589109871684011</v>
      </c>
      <c r="H32" s="41">
        <f t="shared" si="2"/>
        <v>26.489902639260244</v>
      </c>
      <c r="I32" s="41">
        <f t="shared" si="3"/>
        <v>1.3840612400000001</v>
      </c>
      <c r="J32" s="41">
        <f t="shared" si="4"/>
        <v>14.266954557871774</v>
      </c>
      <c r="K32" s="41">
        <f t="shared" si="5"/>
        <v>10.838886841388469</v>
      </c>
      <c r="L32" s="41">
        <f t="shared" si="6"/>
        <v>0</v>
      </c>
      <c r="M32" s="41">
        <f t="shared" si="7"/>
        <v>26.489902639260244</v>
      </c>
      <c r="N32" s="41">
        <f>SUMIF('OS Dev model'!$C$291:$C$319,Summary!$A32,'OS Dev model'!Z$291:Z$319)</f>
        <v>0.57500000000000007</v>
      </c>
      <c r="O32" s="41">
        <f>SUMIF('OS Dev model'!$C$291:$C$319,Summary!$A32,'OS Dev model'!AA$291:AA$319)</f>
        <v>0.20571999999999999</v>
      </c>
      <c r="P32" s="41">
        <f>SUMIF('OS Dev model'!$C$291:$C$319,Summary!$A32,'OS Dev model'!AB$291:AB$319)</f>
        <v>0.33334123999999998</v>
      </c>
      <c r="Q32" s="41">
        <f>SUMIF('OS Dev model'!$C$291:$C$319,Summary!$A32,'OS Dev model'!AC$291:AC$319)</f>
        <v>0.27</v>
      </c>
      <c r="R32" s="41">
        <f>SUMIF('OS Dev model'!$C$291:$C$319,Summary!$A32,'OS Dev model'!AD$291:AD$319)</f>
        <v>0</v>
      </c>
      <c r="S32" s="41">
        <f>SUMIF('OS Dev model'!$C$291:$C$319,Summary!$A32,'OS Dev model'!AE$291:AE$319)</f>
        <v>0</v>
      </c>
      <c r="T32" s="41">
        <f>SUMIF('OS Dev model'!$C$291:$C$319,Summary!$A32,'OS Dev model'!AF$291:AF$319)</f>
        <v>0</v>
      </c>
      <c r="U32" s="41">
        <f>SUMIF('OS Dev model'!$C$291:$C$319,Summary!$A32,'OS Dev model'!AG$291:AG$319)</f>
        <v>0</v>
      </c>
      <c r="V32" s="41">
        <f>SUMIF('OS Dev model'!$C$291:$C$319,Summary!$A32,'OS Dev model'!AH$291:AH$319)</f>
        <v>0</v>
      </c>
      <c r="W32" s="41">
        <f>SUMIF('OS Dev model'!$C$291:$C$319,Summary!$A32,'OS Dev model'!AI$291:AI$319)</f>
        <v>0</v>
      </c>
      <c r="X32" s="41">
        <f>SUMIF('OS Dev model'!$C$291:$C$319,Summary!$A32,'OS Dev model'!AJ$291:AJ$319)</f>
        <v>0</v>
      </c>
      <c r="Y32" s="41">
        <f>SUMIF('OS Dev model'!$C$291:$C$319,Summary!$A32,'OS Dev model'!AK$291:AK$319)</f>
        <v>0</v>
      </c>
      <c r="Z32" s="41">
        <f>SUMIF('OS Dev model'!$C$291:$C$319,Summary!$A32,'OS Dev model'!AL$291:AL$319)</f>
        <v>0</v>
      </c>
      <c r="AA32" s="41">
        <f>SUMIF('OS Dev model'!$C$291:$C$319,Summary!$A32,'OS Dev model'!AM$291:AM$319)</f>
        <v>0.425787750982346</v>
      </c>
      <c r="AB32" s="41">
        <f>SUMIF('OS Dev model'!$C$291:$C$319,Summary!$A32,'OS Dev model'!AN$291:AN$319)</f>
        <v>3.9508845413651876</v>
      </c>
      <c r="AC32" s="41">
        <f>SUMIF('OS Dev model'!$C$291:$C$319,Summary!$A32,'OS Dev model'!AO$291:AO$319)</f>
        <v>0</v>
      </c>
      <c r="AD32" s="41">
        <f>SUMIF('OS Dev model'!$C$291:$C$319,Summary!$A32,'OS Dev model'!AP$291:AP$319)</f>
        <v>0</v>
      </c>
      <c r="AE32" s="41">
        <f>SUMIF('OS Dev model'!$C$291:$C$319,Summary!$A32,'OS Dev model'!AQ$291:AQ$319)</f>
        <v>0.96218331214361719</v>
      </c>
      <c r="AF32" s="41">
        <f>SUMIF('OS Dev model'!$C$291:$C$319,Summary!$A32,'OS Dev model'!AR$291:AR$319)</f>
        <v>8.9280989533806228</v>
      </c>
      <c r="AG32" s="41">
        <f>SUMIF('OS Dev model'!$C$291:$C$319,Summary!$A32,'OS Dev model'!AS$291:AS$319)</f>
        <v>0</v>
      </c>
      <c r="AH32" s="41">
        <f>SUMIF('OS Dev model'!$C$291:$C$319,Summary!$A32,'OS Dev model'!AT$291:AT$319)</f>
        <v>1.0544689990649352</v>
      </c>
      <c r="AI32" s="41">
        <f>SUMIF('OS Dev model'!$C$291:$C$319,Summary!$A32,'OS Dev model'!AU$291:AU$319)</f>
        <v>9.7844178423235331</v>
      </c>
      <c r="AJ32" s="41">
        <f>SUMIF('OS Dev model'!$C$291:$C$319,Summary!$A32,'OS Dev model'!AV$291:AV$319)</f>
        <v>0</v>
      </c>
      <c r="AK32" s="41">
        <f>SUMIF('OS Dev model'!$C$291:$C$319,Summary!$A32,'OS Dev model'!AW$291:AW$319)</f>
        <v>0</v>
      </c>
      <c r="AL32" s="41">
        <f>SUMIF('OS Dev model'!$C$291:$C$319,Summary!$A32,'OS Dev model'!AX$291:AX$319)</f>
        <v>0</v>
      </c>
      <c r="AM32" s="41">
        <f>SUMIF('OS Dev model'!$C$291:$C$319,Summary!$A32,'OS Dev model'!AY$291:AY$319)</f>
        <v>0</v>
      </c>
      <c r="AN32" s="41">
        <f>SUMIF('OS Dev model'!$C$291:$C$319,Summary!$A32,'OS Dev model'!AZ$291:AZ$319)</f>
        <v>0</v>
      </c>
      <c r="AO32" s="41">
        <f>SUMIF('OS Dev model'!$C$291:$C$319,Summary!$A32,'OS Dev model'!BA$291:BA$319)</f>
        <v>0</v>
      </c>
      <c r="AP32" s="41">
        <f>SUMIF('OS Dev model'!$C$291:$C$319,Summary!$A32,'OS Dev model'!BB$291:BB$319)</f>
        <v>0</v>
      </c>
      <c r="AQ32" s="41">
        <f>SUMIF('OS Dev model'!$C$291:$C$319,Summary!$A32,'OS Dev model'!BC$291:BC$319)</f>
        <v>0</v>
      </c>
      <c r="AR32" s="41">
        <f>SUMIF('OS Dev model'!$C$291:$C$319,Summary!$A32,'OS Dev model'!BD$291:BD$319)</f>
        <v>0</v>
      </c>
      <c r="AS32" s="41">
        <f>SUMIF('OS Dev model'!$C$291:$C$319,Summary!$A32,'OS Dev model'!BE$291:BE$319)</f>
        <v>0</v>
      </c>
      <c r="AT32" s="41">
        <f>SUMIF('OS Dev model'!$C$291:$C$319,Summary!$A32,'OS Dev model'!BF$291:BF$319)</f>
        <v>0</v>
      </c>
      <c r="AU32" s="41">
        <f>SUMIF('OS Dev model'!$C$291:$C$319,Summary!$A32,'OS Dev model'!BG$291:BG$319)</f>
        <v>0</v>
      </c>
      <c r="AV32" s="41">
        <f>SUMIF('OS Dev model'!$C$291:$C$319,Summary!$A32,'OS Dev model'!BH$291:BH$319)</f>
        <v>0</v>
      </c>
      <c r="AW32" s="41">
        <f>SUMIF('OS Dev model'!$C$291:$C$319,Summary!$A32,'OS Dev model'!BI$291:BI$319)</f>
        <v>0</v>
      </c>
      <c r="AX32" s="41">
        <f>SUMIF('OS Dev model'!$C$291:$C$319,Summary!$A32,'OS Dev model'!BJ$291:BJ$319)</f>
        <v>0</v>
      </c>
      <c r="AY32" s="41">
        <f>SUMIF('OS Dev model'!$C$291:$C$319,Summary!$A32,'OS Dev model'!BK$291:BK$319)</f>
        <v>0</v>
      </c>
      <c r="AZ32" s="41">
        <f>SUMIF('OS Dev model'!$C$291:$C$319,Summary!$A32,'OS Dev model'!BL$291:BL$319)</f>
        <v>0</v>
      </c>
    </row>
    <row r="33" spans="1:52" s="2" customFormat="1" x14ac:dyDescent="0.3">
      <c r="A33" s="2" t="str">
        <f>'OS Dev model'!B318</f>
        <v>Pukekohe</v>
      </c>
      <c r="B33" s="2" t="str">
        <f t="shared" si="8"/>
        <v>Paerata / Pukekohe</v>
      </c>
      <c r="C33" s="45">
        <v>10</v>
      </c>
      <c r="D33" s="50">
        <f>F70*(SUM('OS Dev model'!X254:X256)+'OS Dev model'!X257/2)/SUM('OS Dev model'!X243:X257)</f>
        <v>0.11902110616302605</v>
      </c>
      <c r="E33" s="58">
        <f t="shared" si="0"/>
        <v>0.88097889383697392</v>
      </c>
      <c r="F33" s="22">
        <f t="shared" si="12"/>
        <v>0.45512400213499871</v>
      </c>
      <c r="G33" s="30">
        <f t="shared" si="11"/>
        <v>0.66805144798598626</v>
      </c>
      <c r="H33" s="41">
        <f>SUM(N33:AQ33)</f>
        <v>225.17281692512191</v>
      </c>
      <c r="I33" s="41">
        <f t="shared" si="3"/>
        <v>8.8876108272110717</v>
      </c>
      <c r="J33" s="41">
        <f>SUM(X33:AG33)</f>
        <v>53.689180057698508</v>
      </c>
      <c r="K33" s="41">
        <f>SUM(AH33:AQ33)</f>
        <v>162.59602604021237</v>
      </c>
      <c r="L33" s="41">
        <f t="shared" si="6"/>
        <v>0</v>
      </c>
      <c r="M33" s="41">
        <f t="shared" si="7"/>
        <v>225.17281692512191</v>
      </c>
      <c r="N33" s="41">
        <f>SUMIF('OS Dev model'!$C$291:$C$319,Summary!$A33,'OS Dev model'!Z$291:Z$319)</f>
        <v>0.53276699999999999</v>
      </c>
      <c r="O33" s="41">
        <f>SUMIF('OS Dev model'!$C$291:$C$319,Summary!$A33,'OS Dev model'!AA$291:AA$319)</f>
        <v>0.62</v>
      </c>
      <c r="P33" s="41">
        <f>SUMIF('OS Dev model'!$C$291:$C$319,Summary!$A33,'OS Dev model'!AB$291:AB$319)</f>
        <v>1.2992381979374712</v>
      </c>
      <c r="Q33" s="41">
        <f>SUMIF('OS Dev model'!$C$291:$C$319,Summary!$A33,'OS Dev model'!AC$291:AC$319)</f>
        <v>2.6271012386617953</v>
      </c>
      <c r="R33" s="41">
        <f>SUMIF('OS Dev model'!$C$291:$C$319,Summary!$A33,'OS Dev model'!AD$291:AD$319)</f>
        <v>0.32349321489254862</v>
      </c>
      <c r="S33" s="41">
        <f>SUMIF('OS Dev model'!$C$291:$C$319,Summary!$A33,'OS Dev model'!AE$291:AE$319)</f>
        <v>0.7022569397877555</v>
      </c>
      <c r="T33" s="41">
        <f>SUMIF('OS Dev model'!$C$291:$C$319,Summary!$A33,'OS Dev model'!AF$291:AF$319)</f>
        <v>1.2354355161854853</v>
      </c>
      <c r="U33" s="41">
        <f>SUMIF('OS Dev model'!$C$291:$C$319,Summary!$A33,'OS Dev model'!AG$291:AG$319)</f>
        <v>1.1704774118611336</v>
      </c>
      <c r="V33" s="41">
        <f>SUMIF('OS Dev model'!$C$291:$C$319,Summary!$A33,'OS Dev model'!AH$291:AH$319)</f>
        <v>0</v>
      </c>
      <c r="W33" s="41">
        <f>SUMIF('OS Dev model'!$C$291:$C$319,Summary!$A33,'OS Dev model'!AI$291:AI$319)</f>
        <v>0.37684130788488224</v>
      </c>
      <c r="X33" s="41">
        <f>SUMIF('OS Dev model'!$C$291:$C$319,Summary!$A33,'OS Dev model'!AJ$291:AJ$319)</f>
        <v>3.4967104958638218</v>
      </c>
      <c r="Y33" s="41">
        <f>SUMIF('OS Dev model'!$C$291:$C$319,Summary!$A33,'OS Dev model'!AK$291:AK$319)</f>
        <v>0</v>
      </c>
      <c r="Z33" s="41">
        <f>SUMIF('OS Dev model'!$C$291:$C$319,Summary!$A33,'OS Dev model'!AL$291:AL$319)</f>
        <v>0.41298520948821144</v>
      </c>
      <c r="AA33" s="41">
        <f>SUMIF('OS Dev model'!$C$291:$C$319,Summary!$A33,'OS Dev model'!AM$291:AM$319)</f>
        <v>3.8320897588411138</v>
      </c>
      <c r="AB33" s="41">
        <f>SUMIF('OS Dev model'!$C$291:$C$319,Summary!$A33,'OS Dev model'!AN$291:AN$319)</f>
        <v>1.9066142521213969</v>
      </c>
      <c r="AC33" s="41">
        <f>SUMIF('OS Dev model'!$C$291:$C$319,Summary!$A33,'OS Dev model'!AO$291:AO$319)</f>
        <v>7.3968685768005056</v>
      </c>
      <c r="AD33" s="41">
        <f>SUMIF('OS Dev model'!$C$291:$C$319,Summary!$A33,'OS Dev model'!AP$291:AP$319)</f>
        <v>5.3068689128807938</v>
      </c>
      <c r="AE33" s="41">
        <f>SUMIF('OS Dev model'!$C$291:$C$319,Summary!$A33,'OS Dev model'!AQ$291:AQ$319)</f>
        <v>5.9524735052519064</v>
      </c>
      <c r="AF33" s="41">
        <f>SUMIF('OS Dev model'!$C$291:$C$319,Summary!$A33,'OS Dev model'!AR$291:AR$319)</f>
        <v>5.9520659689204152</v>
      </c>
      <c r="AG33" s="41">
        <f>SUMIF('OS Dev model'!$C$291:$C$319,Summary!$A33,'OS Dev model'!AS$291:AS$319)</f>
        <v>19.432503377530335</v>
      </c>
      <c r="AH33" s="41">
        <f>SUMIF('OS Dev model'!$C$291:$C$319,Summary!$A33,'OS Dev model'!AT$291:AT$319)</f>
        <v>52.196215453714295</v>
      </c>
      <c r="AI33" s="41">
        <f>SUMIF('OS Dev model'!$C$291:$C$319,Summary!$A33,'OS Dev model'!AU$291:AU$319)</f>
        <v>0.77275477886293908</v>
      </c>
      <c r="AJ33" s="41">
        <f>SUMIF('OS Dev model'!$C$291:$C$319,Summary!$A33,'OS Dev model'!AV$291:AV$319)</f>
        <v>0.79671017700769009</v>
      </c>
      <c r="AK33" s="41">
        <f>SUMIF('OS Dev model'!$C$291:$C$319,Summary!$A33,'OS Dev model'!AW$291:AW$319)</f>
        <v>13.162142359460706</v>
      </c>
      <c r="AL33" s="41">
        <f>SUMIF('OS Dev model'!$C$291:$C$319,Summary!$A33,'OS Dev model'!AX$291:AX$319)</f>
        <v>81.48167032324686</v>
      </c>
      <c r="AM33" s="41">
        <f>SUMIF('OS Dev model'!$C$291:$C$319,Summary!$A33,'OS Dev model'!AY$291:AY$319)</f>
        <v>6.9849989896208129</v>
      </c>
      <c r="AN33" s="41">
        <f>SUMIF('OS Dev model'!$C$291:$C$319,Summary!$A33,'OS Dev model'!AZ$291:AZ$319)</f>
        <v>7.2015339582990565</v>
      </c>
      <c r="AO33" s="41">
        <f>SUMIF('OS Dev model'!$C$291:$C$319,Summary!$A33,'OS Dev model'!BA$291:BA$319)</f>
        <v>0</v>
      </c>
      <c r="AP33" s="41">
        <f>SUMIF('OS Dev model'!$C$291:$C$319,Summary!$A33,'OS Dev model'!BB$291:BB$319)</f>
        <v>0</v>
      </c>
      <c r="AQ33" s="41">
        <f>SUMIF('OS Dev model'!$C$291:$C$319,Summary!$A33,'OS Dev model'!BC$291:BC$319)</f>
        <v>0</v>
      </c>
      <c r="AR33" s="41">
        <f>SUMIF('OS Dev model'!$C$291:$C$319,Summary!$A33,'OS Dev model'!BD$291:BD$319)</f>
        <v>0</v>
      </c>
      <c r="AS33" s="41">
        <f>SUMIF('OS Dev model'!$C$291:$C$319,Summary!$A33,'OS Dev model'!BE$291:BE$319)</f>
        <v>0</v>
      </c>
      <c r="AT33" s="41">
        <f>SUMIF('OS Dev model'!$C$291:$C$319,Summary!$A33,'OS Dev model'!BF$291:BF$319)</f>
        <v>0</v>
      </c>
      <c r="AU33" s="41">
        <f>SUMIF('OS Dev model'!$C$291:$C$319,Summary!$A33,'OS Dev model'!BG$291:BG$319)</f>
        <v>0</v>
      </c>
      <c r="AV33" s="41">
        <f>SUMIF('OS Dev model'!$C$291:$C$319,Summary!$A33,'OS Dev model'!BH$291:BH$319)</f>
        <v>0</v>
      </c>
      <c r="AW33" s="41">
        <f>SUMIF('OS Dev model'!$C$291:$C$319,Summary!$A33,'OS Dev model'!BI$291:BI$319)</f>
        <v>0</v>
      </c>
      <c r="AX33" s="41">
        <f>SUMIF('OS Dev model'!$C$291:$C$319,Summary!$A33,'OS Dev model'!BJ$291:BJ$319)</f>
        <v>0</v>
      </c>
      <c r="AY33" s="41">
        <f>SUMIF('OS Dev model'!$C$291:$C$319,Summary!$A33,'OS Dev model'!BK$291:BK$319)</f>
        <v>0</v>
      </c>
      <c r="AZ33" s="41">
        <f>SUMIF('OS Dev model'!$C$291:$C$319,Summary!$A33,'OS Dev model'!BL$291:BL$319)</f>
        <v>0</v>
      </c>
    </row>
    <row r="34" spans="1:52" s="2" customFormat="1" x14ac:dyDescent="0.3">
      <c r="A34" s="2" t="str">
        <f>'OS Dev model'!B319</f>
        <v>Rural SW</v>
      </c>
      <c r="B34" s="2" t="str">
        <f t="shared" si="8"/>
        <v>Rural South West</v>
      </c>
      <c r="C34" s="45">
        <v>10</v>
      </c>
      <c r="D34" s="49">
        <f>F71*SUM('OS Dev model'!X258)/SUMIF('OS Dev model'!$B$258:$B$276,'OS Dev model'!B258,'OS Dev model'!X258:X276)</f>
        <v>2.2608872449497957E-3</v>
      </c>
      <c r="E34" s="62">
        <f t="shared" si="0"/>
        <v>0.99773911275505023</v>
      </c>
      <c r="F34" s="22">
        <f t="shared" si="12"/>
        <v>0.19248410641055225</v>
      </c>
      <c r="G34" s="30">
        <f t="shared" si="11"/>
        <v>0.59511160958280129</v>
      </c>
      <c r="H34" s="41">
        <f t="shared" ref="H34:H35" si="13">SUM(N34:AQ34)</f>
        <v>58.377379328626098</v>
      </c>
      <c r="I34" s="41">
        <f t="shared" si="3"/>
        <v>17.786951379633031</v>
      </c>
      <c r="J34" s="41">
        <f t="shared" ref="J34:J35" si="14">SUM(X34:AG34)</f>
        <v>33.816123673125276</v>
      </c>
      <c r="K34" s="41">
        <f t="shared" ref="K34:K35" si="15">SUM(AH34:AQ34)</f>
        <v>6.7743042758677934</v>
      </c>
      <c r="L34" s="41">
        <f t="shared" si="6"/>
        <v>0</v>
      </c>
      <c r="M34" s="41">
        <f t="shared" si="7"/>
        <v>58.377379328626098</v>
      </c>
      <c r="N34" s="41">
        <f>SUMIF('OS Dev model'!$C$291:$C$319,Summary!$A34,'OS Dev model'!Z$291:Z$319)</f>
        <v>3.5000000000000003E-2</v>
      </c>
      <c r="O34" s="41">
        <f>SUMIF('OS Dev model'!$C$291:$C$319,Summary!$A34,'OS Dev model'!AA$291:AA$319)</f>
        <v>1.4800000000000001E-2</v>
      </c>
      <c r="P34" s="41">
        <f>SUMIF('OS Dev model'!$C$291:$C$319,Summary!$A34,'OS Dev model'!AB$291:AB$319)</f>
        <v>1.1134981261216559</v>
      </c>
      <c r="Q34" s="41">
        <f>SUMIF('OS Dev model'!$C$291:$C$319,Summary!$A34,'OS Dev model'!AC$291:AC$319)</f>
        <v>7.3704308766521009</v>
      </c>
      <c r="R34" s="41">
        <f>SUMIF('OS Dev model'!$C$291:$C$319,Summary!$A34,'OS Dev model'!AD$291:AD$319)</f>
        <v>6.781677837686467</v>
      </c>
      <c r="S34" s="41">
        <f>SUMIF('OS Dev model'!$C$291:$C$319,Summary!$A34,'OS Dev model'!AE$291:AE$319)</f>
        <v>2.4715445391728093</v>
      </c>
      <c r="T34" s="41">
        <f>SUMIF('OS Dev model'!$C$291:$C$319,Summary!$A34,'OS Dev model'!AF$291:AF$319)</f>
        <v>0</v>
      </c>
      <c r="U34" s="41">
        <f>SUMIF('OS Dev model'!$C$291:$C$319,Summary!$A34,'OS Dev model'!AG$291:AG$319)</f>
        <v>0</v>
      </c>
      <c r="V34" s="41">
        <f>SUMIF('OS Dev model'!$C$291:$C$319,Summary!$A34,'OS Dev model'!AH$291:AH$319)</f>
        <v>0</v>
      </c>
      <c r="W34" s="41">
        <f>SUMIF('OS Dev model'!$C$291:$C$319,Summary!$A34,'OS Dev model'!AI$291:AI$319)</f>
        <v>0</v>
      </c>
      <c r="X34" s="41">
        <f>SUMIF('OS Dev model'!$C$291:$C$319,Summary!$A34,'OS Dev model'!AJ$291:AJ$319)</f>
        <v>0</v>
      </c>
      <c r="Y34" s="41">
        <f>SUMIF('OS Dev model'!$C$291:$C$319,Summary!$A34,'OS Dev model'!AK$291:AK$319)</f>
        <v>0</v>
      </c>
      <c r="Z34" s="41">
        <f>SUMIF('OS Dev model'!$C$291:$C$319,Summary!$A34,'OS Dev model'!AL$291:AL$319)</f>
        <v>0.51623151186026428</v>
      </c>
      <c r="AA34" s="41">
        <f>SUMIF('OS Dev model'!$C$291:$C$319,Summary!$A34,'OS Dev model'!AM$291:AM$319)</f>
        <v>4.7901121985513928</v>
      </c>
      <c r="AB34" s="41">
        <f>SUMIF('OS Dev model'!$C$291:$C$319,Summary!$A34,'OS Dev model'!AN$291:AN$319)</f>
        <v>0</v>
      </c>
      <c r="AC34" s="41">
        <f>SUMIF('OS Dev model'!$C$291:$C$319,Summary!$A34,'OS Dev model'!AO$291:AO$319)</f>
        <v>0.45259577357194541</v>
      </c>
      <c r="AD34" s="41">
        <f>SUMIF('OS Dev model'!$C$291:$C$319,Summary!$A34,'OS Dev model'!AP$291:AP$319)</f>
        <v>4.5962684891438546</v>
      </c>
      <c r="AE34" s="41">
        <f>SUMIF('OS Dev model'!$C$291:$C$319,Summary!$A34,'OS Dev model'!AQ$291:AQ$319)</f>
        <v>5.6047177932365697</v>
      </c>
      <c r="AF34" s="41">
        <f>SUMIF('OS Dev model'!$C$291:$C$319,Summary!$A34,'OS Dev model'!AR$291:AR$319)</f>
        <v>17.856197906761246</v>
      </c>
      <c r="AG34" s="41">
        <f>SUMIF('OS Dev model'!$C$291:$C$319,Summary!$A34,'OS Dev model'!AS$291:AS$319)</f>
        <v>0</v>
      </c>
      <c r="AH34" s="41">
        <f>SUMIF('OS Dev model'!$C$291:$C$319,Summary!$A34,'OS Dev model'!AT$291:AT$319)</f>
        <v>0.65904312441558455</v>
      </c>
      <c r="AI34" s="41">
        <f>SUMIF('OS Dev model'!$C$291:$C$319,Summary!$A34,'OS Dev model'!AU$291:AU$319)</f>
        <v>6.1152611514522093</v>
      </c>
      <c r="AJ34" s="41">
        <f>SUMIF('OS Dev model'!$C$291:$C$319,Summary!$A34,'OS Dev model'!AV$291:AV$319)</f>
        <v>0</v>
      </c>
      <c r="AK34" s="41">
        <f>SUMIF('OS Dev model'!$C$291:$C$319,Summary!$A34,'OS Dev model'!AW$291:AW$319)</f>
        <v>0</v>
      </c>
      <c r="AL34" s="41">
        <f>SUMIF('OS Dev model'!$C$291:$C$319,Summary!$A34,'OS Dev model'!AX$291:AX$319)</f>
        <v>0</v>
      </c>
      <c r="AM34" s="41">
        <f>SUMIF('OS Dev model'!$C$291:$C$319,Summary!$A34,'OS Dev model'!AY$291:AY$319)</f>
        <v>0</v>
      </c>
      <c r="AN34" s="41">
        <f>SUMIF('OS Dev model'!$C$291:$C$319,Summary!$A34,'OS Dev model'!AZ$291:AZ$319)</f>
        <v>0</v>
      </c>
      <c r="AO34" s="41">
        <f>SUMIF('OS Dev model'!$C$291:$C$319,Summary!$A34,'OS Dev model'!BA$291:BA$319)</f>
        <v>0</v>
      </c>
      <c r="AP34" s="41">
        <f>SUMIF('OS Dev model'!$C$291:$C$319,Summary!$A34,'OS Dev model'!BB$291:BB$319)</f>
        <v>0</v>
      </c>
      <c r="AQ34" s="41">
        <f>SUMIF('OS Dev model'!$C$291:$C$319,Summary!$A34,'OS Dev model'!BC$291:BC$319)</f>
        <v>0</v>
      </c>
      <c r="AR34" s="41">
        <f>SUMIF('OS Dev model'!$C$291:$C$319,Summary!$A34,'OS Dev model'!BD$291:BD$319)</f>
        <v>0</v>
      </c>
      <c r="AS34" s="41">
        <f>SUMIF('OS Dev model'!$C$291:$C$319,Summary!$A34,'OS Dev model'!BE$291:BE$319)</f>
        <v>0</v>
      </c>
      <c r="AT34" s="41">
        <f>SUMIF('OS Dev model'!$C$291:$C$319,Summary!$A34,'OS Dev model'!BF$291:BF$319)</f>
        <v>0</v>
      </c>
      <c r="AU34" s="41">
        <f>SUMIF('OS Dev model'!$C$291:$C$319,Summary!$A34,'OS Dev model'!BG$291:BG$319)</f>
        <v>0</v>
      </c>
      <c r="AV34" s="41">
        <f>SUMIF('OS Dev model'!$C$291:$C$319,Summary!$A34,'OS Dev model'!BH$291:BH$319)</f>
        <v>0</v>
      </c>
      <c r="AW34" s="41">
        <f>SUMIF('OS Dev model'!$C$291:$C$319,Summary!$A34,'OS Dev model'!BI$291:BI$319)</f>
        <v>0</v>
      </c>
      <c r="AX34" s="41">
        <f>SUMIF('OS Dev model'!$C$291:$C$319,Summary!$A34,'OS Dev model'!BJ$291:BJ$319)</f>
        <v>0</v>
      </c>
      <c r="AY34" s="41">
        <f>SUMIF('OS Dev model'!$C$291:$C$319,Summary!$A34,'OS Dev model'!BK$291:BK$319)</f>
        <v>0</v>
      </c>
      <c r="AZ34" s="41">
        <f>SUMIF('OS Dev model'!$C$291:$C$319,Summary!$A34,'OS Dev model'!BL$291:BL$319)</f>
        <v>0</v>
      </c>
    </row>
    <row r="35" spans="1:52" s="2" customFormat="1" x14ac:dyDescent="0.3">
      <c r="A35" s="2" t="str">
        <f>'OS Dev model'!B300</f>
        <v>Reg Sportsfield</v>
      </c>
      <c r="B35" s="2" t="str">
        <f t="shared" si="8"/>
        <v>Auckland wide</v>
      </c>
      <c r="C35" s="45">
        <v>10</v>
      </c>
      <c r="D35" s="49">
        <v>2.7E-2</v>
      </c>
      <c r="E35" s="62">
        <f t="shared" si="0"/>
        <v>0.97299999999999998</v>
      </c>
      <c r="F35" s="22">
        <v>1</v>
      </c>
      <c r="G35" s="30">
        <f t="shared" si="11"/>
        <v>0.98649999999999993</v>
      </c>
      <c r="H35" s="41">
        <f t="shared" si="13"/>
        <v>308.41398389361035</v>
      </c>
      <c r="I35" s="41">
        <f t="shared" si="3"/>
        <v>101.12921785417709</v>
      </c>
      <c r="J35" s="41">
        <f t="shared" si="14"/>
        <v>142.16132748369048</v>
      </c>
      <c r="K35" s="41">
        <f t="shared" si="15"/>
        <v>65.123438555742837</v>
      </c>
      <c r="L35" s="41">
        <f t="shared" si="6"/>
        <v>0</v>
      </c>
      <c r="M35" s="41">
        <f t="shared" si="7"/>
        <v>308.41398389361035</v>
      </c>
      <c r="N35" s="41">
        <f>SUMIF('OS Dev model'!$C$291:$C$319,Summary!$A35,'OS Dev model'!Z$291:Z$319)</f>
        <v>9.2519203900000004</v>
      </c>
      <c r="O35" s="41">
        <f>SUMIF('OS Dev model'!$C$291:$C$319,Summary!$A35,'OS Dev model'!AA$291:AA$319)</f>
        <v>11.834240000000001</v>
      </c>
      <c r="P35" s="41">
        <f>SUMIF('OS Dev model'!$C$291:$C$319,Summary!$A35,'OS Dev model'!AB$291:AB$319)</f>
        <v>13.439603</v>
      </c>
      <c r="Q35" s="41">
        <f>SUMIF('OS Dev model'!$C$291:$C$319,Summary!$A35,'OS Dev model'!AC$291:AC$319)</f>
        <v>12.408587261576649</v>
      </c>
      <c r="R35" s="41">
        <f>SUMIF('OS Dev model'!$C$291:$C$319,Summary!$A35,'OS Dev model'!AD$291:AD$319)</f>
        <v>9.2766850819995792</v>
      </c>
      <c r="S35" s="41">
        <f>SUMIF('OS Dev model'!$C$291:$C$319,Summary!$A35,'OS Dev model'!AE$291:AE$319)</f>
        <v>10.626807741242715</v>
      </c>
      <c r="T35" s="41">
        <f>SUMIF('OS Dev model'!$C$291:$C$319,Summary!$A35,'OS Dev model'!AF$291:AF$319)</f>
        <v>8.184345421816106</v>
      </c>
      <c r="U35" s="41">
        <f>SUMIF('OS Dev model'!$C$291:$C$319,Summary!$A35,'OS Dev model'!AG$291:AG$319)</f>
        <v>8.4380601298924027</v>
      </c>
      <c r="V35" s="41">
        <f>SUMIF('OS Dev model'!$C$291:$C$319,Summary!$A35,'OS Dev model'!AH$291:AH$319)</f>
        <v>8.6996399939190674</v>
      </c>
      <c r="W35" s="41">
        <f>SUMIF('OS Dev model'!$C$291:$C$319,Summary!$A35,'OS Dev model'!AI$291:AI$319)</f>
        <v>8.9693288337305574</v>
      </c>
      <c r="X35" s="41">
        <f>SUMIF('OS Dev model'!$C$291:$C$319,Summary!$A35,'OS Dev model'!AJ$291:AJ$319)</f>
        <v>13.327838741585213</v>
      </c>
      <c r="Y35" s="41">
        <f>SUMIF('OS Dev model'!$C$291:$C$319,Summary!$A35,'OS Dev model'!AK$291:AK$319)</f>
        <v>13.741001742574351</v>
      </c>
      <c r="Z35" s="41">
        <f>SUMIF('OS Dev model'!$C$291:$C$319,Summary!$A35,'OS Dev model'!AL$291:AL$319)</f>
        <v>56.667891186376622</v>
      </c>
      <c r="AA35" s="41">
        <f>SUMIF('OS Dev model'!$C$291:$C$319,Summary!$A35,'OS Dev model'!AM$291:AM$319)</f>
        <v>58.424595813154298</v>
      </c>
      <c r="AB35" s="41">
        <f>SUMIF('OS Dev model'!$C$291:$C$319,Summary!$A35,'OS Dev model'!AN$291:AN$319)</f>
        <v>0</v>
      </c>
      <c r="AC35" s="41">
        <f>SUMIF('OS Dev model'!$C$291:$C$319,Summary!$A35,'OS Dev model'!AO$291:AO$319)</f>
        <v>0</v>
      </c>
      <c r="AD35" s="41">
        <f>SUMIF('OS Dev model'!$C$291:$C$319,Summary!$A35,'OS Dev model'!AP$291:AP$319)</f>
        <v>0</v>
      </c>
      <c r="AE35" s="41">
        <f>SUMIF('OS Dev model'!$C$291:$C$319,Summary!$A35,'OS Dev model'!AQ$291:AQ$319)</f>
        <v>0</v>
      </c>
      <c r="AF35" s="41">
        <f>SUMIF('OS Dev model'!$C$291:$C$319,Summary!$A35,'OS Dev model'!AR$291:AR$319)</f>
        <v>0</v>
      </c>
      <c r="AG35" s="41">
        <f>SUMIF('OS Dev model'!$C$291:$C$319,Summary!$A35,'OS Dev model'!AS$291:AS$319)</f>
        <v>0</v>
      </c>
      <c r="AH35" s="41">
        <f>SUMIF('OS Dev model'!$C$291:$C$319,Summary!$A35,'OS Dev model'!AT$291:AT$319)</f>
        <v>0</v>
      </c>
      <c r="AI35" s="41">
        <f>SUMIF('OS Dev model'!$C$291:$C$319,Summary!$A35,'OS Dev model'!AU$291:AU$319)</f>
        <v>0</v>
      </c>
      <c r="AJ35" s="41">
        <f>SUMIF('OS Dev model'!$C$291:$C$319,Summary!$A35,'OS Dev model'!AV$291:AV$319)</f>
        <v>0</v>
      </c>
      <c r="AK35" s="41">
        <f>SUMIF('OS Dev model'!$C$291:$C$319,Summary!$A35,'OS Dev model'!AW$291:AW$319)</f>
        <v>0</v>
      </c>
      <c r="AL35" s="41">
        <f>SUMIF('OS Dev model'!$C$291:$C$319,Summary!$A35,'OS Dev model'!AX$291:AX$319)</f>
        <v>0</v>
      </c>
      <c r="AM35" s="41">
        <f>SUMIF('OS Dev model'!$C$291:$C$319,Summary!$A35,'OS Dev model'!AY$291:AY$319)</f>
        <v>6.1054205298417035</v>
      </c>
      <c r="AN35" s="41">
        <f>SUMIF('OS Dev model'!$C$291:$C$319,Summary!$A35,'OS Dev model'!AZ$291:AZ$319)</f>
        <v>6.294688566266796</v>
      </c>
      <c r="AO35" s="41">
        <f>SUMIF('OS Dev model'!$C$291:$C$319,Summary!$A35,'OS Dev model'!BA$291:BA$319)</f>
        <v>25.959295647284264</v>
      </c>
      <c r="AP35" s="41">
        <f>SUMIF('OS Dev model'!$C$291:$C$319,Summary!$A35,'OS Dev model'!BB$291:BB$319)</f>
        <v>26.764033812350075</v>
      </c>
      <c r="AQ35" s="41">
        <f>SUMIF('OS Dev model'!$C$291:$C$319,Summary!$A35,'OS Dev model'!BC$291:BC$319)</f>
        <v>0</v>
      </c>
      <c r="AR35" s="41">
        <f>SUMIF('OS Dev model'!$C$291:$C$319,Summary!$A35,'OS Dev model'!BD$291:BD$319)</f>
        <v>0</v>
      </c>
      <c r="AS35" s="41">
        <f>SUMIF('OS Dev model'!$C$291:$C$319,Summary!$A35,'OS Dev model'!BE$291:BE$319)</f>
        <v>0</v>
      </c>
      <c r="AT35" s="41">
        <f>SUMIF('OS Dev model'!$C$291:$C$319,Summary!$A35,'OS Dev model'!BF$291:BF$319)</f>
        <v>0</v>
      </c>
      <c r="AU35" s="41">
        <f>SUMIF('OS Dev model'!$C$291:$C$319,Summary!$A35,'OS Dev model'!BG$291:BG$319)</f>
        <v>0</v>
      </c>
      <c r="AV35" s="41">
        <f>SUMIF('OS Dev model'!$C$291:$C$319,Summary!$A35,'OS Dev model'!BH$291:BH$319)</f>
        <v>0</v>
      </c>
      <c r="AW35" s="41">
        <f>SUMIF('OS Dev model'!$C$291:$C$319,Summary!$A35,'OS Dev model'!BI$291:BI$319)</f>
        <v>0</v>
      </c>
      <c r="AX35" s="41">
        <f>SUMIF('OS Dev model'!$C$291:$C$319,Summary!$A35,'OS Dev model'!BJ$291:BJ$319)</f>
        <v>0</v>
      </c>
      <c r="AY35" s="41">
        <f>SUMIF('OS Dev model'!$C$291:$C$319,Summary!$A35,'OS Dev model'!BK$291:BK$319)</f>
        <v>0</v>
      </c>
      <c r="AZ35" s="41">
        <f>SUMIF('OS Dev model'!$C$291:$C$319,Summary!$A35,'OS Dev model'!BL$291:BL$319)</f>
        <v>0</v>
      </c>
    </row>
    <row r="36" spans="1:52" s="2" customFormat="1" x14ac:dyDescent="0.3">
      <c r="A36" s="2" t="str">
        <f>'OS Dev model'!B320</f>
        <v>Total</v>
      </c>
      <c r="C36" s="28"/>
      <c r="D36" s="39"/>
      <c r="E36" s="40"/>
      <c r="G36" s="3"/>
      <c r="H36" s="41">
        <f>SUM(H8:H35)</f>
        <v>1448.8156630639089</v>
      </c>
      <c r="I36" s="41">
        <f t="shared" ref="I36:AZ36" si="16">SUM(I8:I35)</f>
        <v>361.26789549486534</v>
      </c>
      <c r="J36" s="41">
        <f t="shared" si="16"/>
        <v>538.75796470787589</v>
      </c>
      <c r="K36" s="41">
        <f t="shared" si="16"/>
        <v>548.7898028611678</v>
      </c>
      <c r="L36" s="41">
        <f t="shared" si="16"/>
        <v>863.82286987950374</v>
      </c>
      <c r="M36" s="41">
        <f t="shared" si="16"/>
        <v>2312.6385329434129</v>
      </c>
      <c r="N36" s="41">
        <f t="shared" si="16"/>
        <v>18.545789399999997</v>
      </c>
      <c r="O36" s="41">
        <f t="shared" si="16"/>
        <v>32.664498000000002</v>
      </c>
      <c r="P36" s="41">
        <f t="shared" si="16"/>
        <v>35.546515078137446</v>
      </c>
      <c r="Q36" s="41">
        <f t="shared" si="16"/>
        <v>46.194405692428312</v>
      </c>
      <c r="R36" s="41">
        <f t="shared" si="16"/>
        <v>37.564719738540035</v>
      </c>
      <c r="S36" s="41">
        <f t="shared" si="16"/>
        <v>35.113888179999954</v>
      </c>
      <c r="T36" s="41">
        <f t="shared" si="16"/>
        <v>46.385629579999943</v>
      </c>
      <c r="U36" s="41">
        <f t="shared" si="16"/>
        <v>49.894121588829648</v>
      </c>
      <c r="V36" s="41">
        <f t="shared" si="16"/>
        <v>31.464220862533164</v>
      </c>
      <c r="W36" s="41">
        <f t="shared" si="16"/>
        <v>27.894107374396818</v>
      </c>
      <c r="X36" s="41">
        <f t="shared" si="16"/>
        <v>22.42768042381504</v>
      </c>
      <c r="Y36" s="41">
        <f t="shared" si="16"/>
        <v>30.439232939617799</v>
      </c>
      <c r="Z36" s="41">
        <f t="shared" si="16"/>
        <v>62.010442777742334</v>
      </c>
      <c r="AA36" s="41">
        <f t="shared" si="16"/>
        <v>89.357695220268369</v>
      </c>
      <c r="AB36" s="41">
        <f t="shared" si="16"/>
        <v>29.809656282917999</v>
      </c>
      <c r="AC36" s="41">
        <f t="shared" si="16"/>
        <v>36.567227953998881</v>
      </c>
      <c r="AD36" s="41">
        <f t="shared" si="16"/>
        <v>37.621894580396727</v>
      </c>
      <c r="AE36" s="41">
        <f t="shared" si="16"/>
        <v>38.691954981174661</v>
      </c>
      <c r="AF36" s="41">
        <f t="shared" si="16"/>
        <v>64.091875560284819</v>
      </c>
      <c r="AG36" s="41">
        <f t="shared" si="16"/>
        <v>127.74030398765933</v>
      </c>
      <c r="AH36" s="41">
        <f t="shared" si="16"/>
        <v>65.705464425013659</v>
      </c>
      <c r="AI36" s="41">
        <f t="shared" si="16"/>
        <v>34.440079651575736</v>
      </c>
      <c r="AJ36" s="41">
        <f t="shared" si="16"/>
        <v>58.249059799783211</v>
      </c>
      <c r="AK36" s="41">
        <f t="shared" si="16"/>
        <v>109.61851402236643</v>
      </c>
      <c r="AL36" s="41">
        <f t="shared" si="16"/>
        <v>124.65961032492933</v>
      </c>
      <c r="AM36" s="41">
        <f t="shared" si="16"/>
        <v>27.06041749870414</v>
      </c>
      <c r="AN36" s="41">
        <f t="shared" si="16"/>
        <v>17.096989503715381</v>
      </c>
      <c r="AO36" s="41">
        <f t="shared" si="16"/>
        <v>25.959295647284264</v>
      </c>
      <c r="AP36" s="41">
        <f t="shared" si="16"/>
        <v>34.062491301880883</v>
      </c>
      <c r="AQ36" s="41">
        <f t="shared" si="16"/>
        <v>51.937880685914749</v>
      </c>
      <c r="AR36" s="41">
        <f t="shared" si="16"/>
        <v>8.13691302829214</v>
      </c>
      <c r="AS36" s="41">
        <f t="shared" si="16"/>
        <v>8.3891573321691961</v>
      </c>
      <c r="AT36" s="41">
        <f t="shared" si="16"/>
        <v>0</v>
      </c>
      <c r="AU36" s="41">
        <f t="shared" si="16"/>
        <v>81.799578791589539</v>
      </c>
      <c r="AV36" s="41">
        <f t="shared" si="16"/>
        <v>621.11151921662452</v>
      </c>
      <c r="AW36" s="41">
        <f t="shared" si="16"/>
        <v>71.090941167320693</v>
      </c>
      <c r="AX36" s="41">
        <f t="shared" si="16"/>
        <v>73.294760343507633</v>
      </c>
      <c r="AY36" s="41">
        <f t="shared" si="16"/>
        <v>0</v>
      </c>
      <c r="AZ36" s="41">
        <f t="shared" si="16"/>
        <v>0</v>
      </c>
    </row>
    <row r="37" spans="1:52" x14ac:dyDescent="0.25">
      <c r="H37" s="47"/>
      <c r="I37" s="46">
        <f>I36-'OS Dev model'!X320</f>
        <v>0</v>
      </c>
      <c r="M37" s="46">
        <f>M36-'OS Dev model'!W320</f>
        <v>0</v>
      </c>
      <c r="N37" s="46">
        <f>'OS Dev model'!Z320-N36</f>
        <v>0</v>
      </c>
      <c r="O37" s="46">
        <f>'OS Dev model'!AA320-O36</f>
        <v>0</v>
      </c>
      <c r="P37" s="46">
        <f>'OS Dev model'!AB320-P36</f>
        <v>0</v>
      </c>
      <c r="Q37" s="46">
        <f>'OS Dev model'!AC320-Q36</f>
        <v>0</v>
      </c>
      <c r="R37" s="46">
        <f>'OS Dev model'!AD320-R36</f>
        <v>0</v>
      </c>
      <c r="S37" s="46">
        <f>'OS Dev model'!AE320-S36</f>
        <v>0</v>
      </c>
      <c r="T37" s="46">
        <f>'OS Dev model'!AF320-T36</f>
        <v>0</v>
      </c>
      <c r="U37" s="46">
        <f>'OS Dev model'!AG320-U36</f>
        <v>0</v>
      </c>
      <c r="V37" s="46">
        <f>'OS Dev model'!AH320-V36</f>
        <v>0</v>
      </c>
      <c r="W37" s="46">
        <f>'OS Dev model'!AI320-W36</f>
        <v>0</v>
      </c>
      <c r="X37" s="46">
        <f>'OS Dev model'!AJ320-X36</f>
        <v>0</v>
      </c>
      <c r="Y37" s="46">
        <f>'OS Dev model'!AK320-Y36</f>
        <v>0</v>
      </c>
      <c r="Z37" s="46">
        <f>'OS Dev model'!AL320-Z36</f>
        <v>0</v>
      </c>
      <c r="AA37" s="46">
        <f>'OS Dev model'!AM320-AA36</f>
        <v>0</v>
      </c>
      <c r="AB37" s="46">
        <f>'OS Dev model'!AN320-AB36</f>
        <v>0</v>
      </c>
      <c r="AC37" s="46">
        <f>'OS Dev model'!AO320-AC36</f>
        <v>0</v>
      </c>
      <c r="AD37" s="46">
        <f>'OS Dev model'!AP320-AD36</f>
        <v>0</v>
      </c>
      <c r="AE37" s="46">
        <f>'OS Dev model'!AQ320-AE36</f>
        <v>0</v>
      </c>
      <c r="AF37" s="46">
        <f>'OS Dev model'!AR320-AF36</f>
        <v>0</v>
      </c>
      <c r="AG37" s="46">
        <f>'OS Dev model'!AS320-AG36</f>
        <v>0</v>
      </c>
      <c r="AH37" s="46">
        <f>'OS Dev model'!AT320-AH36</f>
        <v>0</v>
      </c>
      <c r="AI37" s="46">
        <f>'OS Dev model'!AU320-AI36</f>
        <v>0</v>
      </c>
      <c r="AJ37" s="46">
        <f>'OS Dev model'!AV320-AJ36</f>
        <v>0</v>
      </c>
      <c r="AK37" s="46">
        <f>'OS Dev model'!AW320-AK36</f>
        <v>0</v>
      </c>
      <c r="AL37" s="46">
        <f>'OS Dev model'!AX320-AL36</f>
        <v>0</v>
      </c>
      <c r="AM37" s="46">
        <f>'OS Dev model'!AY320-AM36</f>
        <v>0</v>
      </c>
      <c r="AN37" s="46">
        <f>'OS Dev model'!AZ320-AN36</f>
        <v>0</v>
      </c>
      <c r="AO37" s="46">
        <f>'OS Dev model'!BA320-AO36</f>
        <v>0</v>
      </c>
      <c r="AP37" s="46">
        <f>'OS Dev model'!BB320-AP36</f>
        <v>0</v>
      </c>
      <c r="AQ37" s="46">
        <f>'OS Dev model'!BC320-AQ36</f>
        <v>0</v>
      </c>
      <c r="AR37" s="46">
        <f>'OS Dev model'!BD320-AR36</f>
        <v>0</v>
      </c>
      <c r="AS37" s="46">
        <f>'OS Dev model'!BE320-AS36</f>
        <v>0</v>
      </c>
      <c r="AT37" s="46">
        <f>'OS Dev model'!BF320-AT36</f>
        <v>0</v>
      </c>
      <c r="AU37" s="46">
        <f>'OS Dev model'!BG320-AU36</f>
        <v>0</v>
      </c>
      <c r="AV37" s="46">
        <f>'OS Dev model'!BH320-AV36</f>
        <v>0</v>
      </c>
      <c r="AW37" s="46">
        <f>'OS Dev model'!BI320-AW36</f>
        <v>0</v>
      </c>
      <c r="AX37" s="46">
        <f>'OS Dev model'!BJ320-AX36</f>
        <v>0</v>
      </c>
      <c r="AY37" s="46">
        <f>'OS Dev model'!BK320-AY36</f>
        <v>0</v>
      </c>
      <c r="AZ37" s="46">
        <f>'OS Dev model'!BL320-AZ36</f>
        <v>0</v>
      </c>
    </row>
    <row r="38" spans="1:52" x14ac:dyDescent="0.25">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row>
    <row r="39" spans="1:52" ht="14.4" x14ac:dyDescent="0.3">
      <c r="A39" s="2" t="s">
        <v>763</v>
      </c>
      <c r="B39" s="2"/>
    </row>
    <row r="40" spans="1:52" ht="14.4" x14ac:dyDescent="0.3">
      <c r="A40" s="2" t="s">
        <v>745</v>
      </c>
      <c r="B40" s="2"/>
    </row>
    <row r="41" spans="1:52" ht="14.4" x14ac:dyDescent="0.3">
      <c r="A41" s="2"/>
      <c r="B41" s="2"/>
    </row>
    <row r="42" spans="1:52" ht="14.4" x14ac:dyDescent="0.3">
      <c r="A42" s="2"/>
      <c r="B42" s="2"/>
    </row>
    <row r="43" spans="1:52" ht="14.4" x14ac:dyDescent="0.3">
      <c r="A43" s="2"/>
      <c r="B43" s="2"/>
    </row>
    <row r="44" spans="1:52" x14ac:dyDescent="0.25">
      <c r="A44" s="1" t="s">
        <v>941</v>
      </c>
    </row>
    <row r="45" spans="1:52" x14ac:dyDescent="0.25">
      <c r="A45" s="56" t="s">
        <v>855</v>
      </c>
      <c r="B45" s="56"/>
      <c r="C45" s="56" t="s">
        <v>856</v>
      </c>
      <c r="D45" s="57" t="s">
        <v>857</v>
      </c>
      <c r="E45" s="56" t="s">
        <v>858</v>
      </c>
      <c r="F45" s="56" t="s">
        <v>860</v>
      </c>
    </row>
    <row r="46" spans="1:52" x14ac:dyDescent="0.25">
      <c r="A46" s="1" t="str">
        <f t="shared" ref="A46:A52" si="17">A9</f>
        <v>Warkworth</v>
      </c>
      <c r="C46" s="1" t="s">
        <v>88</v>
      </c>
      <c r="D46" s="54">
        <v>6981.2497317481011</v>
      </c>
      <c r="E46" s="54">
        <v>16646.376350999995</v>
      </c>
      <c r="F46" s="55">
        <f>D46/E46</f>
        <v>0.4193855518188328</v>
      </c>
      <c r="K46" s="64"/>
      <c r="L46" s="64"/>
      <c r="M46" s="64"/>
      <c r="N46" s="64"/>
      <c r="O46" s="64"/>
      <c r="T46" s="64"/>
      <c r="V46" s="64"/>
      <c r="W46" s="64"/>
    </row>
    <row r="47" spans="1:52" x14ac:dyDescent="0.25">
      <c r="A47" s="1" t="str">
        <f t="shared" si="17"/>
        <v>Hibiscus</v>
      </c>
      <c r="C47" s="1" t="s">
        <v>190</v>
      </c>
      <c r="D47" s="54">
        <v>59307.691107329876</v>
      </c>
      <c r="E47" s="54">
        <v>62739.32891388976</v>
      </c>
      <c r="F47" s="55">
        <f t="shared" ref="F47:F72" si="18">D47/E47</f>
        <v>0.94530324334087423</v>
      </c>
      <c r="K47" s="64"/>
      <c r="L47" s="64"/>
      <c r="M47" s="64"/>
      <c r="N47" s="64"/>
      <c r="O47" s="64"/>
      <c r="T47" s="64"/>
      <c r="V47" s="64"/>
      <c r="W47" s="64"/>
    </row>
    <row r="48" spans="1:52" x14ac:dyDescent="0.25">
      <c r="A48" s="1" t="str">
        <f t="shared" si="17"/>
        <v>Wainui east MD</v>
      </c>
      <c r="C48" s="1" t="s">
        <v>840</v>
      </c>
      <c r="D48" s="54">
        <v>3690.4494288612327</v>
      </c>
      <c r="E48" s="54">
        <v>24207.194006349469</v>
      </c>
      <c r="F48" s="55">
        <f t="shared" si="18"/>
        <v>0.15245259024624</v>
      </c>
      <c r="K48" s="64"/>
      <c r="L48" s="64"/>
      <c r="M48" s="64"/>
      <c r="N48" s="64"/>
      <c r="O48" s="64"/>
      <c r="T48" s="64"/>
      <c r="V48" s="64"/>
      <c r="W48" s="64"/>
    </row>
    <row r="49" spans="1:23" x14ac:dyDescent="0.25">
      <c r="A49" s="1" t="str">
        <f t="shared" si="17"/>
        <v>Dairy Flat (incl W.East new)</v>
      </c>
      <c r="C49" s="1" t="s">
        <v>841</v>
      </c>
      <c r="D49" s="54">
        <v>6615.6188949418374</v>
      </c>
      <c r="E49" s="54">
        <v>16848.69435826072</v>
      </c>
      <c r="F49" s="55">
        <f t="shared" si="18"/>
        <v>0.39264875688710421</v>
      </c>
      <c r="K49" s="64"/>
      <c r="L49" s="64"/>
      <c r="M49" s="64"/>
      <c r="N49" s="64"/>
      <c r="O49" s="64"/>
      <c r="T49" s="64"/>
      <c r="V49" s="64"/>
      <c r="W49" s="64"/>
    </row>
    <row r="50" spans="1:23" x14ac:dyDescent="0.25">
      <c r="A50" s="1" t="str">
        <f t="shared" si="17"/>
        <v>North Shore</v>
      </c>
      <c r="C50" s="1" t="s">
        <v>96</v>
      </c>
      <c r="D50" s="54">
        <v>246083.4923481803</v>
      </c>
      <c r="E50" s="54">
        <v>287816.71974183404</v>
      </c>
      <c r="F50" s="55">
        <f t="shared" si="18"/>
        <v>0.85500068435535082</v>
      </c>
      <c r="K50" s="64"/>
      <c r="L50" s="64"/>
      <c r="M50" s="64"/>
      <c r="N50" s="64"/>
      <c r="O50" s="64"/>
      <c r="T50" s="64"/>
      <c r="V50" s="64"/>
      <c r="W50" s="64"/>
    </row>
    <row r="51" spans="1:23" x14ac:dyDescent="0.25">
      <c r="A51" s="1" t="str">
        <f t="shared" si="17"/>
        <v>Rural NW</v>
      </c>
      <c r="C51" s="1" t="s">
        <v>842</v>
      </c>
      <c r="D51" s="54">
        <v>41200.94295751123</v>
      </c>
      <c r="E51" s="54">
        <v>41323.397432609738</v>
      </c>
      <c r="F51" s="55">
        <f t="shared" si="18"/>
        <v>0.99703667939456797</v>
      </c>
      <c r="K51" s="64"/>
      <c r="L51" s="64"/>
      <c r="M51" s="64"/>
      <c r="N51" s="64"/>
      <c r="O51" s="64"/>
      <c r="T51" s="64"/>
      <c r="V51" s="64"/>
      <c r="W51" s="64"/>
    </row>
    <row r="52" spans="1:23" x14ac:dyDescent="0.25">
      <c r="A52" s="1" t="str">
        <f t="shared" si="17"/>
        <v>Kumeu-Huapai-RH</v>
      </c>
      <c r="C52" s="1" t="s">
        <v>843</v>
      </c>
      <c r="D52" s="54">
        <v>13166.551786959741</v>
      </c>
      <c r="E52" s="54">
        <v>30391.841967709282</v>
      </c>
      <c r="F52" s="55">
        <f t="shared" si="18"/>
        <v>0.43322651522566274</v>
      </c>
      <c r="K52" s="64"/>
      <c r="L52" s="64"/>
      <c r="M52" s="64"/>
      <c r="N52" s="64"/>
      <c r="O52" s="64"/>
      <c r="T52" s="64"/>
      <c r="V52" s="64"/>
      <c r="W52" s="64"/>
    </row>
    <row r="53" spans="1:23" x14ac:dyDescent="0.25">
      <c r="D53" s="54"/>
      <c r="E53" s="54"/>
      <c r="F53" s="55"/>
      <c r="K53" s="64"/>
      <c r="L53" s="64"/>
      <c r="M53" s="64"/>
      <c r="N53" s="64"/>
      <c r="O53" s="64"/>
      <c r="T53" s="64"/>
      <c r="V53" s="64"/>
      <c r="W53" s="64"/>
    </row>
    <row r="54" spans="1:23" x14ac:dyDescent="0.25">
      <c r="A54" s="1" t="str">
        <f t="shared" ref="A54:A72" si="19">A17</f>
        <v>Whenuapai</v>
      </c>
      <c r="C54" s="1" t="s">
        <v>104</v>
      </c>
      <c r="D54" s="54">
        <v>5395.3792020563924</v>
      </c>
      <c r="E54" s="54">
        <v>30660.45389574386</v>
      </c>
      <c r="F54" s="55">
        <f t="shared" si="18"/>
        <v>0.17597192854360691</v>
      </c>
      <c r="K54" s="64"/>
      <c r="L54" s="64"/>
      <c r="M54" s="64"/>
      <c r="N54" s="64"/>
      <c r="O54" s="64"/>
      <c r="T54" s="64"/>
      <c r="V54" s="64"/>
      <c r="W54" s="64"/>
    </row>
    <row r="55" spans="1:23" x14ac:dyDescent="0.25">
      <c r="A55" s="1" t="str">
        <f t="shared" si="19"/>
        <v>ScottPt-BombPt</v>
      </c>
      <c r="C55" s="1" t="s">
        <v>844</v>
      </c>
      <c r="D55" s="54">
        <v>9970.4735300531902</v>
      </c>
      <c r="E55" s="54">
        <v>15723.636346770307</v>
      </c>
      <c r="F55" s="55">
        <f t="shared" si="18"/>
        <v>0.63410735978393207</v>
      </c>
      <c r="K55" s="64"/>
      <c r="L55" s="64"/>
      <c r="M55" s="64"/>
      <c r="N55" s="64"/>
      <c r="O55" s="64"/>
      <c r="T55" s="64"/>
      <c r="V55" s="64"/>
      <c r="W55" s="64"/>
    </row>
    <row r="56" spans="1:23" x14ac:dyDescent="0.25">
      <c r="A56" s="1" t="str">
        <f t="shared" si="19"/>
        <v>Redhills</v>
      </c>
      <c r="C56" s="1" t="s">
        <v>845</v>
      </c>
      <c r="D56" s="54">
        <v>3096.0483127034945</v>
      </c>
      <c r="E56" s="54">
        <v>31356.347441716869</v>
      </c>
      <c r="F56" s="55">
        <f t="shared" si="18"/>
        <v>9.8737530525780368E-2</v>
      </c>
      <c r="K56" s="64"/>
      <c r="L56" s="64"/>
      <c r="M56" s="64"/>
      <c r="N56" s="64"/>
      <c r="O56" s="64"/>
      <c r="T56" s="64"/>
      <c r="V56" s="64"/>
      <c r="W56" s="64"/>
    </row>
    <row r="57" spans="1:23" x14ac:dyDescent="0.25">
      <c r="A57" s="1" t="str">
        <f t="shared" si="19"/>
        <v>West</v>
      </c>
      <c r="C57" s="1" t="s">
        <v>198</v>
      </c>
      <c r="D57" s="54">
        <v>270786.34961069556</v>
      </c>
      <c r="E57" s="54">
        <v>305888.42667313397</v>
      </c>
      <c r="F57" s="55">
        <f t="shared" si="18"/>
        <v>0.88524548821865767</v>
      </c>
      <c r="K57" s="64"/>
      <c r="L57" s="64"/>
      <c r="M57" s="64"/>
      <c r="N57" s="64"/>
      <c r="O57" s="64"/>
      <c r="T57" s="64"/>
      <c r="V57" s="64"/>
      <c r="W57" s="64"/>
    </row>
    <row r="58" spans="1:23" x14ac:dyDescent="0.25">
      <c r="A58" s="1" t="str">
        <f t="shared" si="19"/>
        <v>Roskill</v>
      </c>
      <c r="C58" s="1" t="s">
        <v>846</v>
      </c>
      <c r="D58" s="54">
        <v>61249.126508680565</v>
      </c>
      <c r="E58" s="54">
        <v>91402.901290374823</v>
      </c>
      <c r="F58" s="55">
        <f t="shared" si="18"/>
        <v>0.67010046337698037</v>
      </c>
      <c r="K58" s="64"/>
      <c r="L58" s="64"/>
      <c r="M58" s="64"/>
      <c r="N58" s="64"/>
      <c r="O58" s="64"/>
      <c r="T58" s="64"/>
      <c r="V58" s="64"/>
      <c r="W58" s="64"/>
    </row>
    <row r="59" spans="1:23" x14ac:dyDescent="0.25">
      <c r="A59" s="1" t="str">
        <f t="shared" si="19"/>
        <v>Tamaki</v>
      </c>
      <c r="C59" s="1" t="s">
        <v>116</v>
      </c>
      <c r="D59" s="54">
        <v>31664.424513956317</v>
      </c>
      <c r="E59" s="54">
        <v>65949.196187869456</v>
      </c>
      <c r="F59" s="55">
        <f t="shared" si="18"/>
        <v>0.48013359289101692</v>
      </c>
      <c r="K59" s="64"/>
      <c r="L59" s="64"/>
      <c r="M59" s="64"/>
      <c r="N59" s="64"/>
      <c r="O59" s="64"/>
      <c r="T59" s="64"/>
      <c r="V59" s="64"/>
      <c r="W59" s="64"/>
    </row>
    <row r="60" spans="1:23" x14ac:dyDescent="0.25">
      <c r="A60" s="1" t="str">
        <f t="shared" si="19"/>
        <v>Mangere</v>
      </c>
      <c r="C60" s="1" t="s">
        <v>847</v>
      </c>
      <c r="D60" s="54">
        <v>50443.639015625209</v>
      </c>
      <c r="E60" s="54">
        <v>95820.75335615786</v>
      </c>
      <c r="F60" s="55">
        <f t="shared" si="18"/>
        <v>0.52643751221752921</v>
      </c>
      <c r="K60" s="64"/>
      <c r="L60" s="64"/>
      <c r="M60" s="64"/>
      <c r="N60" s="64"/>
      <c r="O60" s="64"/>
      <c r="T60" s="64"/>
      <c r="V60" s="64"/>
      <c r="W60" s="64"/>
    </row>
    <row r="61" spans="1:23" x14ac:dyDescent="0.25">
      <c r="A61" s="1" t="str">
        <f t="shared" si="19"/>
        <v>Central</v>
      </c>
      <c r="C61" s="1" t="s">
        <v>200</v>
      </c>
      <c r="D61" s="54">
        <v>316294.17974348488</v>
      </c>
      <c r="E61" s="54">
        <v>471133.34072369861</v>
      </c>
      <c r="F61" s="55">
        <f t="shared" si="18"/>
        <v>0.67134747725056276</v>
      </c>
      <c r="K61" s="64"/>
      <c r="L61" s="64"/>
      <c r="M61" s="64"/>
      <c r="N61" s="64"/>
      <c r="O61" s="64"/>
      <c r="T61" s="64"/>
      <c r="V61" s="64"/>
      <c r="W61" s="64"/>
    </row>
    <row r="62" spans="1:23" x14ac:dyDescent="0.25">
      <c r="A62" s="1" t="str">
        <f t="shared" si="19"/>
        <v>Flatbush</v>
      </c>
      <c r="C62" s="1" t="s">
        <v>113</v>
      </c>
      <c r="D62" s="54">
        <v>36713.370282090626</v>
      </c>
      <c r="E62" s="54">
        <v>45600.969844925428</v>
      </c>
      <c r="F62" s="55">
        <f t="shared" si="18"/>
        <v>0.80510064603760101</v>
      </c>
      <c r="K62" s="64"/>
      <c r="L62" s="64"/>
      <c r="M62" s="64"/>
      <c r="N62" s="64"/>
      <c r="O62" s="64"/>
      <c r="T62" s="64"/>
      <c r="V62" s="64"/>
      <c r="W62" s="64"/>
    </row>
    <row r="63" spans="1:23" x14ac:dyDescent="0.25">
      <c r="A63" s="1" t="str">
        <f t="shared" si="19"/>
        <v>South (East)</v>
      </c>
      <c r="C63" s="1" t="s">
        <v>848</v>
      </c>
      <c r="D63" s="54">
        <v>146090.23932203194</v>
      </c>
      <c r="E63" s="54">
        <v>157762.19063157917</v>
      </c>
      <c r="F63" s="55">
        <f t="shared" si="18"/>
        <v>0.92601553475633047</v>
      </c>
      <c r="K63" s="64"/>
      <c r="L63" s="64"/>
      <c r="M63" s="64"/>
      <c r="N63" s="64"/>
      <c r="O63" s="64"/>
      <c r="T63" s="64"/>
      <c r="V63" s="64"/>
      <c r="W63" s="64"/>
    </row>
    <row r="64" spans="1:23" x14ac:dyDescent="0.25">
      <c r="A64" s="1" t="str">
        <f t="shared" si="19"/>
        <v>South (West)</v>
      </c>
      <c r="C64" s="1" t="s">
        <v>849</v>
      </c>
      <c r="D64" s="54">
        <v>265948.88081491936</v>
      </c>
      <c r="E64" s="54">
        <v>308832.23361200525</v>
      </c>
      <c r="F64" s="55">
        <f t="shared" si="18"/>
        <v>0.86114353318779069</v>
      </c>
      <c r="K64" s="64"/>
      <c r="L64" s="64"/>
      <c r="M64" s="64"/>
      <c r="N64" s="64"/>
      <c r="O64" s="64"/>
      <c r="T64" s="64"/>
      <c r="V64" s="64"/>
      <c r="W64" s="64"/>
    </row>
    <row r="65" spans="1:23" x14ac:dyDescent="0.25">
      <c r="A65" s="1" t="str">
        <f t="shared" si="19"/>
        <v>Takanini North</v>
      </c>
      <c r="C65" s="1" t="s">
        <v>204</v>
      </c>
      <c r="D65" s="54">
        <v>247.54072056032936</v>
      </c>
      <c r="E65" s="54">
        <v>220.71426176441719</v>
      </c>
      <c r="F65" s="87">
        <f t="shared" si="18"/>
        <v>1.1215438394486072</v>
      </c>
      <c r="K65" s="64"/>
      <c r="L65" s="64"/>
      <c r="M65" s="64"/>
      <c r="N65" s="64"/>
      <c r="O65" s="64"/>
      <c r="T65" s="64"/>
      <c r="V65" s="64"/>
      <c r="W65" s="64"/>
    </row>
    <row r="66" spans="1:23" x14ac:dyDescent="0.25">
      <c r="A66" s="1" t="str">
        <f t="shared" si="19"/>
        <v>Takanini South</v>
      </c>
      <c r="C66" s="1" t="s">
        <v>205</v>
      </c>
      <c r="D66" s="54">
        <v>20744.521929507526</v>
      </c>
      <c r="E66" s="54">
        <v>22392.736684999014</v>
      </c>
      <c r="F66" s="55">
        <f t="shared" si="18"/>
        <v>0.92639511736876567</v>
      </c>
      <c r="K66" s="64"/>
      <c r="L66" s="64"/>
      <c r="M66" s="64"/>
      <c r="N66" s="64"/>
      <c r="O66" s="64"/>
      <c r="T66" s="64"/>
      <c r="V66" s="64"/>
      <c r="W66" s="64"/>
    </row>
    <row r="67" spans="1:23" x14ac:dyDescent="0.25">
      <c r="A67" s="1" t="str">
        <f t="shared" si="19"/>
        <v>Hingaia</v>
      </c>
      <c r="C67" s="1" t="s">
        <v>135</v>
      </c>
      <c r="D67" s="54">
        <v>6142.3574382886109</v>
      </c>
      <c r="E67" s="54">
        <v>11739.352909503174</v>
      </c>
      <c r="F67" s="55">
        <f t="shared" si="18"/>
        <v>0.5232279398736096</v>
      </c>
      <c r="K67" s="64"/>
      <c r="L67" s="64"/>
      <c r="M67" s="64"/>
      <c r="N67" s="64"/>
      <c r="O67" s="64"/>
      <c r="T67" s="64"/>
      <c r="V67" s="64"/>
      <c r="W67" s="64"/>
    </row>
    <row r="68" spans="1:23" x14ac:dyDescent="0.25">
      <c r="A68" s="1" t="str">
        <f t="shared" si="19"/>
        <v>Drury</v>
      </c>
      <c r="C68" s="1" t="s">
        <v>128</v>
      </c>
      <c r="D68" s="54">
        <v>5964.2531693241481</v>
      </c>
      <c r="E68" s="54">
        <v>61294.742770028548</v>
      </c>
      <c r="F68" s="55">
        <f t="shared" si="18"/>
        <v>9.7304481588272609E-2</v>
      </c>
      <c r="K68" s="64"/>
      <c r="L68" s="64"/>
      <c r="M68" s="64"/>
      <c r="N68" s="64"/>
      <c r="O68" s="64"/>
      <c r="T68" s="64"/>
      <c r="V68" s="64"/>
      <c r="W68" s="64"/>
    </row>
    <row r="69" spans="1:23" x14ac:dyDescent="0.25">
      <c r="A69" s="1" t="str">
        <f t="shared" si="19"/>
        <v>Rural SE</v>
      </c>
      <c r="C69" s="1" t="s">
        <v>850</v>
      </c>
      <c r="D69" s="54">
        <v>28030.279341683876</v>
      </c>
      <c r="E69" s="54">
        <v>30790.227093155601</v>
      </c>
      <c r="F69" s="55">
        <f t="shared" si="18"/>
        <v>0.9103628647128349</v>
      </c>
      <c r="K69" s="64"/>
      <c r="L69" s="64"/>
      <c r="M69" s="64"/>
      <c r="N69" s="64"/>
      <c r="O69" s="64"/>
      <c r="T69" s="64"/>
      <c r="V69" s="64"/>
      <c r="W69" s="64"/>
    </row>
    <row r="70" spans="1:23" x14ac:dyDescent="0.25">
      <c r="A70" s="1" t="str">
        <f t="shared" si="19"/>
        <v>Pukekohe</v>
      </c>
      <c r="C70" s="1" t="s">
        <v>139</v>
      </c>
      <c r="D70" s="54">
        <v>28341.714443283374</v>
      </c>
      <c r="E70" s="54">
        <v>52014.980572341767</v>
      </c>
      <c r="F70" s="55">
        <f t="shared" si="18"/>
        <v>0.54487599786500129</v>
      </c>
      <c r="K70" s="64"/>
      <c r="L70" s="64"/>
      <c r="M70" s="64"/>
      <c r="N70" s="64"/>
      <c r="O70" s="64"/>
      <c r="T70" s="64"/>
      <c r="V70" s="64"/>
      <c r="W70" s="64"/>
    </row>
    <row r="71" spans="1:23" x14ac:dyDescent="0.25">
      <c r="A71" s="1" t="str">
        <f t="shared" si="19"/>
        <v>Rural SW</v>
      </c>
      <c r="C71" s="1" t="s">
        <v>851</v>
      </c>
      <c r="D71" s="54">
        <v>26762.717986115247</v>
      </c>
      <c r="E71" s="54">
        <v>33142.03249567467</v>
      </c>
      <c r="F71" s="55">
        <f t="shared" si="18"/>
        <v>0.80751589358944775</v>
      </c>
      <c r="K71" s="64"/>
      <c r="L71" s="64"/>
      <c r="M71" s="64"/>
      <c r="N71" s="64"/>
      <c r="O71" s="64"/>
      <c r="T71" s="64"/>
      <c r="V71" s="64"/>
      <c r="W71" s="64"/>
    </row>
    <row r="72" spans="1:23" x14ac:dyDescent="0.25">
      <c r="A72" s="1" t="str">
        <f t="shared" si="19"/>
        <v>Reg Sportsfield</v>
      </c>
      <c r="C72" s="1" t="s">
        <v>852</v>
      </c>
      <c r="D72" s="54">
        <v>1729776.4871409375</v>
      </c>
      <c r="E72" s="54">
        <v>1943852.6314060953</v>
      </c>
      <c r="F72" s="55">
        <f t="shared" si="18"/>
        <v>0.88987017801328649</v>
      </c>
      <c r="K72" s="64"/>
      <c r="L72" s="64"/>
      <c r="M72" s="64"/>
      <c r="N72" s="64"/>
      <c r="O72" s="64"/>
      <c r="T72" s="64"/>
      <c r="V72" s="64"/>
    </row>
    <row r="73" spans="1:23" x14ac:dyDescent="0.25">
      <c r="F73" s="1" t="s">
        <v>859</v>
      </c>
      <c r="K73" s="64"/>
      <c r="L73" s="64"/>
      <c r="M73" s="64"/>
      <c r="N73" s="64"/>
      <c r="O73" s="64"/>
      <c r="T73" s="64"/>
    </row>
    <row r="74" spans="1:23" x14ac:dyDescent="0.25">
      <c r="K74" s="64"/>
      <c r="L74" s="64"/>
      <c r="M74" s="64"/>
      <c r="N74" s="64"/>
      <c r="O74" s="64"/>
    </row>
    <row r="75" spans="1:23" x14ac:dyDescent="0.25">
      <c r="A75" s="1" t="s">
        <v>862</v>
      </c>
      <c r="C75" s="1" t="s">
        <v>861</v>
      </c>
      <c r="D75" s="54">
        <v>1445.9990567340815</v>
      </c>
      <c r="E75" s="54">
        <v>1676.8452391399487</v>
      </c>
      <c r="F75" s="55">
        <f t="shared" ref="F75" si="20">D75/E75</f>
        <v>0.86233304241942577</v>
      </c>
      <c r="K75" s="64"/>
      <c r="L75" s="64"/>
      <c r="M75" s="64"/>
      <c r="N75" s="64"/>
      <c r="O75" s="64"/>
      <c r="V75" s="64"/>
    </row>
    <row r="76" spans="1:23" x14ac:dyDescent="0.25">
      <c r="K76" s="64"/>
      <c r="L76" s="64"/>
      <c r="M76" s="64"/>
      <c r="N76" s="64"/>
      <c r="O76" s="64"/>
    </row>
    <row r="77" spans="1:23" x14ac:dyDescent="0.25">
      <c r="K77" s="64"/>
      <c r="L77" s="64"/>
      <c r="M77" s="64"/>
      <c r="N77" s="64"/>
      <c r="O77" s="64"/>
    </row>
    <row r="80" spans="1:23" x14ac:dyDescent="0.25">
      <c r="K80" s="64"/>
      <c r="L80" s="64"/>
      <c r="M80" s="64"/>
      <c r="N80" s="64"/>
      <c r="O80" s="64"/>
    </row>
    <row r="81" spans="11:15" x14ac:dyDescent="0.25">
      <c r="K81" s="64"/>
      <c r="L81" s="64"/>
      <c r="M81" s="64"/>
      <c r="N81" s="64"/>
      <c r="O81" s="64"/>
    </row>
    <row r="114" spans="10:10" ht="14.4" x14ac:dyDescent="0.3">
      <c r="J114"/>
    </row>
    <row r="115" spans="10:10" ht="14.4" x14ac:dyDescent="0.3">
      <c r="J115"/>
    </row>
    <row r="116" spans="10:10" ht="14.4" x14ac:dyDescent="0.3">
      <c r="J116"/>
    </row>
    <row r="117" spans="10:10" ht="14.4" x14ac:dyDescent="0.3">
      <c r="J117"/>
    </row>
    <row r="118" spans="10:10" ht="14.4" x14ac:dyDescent="0.3">
      <c r="J118"/>
    </row>
    <row r="119" spans="10:10" ht="14.4" x14ac:dyDescent="0.3">
      <c r="J119"/>
    </row>
    <row r="120" spans="10:10" ht="14.4" x14ac:dyDescent="0.3">
      <c r="J120"/>
    </row>
    <row r="121" spans="10:10" ht="14.4" x14ac:dyDescent="0.3">
      <c r="J121"/>
    </row>
    <row r="122" spans="10:10" ht="14.4" x14ac:dyDescent="0.3">
      <c r="J122"/>
    </row>
    <row r="123" spans="10:10" ht="14.4" x14ac:dyDescent="0.3">
      <c r="J123"/>
    </row>
    <row r="124" spans="10:10" ht="14.4" x14ac:dyDescent="0.3">
      <c r="J124"/>
    </row>
    <row r="125" spans="10:10" ht="14.4" x14ac:dyDescent="0.3">
      <c r="J125"/>
    </row>
    <row r="126" spans="10:10" ht="14.4" x14ac:dyDescent="0.3">
      <c r="J126"/>
    </row>
    <row r="127" spans="10:10" ht="14.4" x14ac:dyDescent="0.3">
      <c r="J127"/>
    </row>
    <row r="128" spans="10:10" ht="14.4" x14ac:dyDescent="0.3">
      <c r="J128"/>
    </row>
    <row r="129" spans="10:10" ht="14.4" x14ac:dyDescent="0.3">
      <c r="J129"/>
    </row>
    <row r="130" spans="10:10" ht="14.4" x14ac:dyDescent="0.3">
      <c r="J130"/>
    </row>
    <row r="131" spans="10:10" ht="14.4" x14ac:dyDescent="0.3">
      <c r="J131"/>
    </row>
    <row r="132" spans="10:10" ht="14.4" x14ac:dyDescent="0.3">
      <c r="J132"/>
    </row>
    <row r="133" spans="10:10" ht="14.4" x14ac:dyDescent="0.3">
      <c r="J133"/>
    </row>
    <row r="134" spans="10:10" ht="14.4" x14ac:dyDescent="0.3">
      <c r="J134"/>
    </row>
    <row r="135" spans="10:10" ht="14.4" x14ac:dyDescent="0.3">
      <c r="J135"/>
    </row>
    <row r="136" spans="10:10" ht="14.4" x14ac:dyDescent="0.3">
      <c r="J136"/>
    </row>
    <row r="137" spans="10:10" ht="14.4" x14ac:dyDescent="0.3">
      <c r="J137"/>
    </row>
    <row r="138" spans="10:10" ht="14.4" x14ac:dyDescent="0.3">
      <c r="J138"/>
    </row>
    <row r="139" spans="10:10" ht="14.4" x14ac:dyDescent="0.3">
      <c r="J139"/>
    </row>
    <row r="140" spans="10:10" ht="14.4" x14ac:dyDescent="0.3">
      <c r="J140"/>
    </row>
    <row r="141" spans="10:10" ht="14.4" x14ac:dyDescent="0.3">
      <c r="J141"/>
    </row>
    <row r="142" spans="10:10" ht="14.4" x14ac:dyDescent="0.3">
      <c r="J142"/>
    </row>
    <row r="143" spans="10:10" ht="14.4" x14ac:dyDescent="0.3">
      <c r="J143"/>
    </row>
    <row r="144" spans="10:10" ht="14.4" x14ac:dyDescent="0.3">
      <c r="J144"/>
    </row>
    <row r="145" spans="10:10" ht="14.4" x14ac:dyDescent="0.3">
      <c r="J145"/>
    </row>
    <row r="146" spans="10:10" ht="14.4" x14ac:dyDescent="0.3">
      <c r="J146"/>
    </row>
    <row r="147" spans="10:10" ht="14.4" x14ac:dyDescent="0.3">
      <c r="J147"/>
    </row>
    <row r="148" spans="10:10" ht="14.4" x14ac:dyDescent="0.3">
      <c r="J148"/>
    </row>
    <row r="149" spans="10:10" ht="14.4" x14ac:dyDescent="0.3">
      <c r="J149"/>
    </row>
    <row r="150" spans="10:10" ht="14.4" x14ac:dyDescent="0.3">
      <c r="J150"/>
    </row>
    <row r="151" spans="10:10" ht="14.4" x14ac:dyDescent="0.3">
      <c r="J151"/>
    </row>
    <row r="152" spans="10:10" ht="14.4" x14ac:dyDescent="0.3">
      <c r="J152"/>
    </row>
    <row r="153" spans="10:10" ht="14.4" x14ac:dyDescent="0.3">
      <c r="J153"/>
    </row>
    <row r="154" spans="10:10" ht="14.4" x14ac:dyDescent="0.3">
      <c r="J154"/>
    </row>
    <row r="155" spans="10:10" ht="14.4" x14ac:dyDescent="0.3">
      <c r="J155"/>
    </row>
    <row r="156" spans="10:10" ht="14.4" x14ac:dyDescent="0.3">
      <c r="J156"/>
    </row>
    <row r="157" spans="10:10" ht="14.4" x14ac:dyDescent="0.3">
      <c r="J157"/>
    </row>
    <row r="158" spans="10:10" ht="14.4" x14ac:dyDescent="0.3">
      <c r="J158"/>
    </row>
    <row r="159" spans="10:10" ht="14.4" x14ac:dyDescent="0.3">
      <c r="J159"/>
    </row>
    <row r="160" spans="10:10" ht="14.4" x14ac:dyDescent="0.3">
      <c r="J160"/>
    </row>
    <row r="161" spans="10:10" ht="14.4" x14ac:dyDescent="0.3">
      <c r="J161"/>
    </row>
    <row r="162" spans="10:10" ht="14.4" x14ac:dyDescent="0.3">
      <c r="J162"/>
    </row>
    <row r="163" spans="10:10" ht="14.4" x14ac:dyDescent="0.3">
      <c r="J163"/>
    </row>
    <row r="164" spans="10:10" ht="14.4" x14ac:dyDescent="0.3">
      <c r="J164"/>
    </row>
    <row r="165" spans="10:10" ht="14.4" x14ac:dyDescent="0.3">
      <c r="J165"/>
    </row>
    <row r="166" spans="10:10" ht="14.4" x14ac:dyDescent="0.3">
      <c r="J166"/>
    </row>
    <row r="167" spans="10:10" ht="14.4" x14ac:dyDescent="0.3">
      <c r="J167"/>
    </row>
    <row r="168" spans="10:10" ht="14.4" x14ac:dyDescent="0.3">
      <c r="J168"/>
    </row>
    <row r="169" spans="10:10" ht="14.4" x14ac:dyDescent="0.3">
      <c r="J169"/>
    </row>
    <row r="170" spans="10:10" ht="14.4" x14ac:dyDescent="0.3">
      <c r="J170"/>
    </row>
    <row r="171" spans="10:10" ht="14.4" x14ac:dyDescent="0.3">
      <c r="J171"/>
    </row>
    <row r="172" spans="10:10" ht="14.4" x14ac:dyDescent="0.3">
      <c r="J172"/>
    </row>
    <row r="173" spans="10:10" ht="14.4" x14ac:dyDescent="0.3">
      <c r="J173"/>
    </row>
    <row r="174" spans="10:10" ht="14.4" x14ac:dyDescent="0.3">
      <c r="J174"/>
    </row>
    <row r="175" spans="10:10" ht="14.4" x14ac:dyDescent="0.3">
      <c r="J175"/>
    </row>
    <row r="176" spans="10:10" ht="14.4" x14ac:dyDescent="0.3">
      <c r="J176"/>
    </row>
    <row r="177" spans="10:10" ht="14.4" x14ac:dyDescent="0.3">
      <c r="J177"/>
    </row>
    <row r="178" spans="10:10" ht="14.4" x14ac:dyDescent="0.3">
      <c r="J178"/>
    </row>
    <row r="179" spans="10:10" ht="14.4" x14ac:dyDescent="0.3">
      <c r="J179"/>
    </row>
    <row r="180" spans="10:10" ht="14.4" x14ac:dyDescent="0.3">
      <c r="J180"/>
    </row>
    <row r="181" spans="10:10" ht="14.4" x14ac:dyDescent="0.3">
      <c r="J181"/>
    </row>
    <row r="182" spans="10:10" ht="14.4" x14ac:dyDescent="0.3">
      <c r="J182"/>
    </row>
    <row r="183" spans="10:10" ht="14.4" x14ac:dyDescent="0.3">
      <c r="J183"/>
    </row>
    <row r="184" spans="10:10" ht="14.4" x14ac:dyDescent="0.3">
      <c r="J184"/>
    </row>
    <row r="185" spans="10:10" ht="14.4" x14ac:dyDescent="0.3">
      <c r="J185"/>
    </row>
    <row r="186" spans="10:10" ht="14.4" x14ac:dyDescent="0.3">
      <c r="J186"/>
    </row>
    <row r="187" spans="10:10" ht="14.4" x14ac:dyDescent="0.3">
      <c r="J187"/>
    </row>
    <row r="188" spans="10:10" ht="14.4" x14ac:dyDescent="0.3">
      <c r="J188"/>
    </row>
    <row r="189" spans="10:10" ht="14.4" x14ac:dyDescent="0.3">
      <c r="J189"/>
    </row>
    <row r="190" spans="10:10" ht="14.4" x14ac:dyDescent="0.3">
      <c r="J190"/>
    </row>
    <row r="191" spans="10:10" ht="14.4" x14ac:dyDescent="0.3">
      <c r="J191"/>
    </row>
    <row r="192" spans="10:10" ht="14.4" x14ac:dyDescent="0.3">
      <c r="J192"/>
    </row>
    <row r="193" spans="10:10" ht="14.4" x14ac:dyDescent="0.3">
      <c r="J193"/>
    </row>
    <row r="194" spans="10:10" ht="14.4" x14ac:dyDescent="0.3">
      <c r="J194"/>
    </row>
    <row r="195" spans="10:10" ht="14.4" x14ac:dyDescent="0.3">
      <c r="J195"/>
    </row>
    <row r="196" spans="10:10" ht="14.4" x14ac:dyDescent="0.3">
      <c r="J196"/>
    </row>
    <row r="197" spans="10:10" ht="14.4" x14ac:dyDescent="0.3">
      <c r="J197"/>
    </row>
    <row r="198" spans="10:10" ht="14.4" x14ac:dyDescent="0.3">
      <c r="J198"/>
    </row>
    <row r="199" spans="10:10" ht="14.4" x14ac:dyDescent="0.3">
      <c r="J199"/>
    </row>
    <row r="200" spans="10:10" ht="14.4" x14ac:dyDescent="0.3">
      <c r="J200"/>
    </row>
    <row r="201" spans="10:10" ht="14.4" x14ac:dyDescent="0.3">
      <c r="J201"/>
    </row>
    <row r="202" spans="10:10" ht="14.4" x14ac:dyDescent="0.3">
      <c r="J202"/>
    </row>
    <row r="203" spans="10:10" ht="14.4" x14ac:dyDescent="0.3">
      <c r="J203"/>
    </row>
    <row r="204" spans="10:10" ht="14.4" x14ac:dyDescent="0.3">
      <c r="J204"/>
    </row>
    <row r="205" spans="10:10" ht="14.4" x14ac:dyDescent="0.3">
      <c r="J205"/>
    </row>
    <row r="206" spans="10:10" ht="14.4" x14ac:dyDescent="0.3">
      <c r="J206"/>
    </row>
    <row r="207" spans="10:10" ht="14.4" x14ac:dyDescent="0.3">
      <c r="J207"/>
    </row>
    <row r="208" spans="10:10" ht="14.4" x14ac:dyDescent="0.3">
      <c r="J208"/>
    </row>
    <row r="209" spans="10:10" ht="14.4" x14ac:dyDescent="0.3">
      <c r="J209"/>
    </row>
    <row r="210" spans="10:10" ht="14.4" x14ac:dyDescent="0.3">
      <c r="J210"/>
    </row>
    <row r="211" spans="10:10" ht="14.4" x14ac:dyDescent="0.3">
      <c r="J211"/>
    </row>
    <row r="212" spans="10:10" ht="14.4" x14ac:dyDescent="0.3">
      <c r="J212"/>
    </row>
    <row r="213" spans="10:10" ht="14.4" x14ac:dyDescent="0.3">
      <c r="J213"/>
    </row>
    <row r="214" spans="10:10" ht="14.4" x14ac:dyDescent="0.3">
      <c r="J214"/>
    </row>
    <row r="215" spans="10:10" ht="14.4" x14ac:dyDescent="0.3">
      <c r="J215"/>
    </row>
    <row r="216" spans="10:10" ht="14.4" x14ac:dyDescent="0.3">
      <c r="J216"/>
    </row>
    <row r="217" spans="10:10" ht="14.4" x14ac:dyDescent="0.3">
      <c r="J217"/>
    </row>
    <row r="218" spans="10:10" ht="14.4" x14ac:dyDescent="0.3">
      <c r="J218"/>
    </row>
    <row r="219" spans="10:10" ht="14.4" x14ac:dyDescent="0.3">
      <c r="J219"/>
    </row>
    <row r="220" spans="10:10" ht="14.4" x14ac:dyDescent="0.3">
      <c r="J220"/>
    </row>
    <row r="221" spans="10:10" ht="14.4" x14ac:dyDescent="0.3">
      <c r="J221"/>
    </row>
    <row r="222" spans="10:10" ht="14.4" x14ac:dyDescent="0.3">
      <c r="J222"/>
    </row>
    <row r="223" spans="10:10" ht="14.4" x14ac:dyDescent="0.3">
      <c r="J223"/>
    </row>
    <row r="224" spans="10:10" ht="14.4" x14ac:dyDescent="0.3">
      <c r="J224"/>
    </row>
    <row r="225" spans="10:10" ht="14.4" x14ac:dyDescent="0.3">
      <c r="J225"/>
    </row>
    <row r="226" spans="10:10" ht="14.4" x14ac:dyDescent="0.3">
      <c r="J226"/>
    </row>
    <row r="227" spans="10:10" ht="14.4" x14ac:dyDescent="0.3">
      <c r="J227"/>
    </row>
    <row r="228" spans="10:10" ht="14.4" x14ac:dyDescent="0.3">
      <c r="J228"/>
    </row>
    <row r="229" spans="10:10" ht="14.4" x14ac:dyDescent="0.3">
      <c r="J229"/>
    </row>
    <row r="230" spans="10:10" ht="14.4" x14ac:dyDescent="0.3">
      <c r="J230"/>
    </row>
    <row r="231" spans="10:10" ht="14.4" x14ac:dyDescent="0.3">
      <c r="J231"/>
    </row>
    <row r="232" spans="10:10" ht="14.4" x14ac:dyDescent="0.3">
      <c r="J232"/>
    </row>
    <row r="233" spans="10:10" ht="14.4" x14ac:dyDescent="0.3">
      <c r="J233"/>
    </row>
    <row r="234" spans="10:10" ht="14.4" x14ac:dyDescent="0.3">
      <c r="J234"/>
    </row>
    <row r="235" spans="10:10" ht="14.4" x14ac:dyDescent="0.3">
      <c r="J235"/>
    </row>
    <row r="236" spans="10:10" ht="14.4" x14ac:dyDescent="0.3">
      <c r="J236"/>
    </row>
    <row r="237" spans="10:10" ht="14.4" x14ac:dyDescent="0.3">
      <c r="J237"/>
    </row>
    <row r="238" spans="10:10" ht="14.4" x14ac:dyDescent="0.3">
      <c r="J238"/>
    </row>
    <row r="239" spans="10:10" ht="14.4" x14ac:dyDescent="0.3">
      <c r="J239"/>
    </row>
    <row r="240" spans="10:10" ht="14.4" x14ac:dyDescent="0.3">
      <c r="J240"/>
    </row>
    <row r="241" spans="10:10" ht="14.4" x14ac:dyDescent="0.3">
      <c r="J241"/>
    </row>
    <row r="242" spans="10:10" ht="14.4" x14ac:dyDescent="0.3">
      <c r="J242"/>
    </row>
    <row r="243" spans="10:10" ht="14.4" x14ac:dyDescent="0.3">
      <c r="J243"/>
    </row>
    <row r="244" spans="10:10" ht="14.4" x14ac:dyDescent="0.3">
      <c r="J244"/>
    </row>
    <row r="245" spans="10:10" ht="14.4" x14ac:dyDescent="0.3">
      <c r="J245"/>
    </row>
    <row r="246" spans="10:10" ht="14.4" x14ac:dyDescent="0.3">
      <c r="J246"/>
    </row>
    <row r="247" spans="10:10" ht="14.4" x14ac:dyDescent="0.3">
      <c r="J247"/>
    </row>
    <row r="248" spans="10:10" ht="14.4" x14ac:dyDescent="0.3">
      <c r="J248"/>
    </row>
    <row r="249" spans="10:10" ht="14.4" x14ac:dyDescent="0.3">
      <c r="J249"/>
    </row>
    <row r="250" spans="10:10" ht="14.4" x14ac:dyDescent="0.3">
      <c r="J250"/>
    </row>
    <row r="251" spans="10:10" ht="14.4" x14ac:dyDescent="0.3">
      <c r="J251"/>
    </row>
    <row r="252" spans="10:10" ht="14.4" x14ac:dyDescent="0.3">
      <c r="J252"/>
    </row>
    <row r="253" spans="10:10" ht="14.4" x14ac:dyDescent="0.3">
      <c r="J253"/>
    </row>
    <row r="254" spans="10:10" ht="14.4" x14ac:dyDescent="0.3">
      <c r="J254"/>
    </row>
    <row r="255" spans="10:10" ht="14.4" x14ac:dyDescent="0.3">
      <c r="J255"/>
    </row>
    <row r="256" spans="10:10" ht="14.4" x14ac:dyDescent="0.3">
      <c r="J256"/>
    </row>
    <row r="257" spans="10:10" ht="14.4" x14ac:dyDescent="0.3">
      <c r="J257"/>
    </row>
    <row r="258" spans="10:10" ht="14.4" x14ac:dyDescent="0.3">
      <c r="J258"/>
    </row>
    <row r="259" spans="10:10" ht="14.4" x14ac:dyDescent="0.3">
      <c r="J259"/>
    </row>
    <row r="260" spans="10:10" ht="14.4" x14ac:dyDescent="0.3">
      <c r="J260"/>
    </row>
    <row r="261" spans="10:10" ht="14.4" x14ac:dyDescent="0.3">
      <c r="J261"/>
    </row>
    <row r="262" spans="10:10" ht="14.4" x14ac:dyDescent="0.3">
      <c r="J262"/>
    </row>
    <row r="263" spans="10:10" ht="14.4" x14ac:dyDescent="0.3">
      <c r="J263"/>
    </row>
    <row r="264" spans="10:10" ht="14.4" x14ac:dyDescent="0.3">
      <c r="J264"/>
    </row>
    <row r="265" spans="10:10" ht="14.4" x14ac:dyDescent="0.3">
      <c r="J265"/>
    </row>
    <row r="266" spans="10:10" ht="14.4" x14ac:dyDescent="0.3">
      <c r="J266"/>
    </row>
    <row r="267" spans="10:10" ht="14.4" x14ac:dyDescent="0.3">
      <c r="J267"/>
    </row>
    <row r="268" spans="10:10" ht="14.4" x14ac:dyDescent="0.3">
      <c r="J268"/>
    </row>
    <row r="269" spans="10:10" ht="14.4" x14ac:dyDescent="0.3">
      <c r="J269"/>
    </row>
    <row r="270" spans="10:10" ht="14.4" x14ac:dyDescent="0.3">
      <c r="J270"/>
    </row>
    <row r="271" spans="10:10" ht="14.4" x14ac:dyDescent="0.3">
      <c r="J271"/>
    </row>
    <row r="272" spans="10:10" ht="14.4" x14ac:dyDescent="0.3">
      <c r="J272"/>
    </row>
    <row r="273" spans="10:10" ht="14.4" x14ac:dyDescent="0.3">
      <c r="J273"/>
    </row>
    <row r="274" spans="10:10" ht="14.4" x14ac:dyDescent="0.3">
      <c r="J274"/>
    </row>
    <row r="275" spans="10:10" ht="14.4" x14ac:dyDescent="0.3">
      <c r="J275"/>
    </row>
    <row r="276" spans="10:10" ht="14.4" x14ac:dyDescent="0.3">
      <c r="J276"/>
    </row>
    <row r="277" spans="10:10" ht="14.4" x14ac:dyDescent="0.3">
      <c r="J277"/>
    </row>
    <row r="278" spans="10:10" ht="14.4" x14ac:dyDescent="0.3">
      <c r="J278"/>
    </row>
    <row r="279" spans="10:10" ht="14.4" x14ac:dyDescent="0.3">
      <c r="J279"/>
    </row>
    <row r="280" spans="10:10" ht="14.4" x14ac:dyDescent="0.3">
      <c r="J280"/>
    </row>
    <row r="281" spans="10:10" ht="14.4" x14ac:dyDescent="0.3">
      <c r="J281"/>
    </row>
    <row r="282" spans="10:10" ht="14.4" x14ac:dyDescent="0.3">
      <c r="J282"/>
    </row>
    <row r="283" spans="10:10" ht="14.4" x14ac:dyDescent="0.3">
      <c r="J283"/>
    </row>
    <row r="284" spans="10:10" ht="14.4" x14ac:dyDescent="0.3">
      <c r="J284"/>
    </row>
    <row r="285" spans="10:10" ht="14.4" x14ac:dyDescent="0.3">
      <c r="J285"/>
    </row>
    <row r="286" spans="10:10" ht="14.4" x14ac:dyDescent="0.3">
      <c r="J286"/>
    </row>
    <row r="287" spans="10:10" ht="14.4" x14ac:dyDescent="0.3">
      <c r="J287"/>
    </row>
    <row r="288" spans="10:10" ht="14.4" x14ac:dyDescent="0.3">
      <c r="J288"/>
    </row>
    <row r="289" spans="10:10" ht="14.4" x14ac:dyDescent="0.3">
      <c r="J289"/>
    </row>
    <row r="290" spans="10:10" ht="14.4" x14ac:dyDescent="0.3">
      <c r="J290"/>
    </row>
    <row r="291" spans="10:10" ht="14.4" x14ac:dyDescent="0.3">
      <c r="J291"/>
    </row>
    <row r="292" spans="10:10" ht="14.4" x14ac:dyDescent="0.3">
      <c r="J292"/>
    </row>
    <row r="293" spans="10:10" ht="14.4" x14ac:dyDescent="0.3">
      <c r="J293"/>
    </row>
    <row r="294" spans="10:10" ht="14.4" x14ac:dyDescent="0.3">
      <c r="J294"/>
    </row>
    <row r="295" spans="10:10" ht="14.4" x14ac:dyDescent="0.3">
      <c r="J295"/>
    </row>
    <row r="296" spans="10:10" ht="14.4" x14ac:dyDescent="0.3">
      <c r="J296"/>
    </row>
    <row r="297" spans="10:10" ht="14.4" x14ac:dyDescent="0.3">
      <c r="J297"/>
    </row>
    <row r="298" spans="10:10" ht="14.4" x14ac:dyDescent="0.3">
      <c r="J298"/>
    </row>
    <row r="299" spans="10:10" ht="14.4" x14ac:dyDescent="0.3">
      <c r="J299"/>
    </row>
    <row r="300" spans="10:10" ht="14.4" x14ac:dyDescent="0.3">
      <c r="J300"/>
    </row>
    <row r="301" spans="10:10" ht="14.4" x14ac:dyDescent="0.3">
      <c r="J301"/>
    </row>
    <row r="302" spans="10:10" ht="14.4" x14ac:dyDescent="0.3">
      <c r="J302"/>
    </row>
    <row r="303" spans="10:10" ht="14.4" x14ac:dyDescent="0.3">
      <c r="J303"/>
    </row>
    <row r="304" spans="10:10" ht="14.4" x14ac:dyDescent="0.3">
      <c r="J304"/>
    </row>
    <row r="305" spans="10:10" ht="14.4" x14ac:dyDescent="0.3">
      <c r="J305"/>
    </row>
    <row r="306" spans="10:10" ht="14.4" x14ac:dyDescent="0.3">
      <c r="J306"/>
    </row>
    <row r="307" spans="10:10" ht="14.4" x14ac:dyDescent="0.3">
      <c r="J307"/>
    </row>
    <row r="308" spans="10:10" ht="14.4" x14ac:dyDescent="0.3">
      <c r="J308"/>
    </row>
    <row r="309" spans="10:10" ht="14.4" x14ac:dyDescent="0.3">
      <c r="J309"/>
    </row>
    <row r="310" spans="10:10" ht="14.4" x14ac:dyDescent="0.3">
      <c r="J310"/>
    </row>
    <row r="311" spans="10:10" ht="14.4" x14ac:dyDescent="0.3">
      <c r="J311"/>
    </row>
    <row r="312" spans="10:10" ht="14.4" x14ac:dyDescent="0.3">
      <c r="J312"/>
    </row>
    <row r="313" spans="10:10" ht="14.4" x14ac:dyDescent="0.3">
      <c r="J313"/>
    </row>
    <row r="314" spans="10:10" ht="14.4" x14ac:dyDescent="0.3">
      <c r="J314"/>
    </row>
    <row r="315" spans="10:10" ht="14.4" x14ac:dyDescent="0.3">
      <c r="J315"/>
    </row>
    <row r="316" spans="10:10" ht="14.4" x14ac:dyDescent="0.3">
      <c r="J316"/>
    </row>
    <row r="317" spans="10:10" ht="14.4" x14ac:dyDescent="0.3">
      <c r="J317"/>
    </row>
    <row r="318" spans="10:10" ht="14.4" x14ac:dyDescent="0.3">
      <c r="J318"/>
    </row>
    <row r="319" spans="10:10" ht="14.4" x14ac:dyDescent="0.3">
      <c r="J319"/>
    </row>
    <row r="320" spans="10:10" ht="14.4" x14ac:dyDescent="0.3">
      <c r="J320"/>
    </row>
    <row r="321" spans="10:10" ht="14.4" x14ac:dyDescent="0.3">
      <c r="J321"/>
    </row>
    <row r="322" spans="10:10" ht="14.4" x14ac:dyDescent="0.3">
      <c r="J322"/>
    </row>
    <row r="323" spans="10:10" ht="14.4" x14ac:dyDescent="0.3">
      <c r="J323"/>
    </row>
    <row r="324" spans="10:10" ht="14.4" x14ac:dyDescent="0.3">
      <c r="J324"/>
    </row>
    <row r="325" spans="10:10" ht="14.4" x14ac:dyDescent="0.3">
      <c r="J325"/>
    </row>
    <row r="326" spans="10:10" ht="14.4" x14ac:dyDescent="0.3">
      <c r="J326"/>
    </row>
    <row r="327" spans="10:10" ht="14.4" x14ac:dyDescent="0.3">
      <c r="J327"/>
    </row>
    <row r="328" spans="10:10" ht="14.4" x14ac:dyDescent="0.3">
      <c r="J328"/>
    </row>
    <row r="329" spans="10:10" ht="14.4" x14ac:dyDescent="0.3">
      <c r="J329"/>
    </row>
    <row r="330" spans="10:10" ht="14.4" x14ac:dyDescent="0.3">
      <c r="J330"/>
    </row>
    <row r="331" spans="10:10" ht="14.4" x14ac:dyDescent="0.3">
      <c r="J331"/>
    </row>
    <row r="332" spans="10:10" ht="14.4" x14ac:dyDescent="0.3">
      <c r="J332"/>
    </row>
    <row r="333" spans="10:10" ht="14.4" x14ac:dyDescent="0.3">
      <c r="J333"/>
    </row>
    <row r="334" spans="10:10" ht="14.4" x14ac:dyDescent="0.3">
      <c r="J334"/>
    </row>
    <row r="335" spans="10:10" ht="14.4" x14ac:dyDescent="0.3">
      <c r="J335"/>
    </row>
    <row r="336" spans="10:10" ht="14.4" x14ac:dyDescent="0.3">
      <c r="J336"/>
    </row>
    <row r="337" spans="10:10" ht="14.4" x14ac:dyDescent="0.3">
      <c r="J337"/>
    </row>
    <row r="338" spans="10:10" ht="14.4" x14ac:dyDescent="0.3">
      <c r="J338"/>
    </row>
    <row r="339" spans="10:10" ht="14.4" x14ac:dyDescent="0.3">
      <c r="J339"/>
    </row>
    <row r="340" spans="10:10" ht="14.4" x14ac:dyDescent="0.3">
      <c r="J340"/>
    </row>
    <row r="341" spans="10:10" ht="14.4" x14ac:dyDescent="0.3">
      <c r="J341"/>
    </row>
    <row r="342" spans="10:10" ht="14.4" x14ac:dyDescent="0.3">
      <c r="J342"/>
    </row>
    <row r="343" spans="10:10" ht="14.4" x14ac:dyDescent="0.3">
      <c r="J343"/>
    </row>
    <row r="344" spans="10:10" ht="14.4" x14ac:dyDescent="0.3">
      <c r="J344"/>
    </row>
    <row r="345" spans="10:10" ht="14.4" x14ac:dyDescent="0.3">
      <c r="J345"/>
    </row>
    <row r="346" spans="10:10" ht="14.4" x14ac:dyDescent="0.3">
      <c r="J346"/>
    </row>
    <row r="347" spans="10:10" ht="14.4" x14ac:dyDescent="0.3">
      <c r="J347"/>
    </row>
  </sheetData>
  <sheetProtection algorithmName="SHA-512" hashValue="Mtoi6n87aBrFBSp/T2J4SeI+C2L4XWmB2BL0LT+5vZzL/IPcCW3CLRfe38OvOVbMDm0QDLAgAqd0P7RnCuo14Q==" saltValue="LEPDqMGgt1N8LA5usERBxQ==" spinCount="100000" sheet="1" objects="1" scenarios="1"/>
  <mergeCells count="1">
    <mergeCell ref="H7:I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C Document" ma:contentTypeID="0x0101002C077D48E00142679356CE2B4EBC2E0300A501098755B87E45AF4B22DFC2AB991C" ma:contentTypeVersion="92" ma:contentTypeDescription="AC Document Content Type" ma:contentTypeScope="" ma:versionID="339b3782405f09c90d8f61b3a5bd9509">
  <xsd:schema xmlns:xsd="http://www.w3.org/2001/XMLSchema" xmlns:xs="http://www.w3.org/2001/XMLSchema" xmlns:p="http://schemas.microsoft.com/office/2006/metadata/properties" xmlns:ns2="5ef4b7aa-7aea-418a-8ed8-ffd932bc8662" xmlns:ns3="http://schemas.microsoft.com/sharepoint/v3/fields" xmlns:ns4="3d8650a9-2baf-4bb5-903b-8b7de6a3dda0" targetNamespace="http://schemas.microsoft.com/office/2006/metadata/properties" ma:root="true" ma:fieldsID="2fe65673cde4860ab979572897cd621f" ns2:_="" ns3:_="" ns4:_="">
    <xsd:import namespace="5ef4b7aa-7aea-418a-8ed8-ffd932bc8662"/>
    <xsd:import namespace="http://schemas.microsoft.com/sharepoint/v3/fields"/>
    <xsd:import namespace="3d8650a9-2baf-4bb5-903b-8b7de6a3dda0"/>
    <xsd:element name="properties">
      <xsd:complexType>
        <xsd:sequence>
          <xsd:element name="documentManagement">
            <xsd:complexType>
              <xsd:all>
                <xsd:element ref="ns2:AC_Description" minOccurs="0"/>
                <xsd:element ref="ns3:AC_ContentTypeTaxHTField0" minOccurs="0"/>
                <xsd:element ref="ns3:AC_TopicsTaxHTField0" minOccurs="0"/>
                <xsd:element ref="ns3:AC_AudienceTaxHTField0" minOccurs="0"/>
                <xsd:element ref="ns3:AC_PublicationTaxHTField0" minOccurs="0"/>
                <xsd:element ref="ns4:TaxCatchAll" minOccurs="0"/>
                <xsd:element ref="ns4:TaxCatchAllLabel" minOccurs="0"/>
                <xsd:element ref="ns2:AC_Docume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f4b7aa-7aea-418a-8ed8-ffd932bc8662" elementFormDefault="qualified">
    <xsd:import namespace="http://schemas.microsoft.com/office/2006/documentManagement/types"/>
    <xsd:import namespace="http://schemas.microsoft.com/office/infopath/2007/PartnerControls"/>
    <xsd:element name="AC_Description" ma:index="8" nillable="true" ma:displayName="Description" ma:internalName="AC_Description">
      <xsd:simpleType>
        <xsd:restriction base="dms:Unknown"/>
      </xsd:simpleType>
    </xsd:element>
    <xsd:element name="AC_DocumentOrder" ma:index="19" nillable="true" ma:displayName="Document Order" ma:internalName="AC_DocumentOrder">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AC_ContentTypeTaxHTField0" ma:index="10" nillable="true" ma:taxonomy="true" ma:internalName="AC_ContentTypeTaxHTField0" ma:taxonomyFieldName="AC_ContentType" ma:displayName="AC Content type" ma:fieldId="{36864dc1-8c85-40b9-a529-94cab27301b5}" ma:sspId="299171b0-b289-420f-a4d1-394c303d5db4" ma:termSetId="48a4c375-39b7-47d7-b1bd-84cda6c52657" ma:anchorId="00000000-0000-0000-0000-000000000000" ma:open="false" ma:isKeyword="false">
      <xsd:complexType>
        <xsd:sequence>
          <xsd:element ref="pc:Terms" minOccurs="0" maxOccurs="1"/>
        </xsd:sequence>
      </xsd:complexType>
    </xsd:element>
    <xsd:element name="AC_TopicsTaxHTField0" ma:index="12" nillable="true" ma:taxonomy="true" ma:internalName="AC_TopicsTaxHTField0" ma:taxonomyFieldName="AC_Topics" ma:displayName="Topics" ma:fieldId="{2281546e-80a5-46a6-b7bd-1f24bf682749}" ma:taxonomyMulti="true" ma:sspId="299171b0-b289-420f-a4d1-394c303d5db4" ma:termSetId="ac846514-6544-4c4b-8dd0-07595a2265ab" ma:anchorId="00000000-0000-0000-0000-000000000000" ma:open="false" ma:isKeyword="false">
      <xsd:complexType>
        <xsd:sequence>
          <xsd:element ref="pc:Terms" minOccurs="0" maxOccurs="1"/>
        </xsd:sequence>
      </xsd:complexType>
    </xsd:element>
    <xsd:element name="AC_AudienceTaxHTField0" ma:index="14" nillable="true" ma:taxonomy="true" ma:internalName="AC_AudienceTaxHTField0" ma:taxonomyFieldName="AC_Audience" ma:displayName="Audience" ma:fieldId="{9787bcdf-2609-4d2f-8068-9c30d2a88fc3}" ma:taxonomyMulti="true" ma:sspId="299171b0-b289-420f-a4d1-394c303d5db4" ma:termSetId="295a50ec-85ee-4ffb-af76-b7075334a102" ma:anchorId="00000000-0000-0000-0000-000000000000" ma:open="false" ma:isKeyword="false">
      <xsd:complexType>
        <xsd:sequence>
          <xsd:element ref="pc:Terms" minOccurs="0" maxOccurs="1"/>
        </xsd:sequence>
      </xsd:complexType>
    </xsd:element>
    <xsd:element name="AC_PublicationTaxHTField0" ma:index="16" nillable="true" ma:taxonomy="true" ma:internalName="AC_PublicationTaxHTField0" ma:taxonomyFieldName="AC_Publication" ma:displayName="Publication" ma:fieldId="{f06de576-59f8-4f27-aea1-f8d052f69acc}" ma:taxonomyMulti="true" ma:sspId="299171b0-b289-420f-a4d1-394c303d5db4" ma:termSetId="5ad3a0fe-5fdb-4d0f-8e2d-7a3947cc7849"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d8650a9-2baf-4bb5-903b-8b7de6a3dda0" elementFormDefault="qualified">
    <xsd:import namespace="http://schemas.microsoft.com/office/2006/documentManagement/types"/>
    <xsd:import namespace="http://schemas.microsoft.com/office/infopath/2007/PartnerControls"/>
    <xsd:element name="TaxCatchAll" ma:index="17" nillable="true" ma:displayName="Taxonomy Catch All Column" ma:description="" ma:hidden="true" ma:list="{fb779384-d682-45e5-812a-eddc33f71c39}" ma:internalName="TaxCatchAll" ma:showField="CatchAllData" ma:web="3d8650a9-2baf-4bb5-903b-8b7de6a3dda0">
      <xsd:complexType>
        <xsd:complexContent>
          <xsd:extension base="dms:MultiChoiceLookup">
            <xsd:sequence>
              <xsd:element name="Value" type="dms:Lookup" maxOccurs="unbounded" minOccurs="0" nillable="true"/>
            </xsd:sequence>
          </xsd:extension>
        </xsd:complexContent>
      </xsd:complexType>
    </xsd:element>
    <xsd:element name="TaxCatchAllLabel" ma:index="18" nillable="true" ma:displayName="Taxonomy Catch All Column1" ma:description="" ma:hidden="true" ma:list="{fb779384-d682-45e5-812a-eddc33f71c39}" ma:internalName="TaxCatchAllLabel" ma:readOnly="true" ma:showField="CatchAllDataLabel" ma:web="3d8650a9-2baf-4bb5-903b-8b7de6a3dd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C_AudienceTaxHTField0 xmlns="http://schemas.microsoft.com/sharepoint/v3/fields">
      <Terms xmlns="http://schemas.microsoft.com/office/infopath/2007/PartnerControls"/>
    </AC_AudienceTaxHTField0>
    <AC_Description xmlns="5ef4b7aa-7aea-418a-8ed8-ffd932bc8662" xsi:nil="true"/>
    <AC_ContentTypeTaxHTField0 xmlns="http://schemas.microsoft.com/sharepoint/v3/fields">
      <Terms xmlns="http://schemas.microsoft.com/office/infopath/2007/PartnerControls"/>
    </AC_ContentTypeTaxHTField0>
    <AC_PublicationTaxHTField0 xmlns="http://schemas.microsoft.com/sharepoint/v3/fields">
      <Terms xmlns="http://schemas.microsoft.com/office/infopath/2007/PartnerControls">
        <TermInfo xmlns="http://schemas.microsoft.com/office/infopath/2007/PartnerControls">
          <TermName xmlns="http://schemas.microsoft.com/office/infopath/2007/PartnerControls">Information sheet</TermName>
          <TermId xmlns="http://schemas.microsoft.com/office/infopath/2007/PartnerControls">31afde06-3a25-468d-86c9-8334d241ffbe</TermId>
        </TermInfo>
      </Terms>
    </AC_PublicationTaxHTField0>
    <AC_DocumentOrder xmlns="5ef4b7aa-7aea-418a-8ed8-ffd932bc8662">22</AC_DocumentOrder>
    <TaxCatchAll xmlns="3d8650a9-2baf-4bb5-903b-8b7de6a3dda0">
      <Value>965</Value>
      <Value>985</Value>
    </TaxCatchAll>
    <AC_TopicsTaxHTField0 xmlns="http://schemas.microsoft.com/sharepoint/v3/fields">
      <Terms xmlns="http://schemas.microsoft.com/office/infopath/2007/PartnerControls">
        <TermInfo xmlns="http://schemas.microsoft.com/office/infopath/2007/PartnerControls">
          <TermName xmlns="http://schemas.microsoft.com/office/infopath/2007/PartnerControls">Accommodations</TermName>
          <TermId xmlns="http://schemas.microsoft.com/office/infopath/2007/PartnerControls">efd5c34c-0aa2-4926-8284-14f00136f5b6</TermId>
        </TermInfo>
      </Terms>
    </AC_TopicsTaxHTField0>
  </documentManagement>
</p:properties>
</file>

<file path=customXml/itemProps1.xml><?xml version="1.0" encoding="utf-8"?>
<ds:datastoreItem xmlns:ds="http://schemas.openxmlformats.org/officeDocument/2006/customXml" ds:itemID="{E5D04E9C-EB0B-4783-9104-23B2838C94BF}"/>
</file>

<file path=customXml/itemProps2.xml><?xml version="1.0" encoding="utf-8"?>
<ds:datastoreItem xmlns:ds="http://schemas.openxmlformats.org/officeDocument/2006/customXml" ds:itemID="{4FC4DFE5-51B1-4C94-A17F-A7BED6358B04}"/>
</file>

<file path=customXml/itemProps3.xml><?xml version="1.0" encoding="utf-8"?>
<ds:datastoreItem xmlns:ds="http://schemas.openxmlformats.org/officeDocument/2006/customXml" ds:itemID="{92F133CD-A5DF-4589-80F2-FB9BC837C6E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Version notes</vt:lpstr>
      <vt:lpstr>Cost inputs</vt:lpstr>
      <vt:lpstr>Park spec inputs</vt:lpstr>
      <vt:lpstr>Land Price Phase Sc1&amp;2</vt:lpstr>
      <vt:lpstr>LTP </vt:lpstr>
      <vt:lpstr>OS Dev model</vt:lpstr>
      <vt:lpstr>sequential acq phasing</vt:lpstr>
      <vt:lpstr>sports fields</vt:lpstr>
      <vt:lpstr>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Development Contributions Policy 2025: Open Space Development Cost Model</dc:title>
  <dc:subject/>
  <dc:creator/>
  <cp:keywords/>
  <dc:description/>
  <cp:lastModifiedBy>Auckland Council</cp:lastModifiedBy>
  <cp:revision/>
  <dcterms:created xsi:type="dcterms:W3CDTF">2024-06-03T20:53:53Z</dcterms:created>
  <dcterms:modified xsi:type="dcterms:W3CDTF">2025-06-23T00:29:27Z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0x0101002C077D48E00142679356CE2B4EBC2E0300A501098755B87E45AF4B22DFC2AB991C</vt:lpwstr>
  </property>
  <property fmtid="{D5CDD505-2E9C-101B-9397-08002B2CF9AE}" pid="3" name="AC_Topics">
    <vt:lpwstr>965;#Accommodations|efd5c34c-0aa2-4926-8284-14f00136f5b6</vt:lpwstr>
  </property>
  <property fmtid="{D5CDD505-2E9C-101B-9397-08002B2CF9AE}" pid="4" name="AC_Audience">
    <vt:lpwstr/>
  </property>
  <property fmtid="{D5CDD505-2E9C-101B-9397-08002B2CF9AE}" pid="5" name="AC_ContentType">
    <vt:lpwstr/>
  </property>
  <property fmtid="{D5CDD505-2E9C-101B-9397-08002B2CF9AE}" pid="6" name="AC_Publication">
    <vt:lpwstr>985;#Information sheet|31afde06-3a25-468d-86c9-8334d241ffbe</vt:lpwstr>
  </property>
</Properties>
</file>